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iker\Downloads\Universidad\TFG\Codigos Matlab y Excel\"/>
    </mc:Choice>
  </mc:AlternateContent>
  <xr:revisionPtr revIDLastSave="0" documentId="13_ncr:1_{D865FBEC-47CD-4D0F-8CE2-B3472ADB81CF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Ecommerce" sheetId="3" r:id="rId1"/>
    <sheet name="Specs. UAVs" sheetId="2" r:id="rId2"/>
    <sheet name="Batteries" sheetId="6" r:id="rId3"/>
    <sheet name="Consumo+Noise" sheetId="10" r:id="rId4"/>
    <sheet name="Types UAVs" sheetId="5" r:id="rId5"/>
    <sheet name="Macro Drones" sheetId="1" r:id="rId6"/>
    <sheet name="Delivery Fees" sheetId="7" r:id="rId7"/>
    <sheet name="Población" sheetId="9" r:id="rId8"/>
    <sheet name="Location Comparison" sheetId="8" r:id="rId9"/>
    <sheet name="Logística - Distancias" sheetId="12" r:id="rId10"/>
    <sheet name="Logística - Distancias (Malo)" sheetId="11" r:id="rId11"/>
    <sheet name="Sheet2" sheetId="14" r:id="rId12"/>
    <sheet name="Sheet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3" l="1"/>
  <c r="D21" i="13" s="1"/>
  <c r="F20" i="13"/>
  <c r="H20" i="13"/>
  <c r="H19" i="13"/>
  <c r="F21" i="13"/>
  <c r="D19" i="13"/>
  <c r="F19" i="13"/>
  <c r="K19" i="13"/>
  <c r="J19" i="13"/>
  <c r="J22" i="13" s="1"/>
  <c r="K22" i="13" s="1"/>
  <c r="K5" i="7"/>
  <c r="K6" i="7"/>
  <c r="K3" i="7"/>
  <c r="I4" i="7"/>
  <c r="I3" i="7"/>
  <c r="I8" i="7"/>
  <c r="J6" i="7"/>
  <c r="H6" i="7"/>
  <c r="J3" i="7"/>
  <c r="H3" i="7"/>
  <c r="D17" i="10"/>
  <c r="D16" i="10"/>
  <c r="D15" i="10"/>
  <c r="D14" i="10"/>
  <c r="D13" i="10"/>
  <c r="S6" i="9"/>
  <c r="T6" i="9"/>
  <c r="S11" i="9"/>
  <c r="D22" i="7"/>
  <c r="F63" i="11"/>
  <c r="D118" i="11"/>
  <c r="F118" i="11" s="1"/>
  <c r="D48" i="11"/>
  <c r="F48" i="11" s="1"/>
  <c r="C37" i="11"/>
  <c r="D157" i="11"/>
  <c r="F157" i="11" s="1"/>
  <c r="C157" i="11"/>
  <c r="D156" i="11"/>
  <c r="F156" i="11" s="1"/>
  <c r="C156" i="11"/>
  <c r="D155" i="11"/>
  <c r="F155" i="11" s="1"/>
  <c r="C155" i="11"/>
  <c r="D154" i="11"/>
  <c r="F154" i="11" s="1"/>
  <c r="C154" i="11"/>
  <c r="D153" i="11"/>
  <c r="F153" i="11" s="1"/>
  <c r="C153" i="11"/>
  <c r="D152" i="11"/>
  <c r="F152" i="11" s="1"/>
  <c r="C152" i="11"/>
  <c r="D151" i="11"/>
  <c r="F151" i="11" s="1"/>
  <c r="C151" i="11"/>
  <c r="D150" i="11"/>
  <c r="F150" i="11" s="1"/>
  <c r="C150" i="11"/>
  <c r="D149" i="11"/>
  <c r="F149" i="11" s="1"/>
  <c r="C149" i="11"/>
  <c r="D148" i="11"/>
  <c r="F148" i="11" s="1"/>
  <c r="C148" i="11"/>
  <c r="D147" i="11"/>
  <c r="F147" i="11" s="1"/>
  <c r="C147" i="11"/>
  <c r="D146" i="11"/>
  <c r="F146" i="11" s="1"/>
  <c r="C146" i="11"/>
  <c r="D145" i="11"/>
  <c r="F145" i="11" s="1"/>
  <c r="C145" i="11"/>
  <c r="D144" i="11"/>
  <c r="F144" i="11" s="1"/>
  <c r="C144" i="11"/>
  <c r="D143" i="11"/>
  <c r="F143" i="11" s="1"/>
  <c r="C143" i="11"/>
  <c r="D142" i="11"/>
  <c r="F142" i="11" s="1"/>
  <c r="C142" i="11"/>
  <c r="D141" i="11"/>
  <c r="F141" i="11" s="1"/>
  <c r="C141" i="11"/>
  <c r="D140" i="11"/>
  <c r="F140" i="11" s="1"/>
  <c r="C140" i="11"/>
  <c r="D139" i="11"/>
  <c r="F139" i="11" s="1"/>
  <c r="C139" i="11"/>
  <c r="D138" i="11"/>
  <c r="F138" i="11" s="1"/>
  <c r="C138" i="11"/>
  <c r="D137" i="11"/>
  <c r="F137" i="11" s="1"/>
  <c r="C137" i="11"/>
  <c r="D136" i="11"/>
  <c r="F136" i="11" s="1"/>
  <c r="C136" i="11"/>
  <c r="D135" i="11"/>
  <c r="F135" i="11" s="1"/>
  <c r="C135" i="11"/>
  <c r="D134" i="11"/>
  <c r="F134" i="11" s="1"/>
  <c r="C134" i="11"/>
  <c r="D133" i="11"/>
  <c r="F133" i="11" s="1"/>
  <c r="C133" i="11"/>
  <c r="D132" i="11"/>
  <c r="F132" i="11" s="1"/>
  <c r="C132" i="11"/>
  <c r="D131" i="11"/>
  <c r="F131" i="11" s="1"/>
  <c r="C131" i="11"/>
  <c r="D130" i="11"/>
  <c r="F130" i="11" s="1"/>
  <c r="C130" i="11"/>
  <c r="D129" i="11"/>
  <c r="F129" i="11" s="1"/>
  <c r="C129" i="11"/>
  <c r="D128" i="11"/>
  <c r="F128" i="11" s="1"/>
  <c r="C128" i="11"/>
  <c r="D127" i="11"/>
  <c r="F127" i="11" s="1"/>
  <c r="C127" i="11"/>
  <c r="D126" i="11"/>
  <c r="F126" i="11" s="1"/>
  <c r="C126" i="11"/>
  <c r="D125" i="11"/>
  <c r="F125" i="11" s="1"/>
  <c r="C125" i="11"/>
  <c r="D124" i="11"/>
  <c r="F124" i="11" s="1"/>
  <c r="C124" i="11"/>
  <c r="D123" i="11"/>
  <c r="F123" i="11" s="1"/>
  <c r="C123" i="11"/>
  <c r="D122" i="11"/>
  <c r="F122" i="11" s="1"/>
  <c r="C122" i="11"/>
  <c r="D121" i="11"/>
  <c r="F121" i="11" s="1"/>
  <c r="C121" i="11"/>
  <c r="D120" i="11"/>
  <c r="F120" i="11" s="1"/>
  <c r="C120" i="11"/>
  <c r="D119" i="11"/>
  <c r="F119" i="11" s="1"/>
  <c r="C119" i="11"/>
  <c r="C118" i="11"/>
  <c r="D117" i="11"/>
  <c r="F117" i="11" s="1"/>
  <c r="C117" i="11"/>
  <c r="D116" i="11"/>
  <c r="F116" i="11" s="1"/>
  <c r="C116" i="11"/>
  <c r="D115" i="11"/>
  <c r="F115" i="11" s="1"/>
  <c r="C115" i="11"/>
  <c r="D114" i="11"/>
  <c r="F114" i="11" s="1"/>
  <c r="C114" i="11"/>
  <c r="D113" i="11"/>
  <c r="F113" i="11" s="1"/>
  <c r="C113" i="11"/>
  <c r="D112" i="11"/>
  <c r="F112" i="11" s="1"/>
  <c r="C112" i="11"/>
  <c r="D111" i="11"/>
  <c r="F111" i="11" s="1"/>
  <c r="C111" i="11"/>
  <c r="D110" i="11"/>
  <c r="F110" i="11" s="1"/>
  <c r="C110" i="11"/>
  <c r="D109" i="11"/>
  <c r="F109" i="11" s="1"/>
  <c r="C109" i="11"/>
  <c r="D108" i="11"/>
  <c r="F108" i="11" s="1"/>
  <c r="C108" i="11"/>
  <c r="D107" i="11"/>
  <c r="F107" i="11" s="1"/>
  <c r="C107" i="11"/>
  <c r="D106" i="11"/>
  <c r="F106" i="11" s="1"/>
  <c r="C106" i="11"/>
  <c r="D105" i="11"/>
  <c r="F105" i="11" s="1"/>
  <c r="C105" i="11"/>
  <c r="D104" i="11"/>
  <c r="F104" i="11" s="1"/>
  <c r="C104" i="11"/>
  <c r="D103" i="11"/>
  <c r="F103" i="11" s="1"/>
  <c r="C103" i="11"/>
  <c r="D102" i="11"/>
  <c r="F102" i="11" s="1"/>
  <c r="C102" i="11"/>
  <c r="D101" i="11"/>
  <c r="F101" i="11" s="1"/>
  <c r="C101" i="11"/>
  <c r="D100" i="11"/>
  <c r="F100" i="11" s="1"/>
  <c r="C100" i="11"/>
  <c r="D99" i="11"/>
  <c r="F99" i="11" s="1"/>
  <c r="C99" i="11"/>
  <c r="D98" i="11"/>
  <c r="F98" i="11" s="1"/>
  <c r="C98" i="11"/>
  <c r="D97" i="11"/>
  <c r="F97" i="11" s="1"/>
  <c r="C97" i="11"/>
  <c r="D96" i="11"/>
  <c r="F96" i="11" s="1"/>
  <c r="C96" i="11"/>
  <c r="D95" i="11"/>
  <c r="F95" i="11" s="1"/>
  <c r="C95" i="11"/>
  <c r="D94" i="11"/>
  <c r="F94" i="11" s="1"/>
  <c r="C94" i="11"/>
  <c r="D93" i="11"/>
  <c r="F93" i="11" s="1"/>
  <c r="C93" i="11"/>
  <c r="D92" i="11"/>
  <c r="F92" i="11" s="1"/>
  <c r="C92" i="11"/>
  <c r="D91" i="11"/>
  <c r="F91" i="11" s="1"/>
  <c r="C91" i="11"/>
  <c r="D90" i="11"/>
  <c r="F90" i="11" s="1"/>
  <c r="C90" i="11"/>
  <c r="D89" i="11"/>
  <c r="F89" i="11" s="1"/>
  <c r="C89" i="11"/>
  <c r="D88" i="11"/>
  <c r="F88" i="11" s="1"/>
  <c r="C88" i="11"/>
  <c r="D87" i="11"/>
  <c r="F87" i="11" s="1"/>
  <c r="C87" i="11"/>
  <c r="D86" i="11"/>
  <c r="F86" i="11" s="1"/>
  <c r="C86" i="11"/>
  <c r="D85" i="11"/>
  <c r="F85" i="11" s="1"/>
  <c r="C85" i="11"/>
  <c r="D84" i="11"/>
  <c r="F84" i="11" s="1"/>
  <c r="C84" i="11"/>
  <c r="D83" i="11"/>
  <c r="F83" i="11" s="1"/>
  <c r="C83" i="11"/>
  <c r="D82" i="11"/>
  <c r="F82" i="11" s="1"/>
  <c r="C82" i="11"/>
  <c r="D81" i="11"/>
  <c r="F81" i="11" s="1"/>
  <c r="C81" i="11"/>
  <c r="D80" i="11"/>
  <c r="F80" i="11" s="1"/>
  <c r="C80" i="11"/>
  <c r="D79" i="11"/>
  <c r="F79" i="11" s="1"/>
  <c r="C79" i="11"/>
  <c r="D78" i="11"/>
  <c r="F78" i="11" s="1"/>
  <c r="C78" i="11"/>
  <c r="D77" i="11"/>
  <c r="F77" i="11" s="1"/>
  <c r="C77" i="11"/>
  <c r="D76" i="11"/>
  <c r="F76" i="11" s="1"/>
  <c r="C76" i="11"/>
  <c r="D75" i="11"/>
  <c r="F75" i="11" s="1"/>
  <c r="C75" i="11"/>
  <c r="D74" i="11"/>
  <c r="F74" i="11" s="1"/>
  <c r="C74" i="11"/>
  <c r="D73" i="11"/>
  <c r="F73" i="11" s="1"/>
  <c r="C73" i="11"/>
  <c r="D72" i="11"/>
  <c r="F72" i="11" s="1"/>
  <c r="C72" i="11"/>
  <c r="D71" i="11"/>
  <c r="F71" i="11" s="1"/>
  <c r="C71" i="11"/>
  <c r="D70" i="11"/>
  <c r="F70" i="11" s="1"/>
  <c r="C70" i="11"/>
  <c r="D69" i="11"/>
  <c r="F69" i="11" s="1"/>
  <c r="C69" i="11"/>
  <c r="D68" i="11"/>
  <c r="F68" i="11" s="1"/>
  <c r="C68" i="11"/>
  <c r="D67" i="11"/>
  <c r="F67" i="11" s="1"/>
  <c r="C67" i="11"/>
  <c r="D66" i="11"/>
  <c r="F66" i="11" s="1"/>
  <c r="C66" i="11"/>
  <c r="D65" i="11"/>
  <c r="F65" i="11" s="1"/>
  <c r="C65" i="11"/>
  <c r="D64" i="11"/>
  <c r="F64" i="11" s="1"/>
  <c r="C64" i="11"/>
  <c r="D62" i="11"/>
  <c r="F62" i="11" s="1"/>
  <c r="C62" i="11"/>
  <c r="D61" i="11"/>
  <c r="F61" i="11" s="1"/>
  <c r="C61" i="11"/>
  <c r="D60" i="11"/>
  <c r="F60" i="11" s="1"/>
  <c r="C60" i="11"/>
  <c r="D59" i="11"/>
  <c r="F59" i="11" s="1"/>
  <c r="C59" i="11"/>
  <c r="D58" i="11"/>
  <c r="F58" i="11" s="1"/>
  <c r="C58" i="11"/>
  <c r="D57" i="11"/>
  <c r="F57" i="11" s="1"/>
  <c r="C57" i="11"/>
  <c r="D56" i="11"/>
  <c r="F56" i="11" s="1"/>
  <c r="C56" i="11"/>
  <c r="D55" i="11"/>
  <c r="F55" i="11" s="1"/>
  <c r="C55" i="11"/>
  <c r="D54" i="11"/>
  <c r="F54" i="11" s="1"/>
  <c r="C54" i="11"/>
  <c r="D53" i="11"/>
  <c r="F53" i="11" s="1"/>
  <c r="C53" i="11"/>
  <c r="D52" i="11"/>
  <c r="F52" i="11" s="1"/>
  <c r="C52" i="11"/>
  <c r="D51" i="11"/>
  <c r="F51" i="11" s="1"/>
  <c r="C51" i="11"/>
  <c r="D50" i="11"/>
  <c r="F50" i="11" s="1"/>
  <c r="C50" i="11"/>
  <c r="D49" i="11"/>
  <c r="F49" i="11" s="1"/>
  <c r="C49" i="11"/>
  <c r="C48" i="11"/>
  <c r="D47" i="11"/>
  <c r="F47" i="11" s="1"/>
  <c r="C47" i="11"/>
  <c r="D46" i="11"/>
  <c r="F46" i="11" s="1"/>
  <c r="C46" i="11"/>
  <c r="D45" i="11"/>
  <c r="F45" i="11" s="1"/>
  <c r="C45" i="11"/>
  <c r="D44" i="11"/>
  <c r="F44" i="11" s="1"/>
  <c r="C44" i="11"/>
  <c r="D43" i="11"/>
  <c r="F43" i="11" s="1"/>
  <c r="C43" i="11"/>
  <c r="D42" i="11"/>
  <c r="F42" i="11" s="1"/>
  <c r="C42" i="11"/>
  <c r="D41" i="11"/>
  <c r="F41" i="11" s="1"/>
  <c r="C41" i="11"/>
  <c r="D40" i="11"/>
  <c r="F40" i="11" s="1"/>
  <c r="C40" i="11"/>
  <c r="D39" i="11"/>
  <c r="F39" i="11" s="1"/>
  <c r="C39" i="11"/>
  <c r="D38" i="11"/>
  <c r="F38" i="11" s="1"/>
  <c r="C38" i="11"/>
  <c r="D214" i="11"/>
  <c r="C214" i="11"/>
  <c r="D213" i="11"/>
  <c r="C213" i="11"/>
  <c r="D212" i="11"/>
  <c r="C212" i="11"/>
  <c r="D211" i="11"/>
  <c r="C211" i="11"/>
  <c r="D210" i="11"/>
  <c r="F210" i="11" s="1"/>
  <c r="C210" i="11"/>
  <c r="D209" i="11"/>
  <c r="C209" i="11"/>
  <c r="D208" i="11"/>
  <c r="C208" i="11"/>
  <c r="D207" i="11"/>
  <c r="C207" i="11"/>
  <c r="D206" i="11"/>
  <c r="F206" i="11" s="1"/>
  <c r="C206" i="11"/>
  <c r="D205" i="11"/>
  <c r="F205" i="11" s="1"/>
  <c r="C205" i="11"/>
  <c r="D204" i="11"/>
  <c r="C204" i="11"/>
  <c r="D203" i="11"/>
  <c r="C203" i="11"/>
  <c r="D202" i="11"/>
  <c r="F202" i="11" s="1"/>
  <c r="C202" i="11"/>
  <c r="D201" i="11"/>
  <c r="F201" i="11" s="1"/>
  <c r="C201" i="11"/>
  <c r="D200" i="11"/>
  <c r="C200" i="11"/>
  <c r="D199" i="11"/>
  <c r="C199" i="11"/>
  <c r="D198" i="11"/>
  <c r="F198" i="11" s="1"/>
  <c r="C198" i="11"/>
  <c r="D197" i="11"/>
  <c r="F197" i="11" s="1"/>
  <c r="C197" i="11"/>
  <c r="D196" i="11"/>
  <c r="C196" i="11"/>
  <c r="D195" i="11"/>
  <c r="C195" i="11"/>
  <c r="D194" i="11"/>
  <c r="F194" i="11" s="1"/>
  <c r="C194" i="11"/>
  <c r="D193" i="11"/>
  <c r="F193" i="11" s="1"/>
  <c r="C193" i="11"/>
  <c r="D192" i="11"/>
  <c r="C192" i="11"/>
  <c r="D191" i="11"/>
  <c r="C191" i="11"/>
  <c r="D190" i="11"/>
  <c r="F190" i="11" s="1"/>
  <c r="C190" i="11"/>
  <c r="D189" i="11"/>
  <c r="F189" i="11" s="1"/>
  <c r="C189" i="11"/>
  <c r="D188" i="11"/>
  <c r="C188" i="11"/>
  <c r="D187" i="11"/>
  <c r="C187" i="11"/>
  <c r="D186" i="11"/>
  <c r="F186" i="11" s="1"/>
  <c r="C186" i="11"/>
  <c r="D185" i="11"/>
  <c r="F185" i="11" s="1"/>
  <c r="C185" i="11"/>
  <c r="D184" i="11"/>
  <c r="C184" i="11"/>
  <c r="D183" i="11"/>
  <c r="C183" i="11"/>
  <c r="D182" i="11"/>
  <c r="F182" i="11" s="1"/>
  <c r="C182" i="11"/>
  <c r="D181" i="11"/>
  <c r="F181" i="11" s="1"/>
  <c r="C181" i="11"/>
  <c r="D180" i="11"/>
  <c r="C180" i="11"/>
  <c r="D179" i="11"/>
  <c r="C179" i="11"/>
  <c r="D178" i="11"/>
  <c r="F178" i="11" s="1"/>
  <c r="C178" i="11"/>
  <c r="D177" i="11"/>
  <c r="F177" i="11" s="1"/>
  <c r="C177" i="11"/>
  <c r="D176" i="11"/>
  <c r="C176" i="11"/>
  <c r="D175" i="11"/>
  <c r="C175" i="11"/>
  <c r="D174" i="11"/>
  <c r="F174" i="11" s="1"/>
  <c r="C174" i="11"/>
  <c r="D173" i="11"/>
  <c r="F173" i="11" s="1"/>
  <c r="C173" i="11"/>
  <c r="D172" i="11"/>
  <c r="C172" i="11"/>
  <c r="D171" i="11"/>
  <c r="C171" i="11"/>
  <c r="D170" i="11"/>
  <c r="F170" i="11" s="1"/>
  <c r="C170" i="11"/>
  <c r="D169" i="11"/>
  <c r="F169" i="11" s="1"/>
  <c r="C169" i="11"/>
  <c r="D168" i="11"/>
  <c r="C168" i="11"/>
  <c r="D167" i="11"/>
  <c r="C167" i="11"/>
  <c r="D166" i="11"/>
  <c r="F166" i="11" s="1"/>
  <c r="C166" i="11"/>
  <c r="D165" i="11"/>
  <c r="F165" i="11" s="1"/>
  <c r="C165" i="11"/>
  <c r="D164" i="11"/>
  <c r="C164" i="11"/>
  <c r="D163" i="11"/>
  <c r="C163" i="11"/>
  <c r="D162" i="11"/>
  <c r="C162" i="11"/>
  <c r="D161" i="11"/>
  <c r="C161" i="11"/>
  <c r="D160" i="11"/>
  <c r="C160" i="11"/>
  <c r="D159" i="11"/>
  <c r="C159" i="11"/>
  <c r="D158" i="11"/>
  <c r="C158" i="11"/>
  <c r="D32" i="11"/>
  <c r="D37" i="11"/>
  <c r="D36" i="11"/>
  <c r="D35" i="11"/>
  <c r="D34" i="11"/>
  <c r="D33" i="11"/>
  <c r="C32" i="11"/>
  <c r="C36" i="11"/>
  <c r="C35" i="11"/>
  <c r="C34" i="11"/>
  <c r="C33" i="11"/>
  <c r="C8" i="10"/>
  <c r="C6" i="10"/>
  <c r="C7" i="10"/>
  <c r="C5" i="10"/>
  <c r="H21" i="13" l="1"/>
  <c r="F168" i="11"/>
  <c r="F176" i="11"/>
  <c r="F184" i="11"/>
  <c r="F192" i="11"/>
  <c r="F196" i="11"/>
  <c r="F204" i="11"/>
  <c r="F208" i="11"/>
  <c r="F164" i="11"/>
  <c r="F172" i="11"/>
  <c r="F180" i="11"/>
  <c r="F188" i="11"/>
  <c r="F200" i="11"/>
  <c r="F161" i="11"/>
  <c r="F163" i="11"/>
  <c r="F159" i="11"/>
  <c r="F212" i="11"/>
  <c r="F158" i="11"/>
  <c r="F162" i="11"/>
  <c r="F214" i="11"/>
  <c r="F36" i="11"/>
  <c r="F37" i="11"/>
  <c r="F209" i="11"/>
  <c r="F213" i="11"/>
  <c r="F167" i="11"/>
  <c r="F175" i="11"/>
  <c r="F183" i="11"/>
  <c r="F191" i="11"/>
  <c r="F199" i="11"/>
  <c r="F207" i="11"/>
  <c r="F211" i="11"/>
  <c r="F171" i="11"/>
  <c r="F179" i="11"/>
  <c r="F187" i="11"/>
  <c r="F195" i="11"/>
  <c r="F203" i="11"/>
  <c r="F160" i="11"/>
  <c r="F34" i="11"/>
  <c r="F35" i="11"/>
  <c r="F32" i="11"/>
  <c r="F33" i="11"/>
  <c r="B15" i="7"/>
  <c r="I61" i="2"/>
  <c r="G61" i="2"/>
  <c r="I62" i="2"/>
  <c r="G62" i="2"/>
  <c r="G60" i="2"/>
  <c r="I58" i="2"/>
  <c r="I59" i="2"/>
  <c r="G59" i="2"/>
  <c r="G58" i="2"/>
  <c r="M38" i="9"/>
  <c r="I38" i="9"/>
  <c r="H38" i="9"/>
  <c r="G38" i="9"/>
  <c r="J38" i="9" s="1"/>
  <c r="M37" i="9"/>
  <c r="I37" i="9"/>
  <c r="H37" i="9"/>
  <c r="G37" i="9"/>
  <c r="M36" i="9"/>
  <c r="I36" i="9"/>
  <c r="H36" i="9"/>
  <c r="G36" i="9"/>
  <c r="J36" i="9" s="1"/>
  <c r="M35" i="9"/>
  <c r="I35" i="9"/>
  <c r="H35" i="9"/>
  <c r="G35" i="9"/>
  <c r="M34" i="9"/>
  <c r="I34" i="9"/>
  <c r="H34" i="9"/>
  <c r="G34" i="9"/>
  <c r="J34" i="9" s="1"/>
  <c r="M33" i="9"/>
  <c r="I33" i="9"/>
  <c r="H33" i="9"/>
  <c r="G33" i="9"/>
  <c r="M32" i="9"/>
  <c r="I32" i="9"/>
  <c r="H32" i="9"/>
  <c r="G32" i="9"/>
  <c r="J32" i="9" s="1"/>
  <c r="M31" i="9"/>
  <c r="I31" i="9"/>
  <c r="H31" i="9"/>
  <c r="G31" i="9"/>
  <c r="M27" i="9"/>
  <c r="M47" i="9"/>
  <c r="M56" i="9"/>
  <c r="M55" i="9"/>
  <c r="M80" i="9"/>
  <c r="M79" i="9"/>
  <c r="M78" i="9"/>
  <c r="M77" i="9"/>
  <c r="M76" i="9"/>
  <c r="M75" i="9"/>
  <c r="M18" i="9"/>
  <c r="M17" i="9"/>
  <c r="M16" i="9"/>
  <c r="M15" i="9"/>
  <c r="M13" i="9"/>
  <c r="M12" i="9"/>
  <c r="M11" i="9"/>
  <c r="M10" i="9"/>
  <c r="M9" i="9"/>
  <c r="M8" i="9"/>
  <c r="M7" i="9"/>
  <c r="M6" i="9"/>
  <c r="M46" i="9"/>
  <c r="M45" i="9"/>
  <c r="M44" i="9"/>
  <c r="M43" i="9"/>
  <c r="M42" i="9"/>
  <c r="M41" i="9"/>
  <c r="M40" i="9"/>
  <c r="M39" i="9"/>
  <c r="M74" i="9"/>
  <c r="M73" i="9"/>
  <c r="M71" i="9"/>
  <c r="M70" i="9"/>
  <c r="M67" i="9"/>
  <c r="M66" i="9"/>
  <c r="M65" i="9"/>
  <c r="M63" i="9"/>
  <c r="M62" i="9"/>
  <c r="M61" i="9"/>
  <c r="M60" i="9"/>
  <c r="M59" i="9"/>
  <c r="M58" i="9"/>
  <c r="M57" i="9"/>
  <c r="I19" i="9"/>
  <c r="H19" i="9"/>
  <c r="G19" i="9"/>
  <c r="F19" i="9"/>
  <c r="M19" i="9" s="1"/>
  <c r="I18" i="9"/>
  <c r="H18" i="9"/>
  <c r="G18" i="9"/>
  <c r="I17" i="9"/>
  <c r="H17" i="9"/>
  <c r="G17" i="9"/>
  <c r="I16" i="9"/>
  <c r="H16" i="9"/>
  <c r="G16" i="9"/>
  <c r="I15" i="9"/>
  <c r="H15" i="9"/>
  <c r="G15" i="9"/>
  <c r="I14" i="9"/>
  <c r="H14" i="9"/>
  <c r="G14" i="9"/>
  <c r="F14" i="9"/>
  <c r="M14" i="9" s="1"/>
  <c r="I13" i="9"/>
  <c r="H13" i="9"/>
  <c r="G13" i="9"/>
  <c r="I12" i="9"/>
  <c r="H12" i="9"/>
  <c r="G12" i="9"/>
  <c r="I11" i="9"/>
  <c r="H11" i="9"/>
  <c r="G11" i="9"/>
  <c r="I10" i="9"/>
  <c r="H10" i="9"/>
  <c r="G10" i="9"/>
  <c r="I9" i="9"/>
  <c r="H9" i="9"/>
  <c r="G9" i="9"/>
  <c r="I8" i="9"/>
  <c r="H8" i="9"/>
  <c r="G8" i="9"/>
  <c r="I7" i="9"/>
  <c r="H7" i="9"/>
  <c r="G7" i="9"/>
  <c r="I6" i="9"/>
  <c r="H6" i="9"/>
  <c r="G6" i="9"/>
  <c r="I46" i="9"/>
  <c r="H46" i="9"/>
  <c r="G46" i="9"/>
  <c r="I42" i="9"/>
  <c r="H42" i="9"/>
  <c r="G42" i="9"/>
  <c r="I43" i="9"/>
  <c r="H43" i="9"/>
  <c r="G43" i="9"/>
  <c r="I44" i="9"/>
  <c r="H44" i="9"/>
  <c r="G44" i="9"/>
  <c r="I45" i="9"/>
  <c r="H45" i="9"/>
  <c r="G45" i="9"/>
  <c r="I41" i="9"/>
  <c r="H41" i="9"/>
  <c r="G41" i="9"/>
  <c r="I40" i="9"/>
  <c r="H40" i="9"/>
  <c r="G40" i="9"/>
  <c r="I39" i="9"/>
  <c r="H39" i="9"/>
  <c r="G39" i="9"/>
  <c r="I74" i="9"/>
  <c r="H74" i="9"/>
  <c r="G74" i="9"/>
  <c r="I73" i="9"/>
  <c r="H73" i="9"/>
  <c r="G73" i="9"/>
  <c r="I72" i="9"/>
  <c r="H72" i="9"/>
  <c r="G72" i="9"/>
  <c r="F72" i="9"/>
  <c r="M72" i="9" s="1"/>
  <c r="I71" i="9"/>
  <c r="H71" i="9"/>
  <c r="G71" i="9"/>
  <c r="I70" i="9"/>
  <c r="H70" i="9"/>
  <c r="G70" i="9"/>
  <c r="I69" i="9"/>
  <c r="H69" i="9"/>
  <c r="G69" i="9"/>
  <c r="F69" i="9"/>
  <c r="M69" i="9" s="1"/>
  <c r="I68" i="9"/>
  <c r="H68" i="9"/>
  <c r="G68" i="9"/>
  <c r="F68" i="9"/>
  <c r="M68" i="9" s="1"/>
  <c r="I67" i="9"/>
  <c r="H67" i="9"/>
  <c r="G67" i="9"/>
  <c r="I66" i="9"/>
  <c r="H66" i="9"/>
  <c r="G66" i="9"/>
  <c r="I65" i="9"/>
  <c r="H65" i="9"/>
  <c r="G65" i="9"/>
  <c r="I64" i="9"/>
  <c r="H64" i="9"/>
  <c r="G64" i="9"/>
  <c r="F64" i="9"/>
  <c r="M64" i="9" s="1"/>
  <c r="I63" i="9"/>
  <c r="H63" i="9"/>
  <c r="G63" i="9"/>
  <c r="I62" i="9"/>
  <c r="H62" i="9"/>
  <c r="G62" i="9"/>
  <c r="I61" i="9"/>
  <c r="H61" i="9"/>
  <c r="G61" i="9"/>
  <c r="I60" i="9"/>
  <c r="H60" i="9"/>
  <c r="G60" i="9"/>
  <c r="I59" i="9"/>
  <c r="H59" i="9"/>
  <c r="G59" i="9"/>
  <c r="I58" i="9"/>
  <c r="H58" i="9"/>
  <c r="G58" i="9"/>
  <c r="I80" i="9"/>
  <c r="H80" i="9"/>
  <c r="G80" i="9"/>
  <c r="I79" i="9"/>
  <c r="H79" i="9"/>
  <c r="G79" i="9"/>
  <c r="I77" i="9"/>
  <c r="H77" i="9"/>
  <c r="G77" i="9"/>
  <c r="I78" i="9"/>
  <c r="H78" i="9"/>
  <c r="G78" i="9"/>
  <c r="I76" i="9"/>
  <c r="H76" i="9"/>
  <c r="G76" i="9"/>
  <c r="I75" i="9"/>
  <c r="H75" i="9"/>
  <c r="G75" i="9"/>
  <c r="I55" i="9"/>
  <c r="H55" i="9"/>
  <c r="G55" i="9"/>
  <c r="I57" i="9"/>
  <c r="H57" i="9"/>
  <c r="G57" i="9"/>
  <c r="I56" i="9"/>
  <c r="H56" i="9"/>
  <c r="G56" i="9"/>
  <c r="M51" i="9"/>
  <c r="M49" i="9"/>
  <c r="M48" i="9"/>
  <c r="I49" i="9"/>
  <c r="H49" i="9"/>
  <c r="G49" i="9"/>
  <c r="I51" i="9"/>
  <c r="H51" i="9"/>
  <c r="G51" i="9"/>
  <c r="I50" i="9"/>
  <c r="H50" i="9"/>
  <c r="G50" i="9"/>
  <c r="F50" i="9"/>
  <c r="M50" i="9" s="1"/>
  <c r="I48" i="9"/>
  <c r="H48" i="9"/>
  <c r="G48" i="9"/>
  <c r="I47" i="9"/>
  <c r="H47" i="9"/>
  <c r="G47" i="9"/>
  <c r="K54" i="9"/>
  <c r="I54" i="9"/>
  <c r="H54" i="9"/>
  <c r="G54" i="9"/>
  <c r="F54" i="9"/>
  <c r="I53" i="9"/>
  <c r="H53" i="9"/>
  <c r="G53" i="9"/>
  <c r="F53" i="9"/>
  <c r="M53" i="9" s="1"/>
  <c r="I52" i="9"/>
  <c r="H52" i="9"/>
  <c r="G52" i="9"/>
  <c r="F52" i="9"/>
  <c r="M52" i="9" s="1"/>
  <c r="M20" i="9"/>
  <c r="M21" i="9"/>
  <c r="M22" i="9"/>
  <c r="M23" i="9"/>
  <c r="M24" i="9"/>
  <c r="M25" i="9"/>
  <c r="M26" i="9"/>
  <c r="M28" i="9"/>
  <c r="M29" i="9"/>
  <c r="M30" i="9"/>
  <c r="I30" i="9"/>
  <c r="H30" i="9"/>
  <c r="G30" i="9"/>
  <c r="I29" i="9"/>
  <c r="H29" i="9"/>
  <c r="G29" i="9"/>
  <c r="I28" i="9"/>
  <c r="H28" i="9"/>
  <c r="G28" i="9"/>
  <c r="G27" i="9"/>
  <c r="I27" i="9"/>
  <c r="H27" i="9"/>
  <c r="I26" i="9"/>
  <c r="H26" i="9"/>
  <c r="G26" i="9"/>
  <c r="I25" i="9"/>
  <c r="H25" i="9"/>
  <c r="G25" i="9"/>
  <c r="I24" i="9"/>
  <c r="H24" i="9"/>
  <c r="G24" i="9"/>
  <c r="I23" i="9"/>
  <c r="H23" i="9"/>
  <c r="G23" i="9"/>
  <c r="I22" i="9"/>
  <c r="H22" i="9"/>
  <c r="G22" i="9"/>
  <c r="I21" i="9"/>
  <c r="H21" i="9"/>
  <c r="G21" i="9"/>
  <c r="I20" i="9"/>
  <c r="H20" i="9"/>
  <c r="G20" i="9"/>
  <c r="G8" i="8"/>
  <c r="G10" i="8"/>
  <c r="G12" i="8"/>
  <c r="G11" i="8"/>
  <c r="G9" i="8"/>
  <c r="J31" i="9" l="1"/>
  <c r="J33" i="9"/>
  <c r="J35" i="9"/>
  <c r="J37" i="9"/>
  <c r="J17" i="9"/>
  <c r="J10" i="9"/>
  <c r="J15" i="9"/>
  <c r="J75" i="9"/>
  <c r="J60" i="9"/>
  <c r="J43" i="9"/>
  <c r="J12" i="9"/>
  <c r="J7" i="9"/>
  <c r="J16" i="9"/>
  <c r="J79" i="9"/>
  <c r="J71" i="9"/>
  <c r="J77" i="9"/>
  <c r="J39" i="9"/>
  <c r="J52" i="9"/>
  <c r="S7" i="9" s="1"/>
  <c r="J48" i="9"/>
  <c r="J54" i="9"/>
  <c r="J51" i="9"/>
  <c r="J47" i="9"/>
  <c r="J49" i="9"/>
  <c r="J73" i="9"/>
  <c r="J44" i="9"/>
  <c r="J40" i="9"/>
  <c r="J46" i="9"/>
  <c r="J41" i="9"/>
  <c r="J76" i="9"/>
  <c r="J8" i="9"/>
  <c r="J56" i="9"/>
  <c r="J27" i="9"/>
  <c r="J29" i="9"/>
  <c r="J67" i="9"/>
  <c r="J42" i="9"/>
  <c r="J53" i="9"/>
  <c r="J50" i="9"/>
  <c r="J57" i="9"/>
  <c r="J62" i="9"/>
  <c r="J64" i="9"/>
  <c r="J70" i="9"/>
  <c r="J14" i="9"/>
  <c r="J19" i="9"/>
  <c r="M54" i="9"/>
  <c r="J78" i="9"/>
  <c r="J68" i="9"/>
  <c r="J9" i="9"/>
  <c r="J80" i="9"/>
  <c r="J55" i="9"/>
  <c r="J63" i="9"/>
  <c r="J66" i="9"/>
  <c r="J13" i="9"/>
  <c r="J18" i="9"/>
  <c r="J11" i="9"/>
  <c r="J6" i="9"/>
  <c r="J45" i="9"/>
  <c r="J74" i="9"/>
  <c r="J72" i="9"/>
  <c r="J69" i="9"/>
  <c r="J65" i="9"/>
  <c r="J61" i="9"/>
  <c r="J59" i="9"/>
  <c r="J58" i="9"/>
  <c r="J28" i="9"/>
  <c r="J25" i="9"/>
  <c r="J24" i="9"/>
  <c r="J23" i="9"/>
  <c r="J26" i="9"/>
  <c r="J21" i="9"/>
  <c r="J22" i="9"/>
  <c r="J30" i="9"/>
  <c r="J20" i="9"/>
  <c r="R6" i="9" l="1"/>
  <c r="S8" i="9"/>
  <c r="R7" i="9"/>
  <c r="U7" i="9" s="1" a="1"/>
  <c r="U7" i="9" s="1"/>
  <c r="R8" i="9"/>
  <c r="U8" i="9" s="1" a="1"/>
  <c r="U8" i="9" s="1"/>
  <c r="U6" i="9" l="1" a="1"/>
  <c r="U6" i="9" s="1"/>
  <c r="R11" i="9"/>
  <c r="T7" i="9"/>
  <c r="T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<sst xmlns="http://schemas.openxmlformats.org/spreadsheetml/2006/main" count="1364" uniqueCount="544">
  <si>
    <t>Drone Market Forecast</t>
  </si>
  <si>
    <t>MTOW (kg)</t>
  </si>
  <si>
    <t>Materiales</t>
  </si>
  <si>
    <t>Máxima carga de Pago -MPL (kg)</t>
  </si>
  <si>
    <t>&lt;60</t>
  </si>
  <si>
    <t>57.6 - 90</t>
  </si>
  <si>
    <t>Alcanze (km)</t>
  </si>
  <si>
    <t>Tiempo de Vuelo con MPL (min)</t>
  </si>
  <si>
    <t>57.6 - 108</t>
  </si>
  <si>
    <t>61.2 - 115.2</t>
  </si>
  <si>
    <t>9,5</t>
  </si>
  <si>
    <t>Material compuesto de fibra de vidrio/carbono</t>
  </si>
  <si>
    <t>Altitud máxima de vuelo (m)</t>
  </si>
  <si>
    <t>Songbird 60</t>
  </si>
  <si>
    <t>Songbird 100</t>
  </si>
  <si>
    <t>Songbird 150</t>
  </si>
  <si>
    <t>Wingcopter 198</t>
  </si>
  <si>
    <t>MR: 15
FW: 90</t>
  </si>
  <si>
    <t>For Wingcopter 198</t>
  </si>
  <si>
    <t>Tiempo de carga completa (min)</t>
  </si>
  <si>
    <t>Tipo (Fixed-Wing / Multirotor / Combinado)</t>
  </si>
  <si>
    <t>Precio ($)</t>
  </si>
  <si>
    <t>Workhorse Horsefly</t>
  </si>
  <si>
    <t>LY-FH20</t>
  </si>
  <si>
    <t>1400x2600x260</t>
  </si>
  <si>
    <t>Mat. Compuesto de Fibras de Carbono</t>
  </si>
  <si>
    <t>(90 pero es el maximo)</t>
  </si>
  <si>
    <t>DeltaQuad</t>
  </si>
  <si>
    <t>235x90x17</t>
  </si>
  <si>
    <t>Dimensiones máximas (cm)</t>
  </si>
  <si>
    <t>Velocidad Crucero (km/h)</t>
  </si>
  <si>
    <t>60-90</t>
  </si>
  <si>
    <t>Velocidad del viento resistida en crucero (m/s)</t>
  </si>
  <si>
    <t>Autónomo</t>
  </si>
  <si>
    <t>NO</t>
  </si>
  <si>
    <t>Albatross</t>
  </si>
  <si>
    <t>SI</t>
  </si>
  <si>
    <t>Fixed Wing</t>
  </si>
  <si>
    <t>2-4.4</t>
  </si>
  <si>
    <t>-</t>
  </si>
  <si>
    <t>64.8-144</t>
  </si>
  <si>
    <t>Up to 4h</t>
  </si>
  <si>
    <t>Runway</t>
  </si>
  <si>
    <t>15.24 m</t>
  </si>
  <si>
    <t>ACSL Drone</t>
  </si>
  <si>
    <t>Multirotor</t>
  </si>
  <si>
    <t>12aH (X2) lIpO 6s</t>
  </si>
  <si>
    <t>Características adicionales</t>
  </si>
  <si>
    <t>BVLOS</t>
  </si>
  <si>
    <t>29 (sin PL)</t>
  </si>
  <si>
    <t>150 (Regulation)</t>
  </si>
  <si>
    <t>MATTERNET M2</t>
  </si>
  <si>
    <t>128x128x26</t>
  </si>
  <si>
    <t>20 con 1kg de PL</t>
  </si>
  <si>
    <t>120 (Regulación)</t>
  </si>
  <si>
    <t>Iones Litio</t>
  </si>
  <si>
    <t>15-30</t>
  </si>
  <si>
    <t>Muebles, material de construcción y electrónica</t>
  </si>
  <si>
    <t>Comida y bebidas</t>
  </si>
  <si>
    <t>Material de construcción, jardinería y suministros</t>
  </si>
  <si>
    <t>Mercancías generales</t>
  </si>
  <si>
    <t>117.3x106.7x65.4</t>
  </si>
  <si>
    <t>Híbrido</t>
  </si>
  <si>
    <t>Característica</t>
  </si>
  <si>
    <t>UPS</t>
  </si>
  <si>
    <t>Amazon</t>
  </si>
  <si>
    <t>FedEx</t>
  </si>
  <si>
    <t>USPS</t>
  </si>
  <si>
    <t>65 x 198 x 152</t>
  </si>
  <si>
    <t>MPL: 45
Typical: 90</t>
  </si>
  <si>
    <t>Baterias</t>
  </si>
  <si>
    <t>74 (max)</t>
  </si>
  <si>
    <t>40,000 mAh</t>
  </si>
  <si>
    <t>MPL: 25
Empty: 50</t>
  </si>
  <si>
    <t>Column1</t>
  </si>
  <si>
    <t>Batteries charging</t>
  </si>
  <si>
    <t>DJI Mavic 3</t>
  </si>
  <si>
    <t>Capacity (mAh)</t>
  </si>
  <si>
    <t>Time (min)</t>
  </si>
  <si>
    <t>Multi-Rotor</t>
  </si>
  <si>
    <t>Manufacturing Cost</t>
  </si>
  <si>
    <t>Ala Fija</t>
  </si>
  <si>
    <t>Velocidad de crucero</t>
  </si>
  <si>
    <t>Alcance / Tiempo de vuelo</t>
  </si>
  <si>
    <t>Carga de Pago (PL)</t>
  </si>
  <si>
    <t>130x100x?</t>
  </si>
  <si>
    <t>Wing Drone *</t>
  </si>
  <si>
    <t>* Datos proporcionados para una determinada carga de pago (1.2 kg)</t>
  </si>
  <si>
    <t>Deportes e instrumentos de música</t>
  </si>
  <si>
    <t>&lt; 900 €</t>
  </si>
  <si>
    <t>1.600 - 2.499 €</t>
  </si>
  <si>
    <t>2.500 - 2.999 €</t>
  </si>
  <si>
    <t>&gt; 3.000 €</t>
  </si>
  <si>
    <t>Envío a domicilio</t>
  </si>
  <si>
    <t>Puntos de recogida</t>
  </si>
  <si>
    <t>Recogida en tienda</t>
  </si>
  <si>
    <t>Taquillas</t>
  </si>
  <si>
    <t>Manna €</t>
  </si>
  <si>
    <t>Deliveroo</t>
  </si>
  <si>
    <t>Versatilidad</t>
  </si>
  <si>
    <t>Despegue y aterrizaje</t>
  </si>
  <si>
    <t>Maniobrabilidad</t>
  </si>
  <si>
    <t>Días de lluvia al año</t>
  </si>
  <si>
    <t>Balbriggan</t>
  </si>
  <si>
    <t>Edad Media</t>
  </si>
  <si>
    <t>MR: 5 m/s
FW: 100.8</t>
  </si>
  <si>
    <t>PL</t>
  </si>
  <si>
    <t>Alcance (km)</t>
  </si>
  <si>
    <t>Flight Time (min)</t>
  </si>
  <si>
    <t>Frisco</t>
  </si>
  <si>
    <t>Little Elm</t>
  </si>
  <si>
    <t>Mayor velocidad diaria promedio (km/h)</t>
  </si>
  <si>
    <t>Densidad de clientes (Clientes Potenciales/km^2)</t>
  </si>
  <si>
    <t>Canberra (Subirbios de Kaleen y Giralang)</t>
  </si>
  <si>
    <t>Zona</t>
  </si>
  <si>
    <t>Población</t>
  </si>
  <si>
    <t>20-49</t>
  </si>
  <si>
    <t>50-64</t>
  </si>
  <si>
    <t>Majadahonda</t>
  </si>
  <si>
    <t>Pozuelo de Alarcón</t>
  </si>
  <si>
    <t>Densidad de Población</t>
  </si>
  <si>
    <t>&gt;65</t>
  </si>
  <si>
    <t>Extensión (km^2)</t>
  </si>
  <si>
    <t>01-022</t>
  </si>
  <si>
    <t>Boadilla</t>
  </si>
  <si>
    <t>01-010</t>
  </si>
  <si>
    <t>01-005</t>
  </si>
  <si>
    <t>Las Rozas</t>
  </si>
  <si>
    <t>Pozuelo de Alarcon</t>
  </si>
  <si>
    <t>Boadilla del monte</t>
  </si>
  <si>
    <t>Alcobendas (La Moraleja)</t>
  </si>
  <si>
    <t>Percentil de renta en su País *</t>
  </si>
  <si>
    <t>* https://www.cso.ie/en</t>
  </si>
  <si>
    <t>Verde</t>
  </si>
  <si>
    <t>La Moraleja</t>
  </si>
  <si>
    <t>01-033</t>
  </si>
  <si>
    <t>01-041</t>
  </si>
  <si>
    <t>Morada</t>
  </si>
  <si>
    <t>01-039</t>
  </si>
  <si>
    <t>01-040</t>
  </si>
  <si>
    <t>Habitantes</t>
  </si>
  <si>
    <t>01-059</t>
  </si>
  <si>
    <t>Renta Mediana (2018, €)</t>
  </si>
  <si>
    <t>16-123</t>
  </si>
  <si>
    <t>16-091</t>
  </si>
  <si>
    <t>01-034</t>
  </si>
  <si>
    <t>&lt;19</t>
  </si>
  <si>
    <t>01-035</t>
  </si>
  <si>
    <t>01-048</t>
  </si>
  <si>
    <t>01-036</t>
  </si>
  <si>
    <t>01-003</t>
  </si>
  <si>
    <t>01-004</t>
  </si>
  <si>
    <t>01-007</t>
  </si>
  <si>
    <t>01-020</t>
  </si>
  <si>
    <t>01-025</t>
  </si>
  <si>
    <t>01-009</t>
  </si>
  <si>
    <t>01-018</t>
  </si>
  <si>
    <t>01-016</t>
  </si>
  <si>
    <t>01-002</t>
  </si>
  <si>
    <t>01-019</t>
  </si>
  <si>
    <t>01-024</t>
  </si>
  <si>
    <t>02-011</t>
  </si>
  <si>
    <t>02-018</t>
  </si>
  <si>
    <t>02-007</t>
  </si>
  <si>
    <t>02-017</t>
  </si>
  <si>
    <t>02-022</t>
  </si>
  <si>
    <t>02-005</t>
  </si>
  <si>
    <t>02-008</t>
  </si>
  <si>
    <t>02-025</t>
  </si>
  <si>
    <t>02-002</t>
  </si>
  <si>
    <t>02-004</t>
  </si>
  <si>
    <t>02-010</t>
  </si>
  <si>
    <t>02-014</t>
  </si>
  <si>
    <t>02-013</t>
  </si>
  <si>
    <t>02-009</t>
  </si>
  <si>
    <t>02-019</t>
  </si>
  <si>
    <t>01-014</t>
  </si>
  <si>
    <t>01-011</t>
  </si>
  <si>
    <t>01-013</t>
  </si>
  <si>
    <t>01-032</t>
  </si>
  <si>
    <t>Azul</t>
  </si>
  <si>
    <t>01-026</t>
  </si>
  <si>
    <t>01-037</t>
  </si>
  <si>
    <t>01-030</t>
  </si>
  <si>
    <t>01-031</t>
  </si>
  <si>
    <t>01-023</t>
  </si>
  <si>
    <t>01-029</t>
  </si>
  <si>
    <t>01-042</t>
  </si>
  <si>
    <t>Público objetivo</t>
  </si>
  <si>
    <t>Público Total</t>
  </si>
  <si>
    <t>Público objetivo (%)</t>
  </si>
  <si>
    <t>Bateria</t>
  </si>
  <si>
    <t>Almacenamiento (mAh)</t>
  </si>
  <si>
    <t>Tipo batería</t>
  </si>
  <si>
    <t>Inspire 2 TB50 Intelligent Flight Battery</t>
  </si>
  <si>
    <t>LiPo 6s</t>
  </si>
  <si>
    <t>Matrice 600 Series TB48S Intelligent Flight Battery</t>
  </si>
  <si>
    <t>DeltaQuad LiPo</t>
  </si>
  <si>
    <t>1.7 / LiPo 4s / 23Ah</t>
  </si>
  <si>
    <t>Li Ion 10 kg / 814x2 Wh</t>
  </si>
  <si>
    <t>LiPo 6s 22,000</t>
  </si>
  <si>
    <t>Web</t>
  </si>
  <si>
    <t>https://www.maxamps.com/products/lipo-5450mah-packs</t>
  </si>
  <si>
    <t>LiPo 5450 Battery Pack</t>
  </si>
  <si>
    <t>LiPo 4s</t>
  </si>
  <si>
    <t>Tattu 4500</t>
  </si>
  <si>
    <t>Tattu 5200</t>
  </si>
  <si>
    <t>LiPo 12000XL Battery Pack</t>
  </si>
  <si>
    <t>Kirschstein 2020</t>
  </si>
  <si>
    <t>Paper</t>
  </si>
  <si>
    <t>MTOW</t>
  </si>
  <si>
    <t>Alcance</t>
  </si>
  <si>
    <t>Vel. Crucero</t>
  </si>
  <si>
    <t>Ioncluye 5 minutos de hovering</t>
  </si>
  <si>
    <t>Energía (J/m)</t>
  </si>
  <si>
    <t>Xu 2017</t>
  </si>
  <si>
    <t>Tipo</t>
  </si>
  <si>
    <t>Comentarios</t>
  </si>
  <si>
    <t>9999 - 18.000 €</t>
  </si>
  <si>
    <t>Batería</t>
  </si>
  <si>
    <t>Ciclos</t>
  </si>
  <si>
    <t>Capacidad</t>
  </si>
  <si>
    <t>https://www.lipobattery.us/</t>
  </si>
  <si>
    <t>https://www.farnell.com</t>
  </si>
  <si>
    <t>http://www.honcell.com</t>
  </si>
  <si>
    <t>https://uk.rs-online.com</t>
  </si>
  <si>
    <t>https://www.grepow.com/</t>
  </si>
  <si>
    <t>https://www.lipolbattery.com/</t>
  </si>
  <si>
    <t>LiPo 6500 4S 14.8v Dual Core Battery Pack</t>
  </si>
  <si>
    <t>LiPo 9000XL 4S2P 14.8v Battery Pack</t>
  </si>
  <si>
    <t>https://www.maxamps.com/</t>
  </si>
  <si>
    <t>Venom 14.8V 5000mAh 4S 50C FLY LiPo Battery: UNI 2.0 Plug</t>
  </si>
  <si>
    <t>Spektrum 14.8V 5000mAh 4S 30C Smart LiPo Battery: IC5</t>
  </si>
  <si>
    <t>https://www.horizonhobby.com/</t>
  </si>
  <si>
    <t>https://dxf-hobby.store/</t>
  </si>
  <si>
    <t>GoldSeries Graphene lipo Hardcase with EC5 and XT90 Plug for Rc 1/8 1/10 Buggy Truck Car Off-Road Drone</t>
  </si>
  <si>
    <t>HRB 4S 6000 mAh 14.8 V 50C batería Lipo</t>
  </si>
  <si>
    <t>www.yoowooo.com</t>
  </si>
  <si>
    <t>HOOVO 4S Lipo batería 14.8V 6200mAh 80C batería RC EC5</t>
  </si>
  <si>
    <t>HOOVO</t>
  </si>
  <si>
    <t>www.gifipower.com</t>
  </si>
  <si>
    <t>Batería de repuesto Lipo de 8050 mAh 14.8 V</t>
  </si>
  <si>
    <t>YOWOO 6S - Batería de grafeno 6000mAh 100C 22.2V Lipo</t>
  </si>
  <si>
    <t>HRB 6S 6000mAh 22.2V Lipo batería 50C EC5</t>
  </si>
  <si>
    <t>LiPo 6500 6S 22.2v Dual Core Battery Pack</t>
  </si>
  <si>
    <t>Graphene LiPo 5200 6S 22.2v RC Battery Pack</t>
  </si>
  <si>
    <t>TATTU</t>
  </si>
  <si>
    <t>HRB</t>
  </si>
  <si>
    <t>DELTAQUAD</t>
  </si>
  <si>
    <t>www.dji.com</t>
  </si>
  <si>
    <t>LiPo 9000XL 6S2P 22.2v Battery Pack</t>
  </si>
  <si>
    <t>https://rc-innovations.es/</t>
  </si>
  <si>
    <t>Desire power V8 Series 6s 10000mAh 20C</t>
  </si>
  <si>
    <t>Tattu 9000</t>
  </si>
  <si>
    <t>Wh (mAh*V/1000)</t>
  </si>
  <si>
    <t>Dron</t>
  </si>
  <si>
    <t>DJI M200 (TB50)</t>
  </si>
  <si>
    <t>DJI M200 (TB55)</t>
  </si>
  <si>
    <t>Max. Speed</t>
  </si>
  <si>
    <t>Baterías (mAh)</t>
  </si>
  <si>
    <t>Energía (Wh)</t>
  </si>
  <si>
    <t>DJI M300 RTK</t>
  </si>
  <si>
    <t>MTOM (kg)</t>
  </si>
  <si>
    <t>MPL (kg)</t>
  </si>
  <si>
    <t>FT (min)</t>
  </si>
  <si>
    <t>FT MPL (min)</t>
  </si>
  <si>
    <t>37.39 (LiPo)</t>
  </si>
  <si>
    <t>LiPo 2S + Li-ion</t>
  </si>
  <si>
    <t>DJI M600 PRO (TB47S)</t>
  </si>
  <si>
    <t>DJI M600 PRO (TB48S)</t>
  </si>
  <si>
    <t>Price</t>
  </si>
  <si>
    <t>Sentaero BVLOS</t>
  </si>
  <si>
    <t>Fees</t>
  </si>
  <si>
    <t>Deliveries</t>
  </si>
  <si>
    <t>Logan 2021</t>
  </si>
  <si>
    <t>Max Deliveries / Person</t>
  </si>
  <si>
    <t>https://censystech.com/sentaerobvlos/</t>
  </si>
  <si>
    <t>http://www.honcell.com (Proporcionadas por sales dep.)</t>
  </si>
  <si>
    <t>https://www.spardbattery.com/general-lithium-polymer-battery</t>
  </si>
  <si>
    <t>http://zyepower.com/</t>
  </si>
  <si>
    <t>ZYE high density solid state battery 6000</t>
  </si>
  <si>
    <t>Despegue</t>
  </si>
  <si>
    <t>Hover</t>
  </si>
  <si>
    <t>Aterrizaje</t>
  </si>
  <si>
    <t>Crucero</t>
  </si>
  <si>
    <t>Energía específica (J/kg·s)</t>
  </si>
  <si>
    <t>A procedure for power consumption estimation of multi-rotor unmanned
aerial vehicle</t>
  </si>
  <si>
    <t>Fase de vuelo</t>
  </si>
  <si>
    <t>35kg/¿velocidad?</t>
  </si>
  <si>
    <t>Moraleja Green</t>
  </si>
  <si>
    <t>Latitud</t>
  </si>
  <si>
    <t>Longitud</t>
  </si>
  <si>
    <t>Lugar</t>
  </si>
  <si>
    <t>Distancia (km)</t>
  </si>
  <si>
    <t>Punto</t>
  </si>
  <si>
    <t>Zona 2</t>
  </si>
  <si>
    <t>6 R</t>
  </si>
  <si>
    <t>POINT (-3.8772483 40.5039176)</t>
  </si>
  <si>
    <t>5 R</t>
  </si>
  <si>
    <t>POINT (-3.8750167 40.4962162)</t>
  </si>
  <si>
    <t>4 R</t>
  </si>
  <si>
    <t>POINT (-3.8843723 40.4891667)</t>
  </si>
  <si>
    <t>3 R</t>
  </si>
  <si>
    <t>POINT (-3.8921082 40.4885877)</t>
  </si>
  <si>
    <t>2 R</t>
  </si>
  <si>
    <t>POINT (-3.8779032 40.4900238)</t>
  </si>
  <si>
    <t>1 R</t>
  </si>
  <si>
    <t>POINT (-3.8715088 40.4873800)</t>
  </si>
  <si>
    <t>Zona 1</t>
  </si>
  <si>
    <t>Equinoccio</t>
  </si>
  <si>
    <t>Heron City</t>
  </si>
  <si>
    <t>Zona 3</t>
  </si>
  <si>
    <t>Provisional Zona</t>
  </si>
  <si>
    <t>POINT (-3.9360373 40.536236)</t>
  </si>
  <si>
    <t>POINT (-3.9318317 40.5403454)</t>
  </si>
  <si>
    <t>POINT (-3.9284842 40.545759)</t>
  </si>
  <si>
    <t>POINT (-3.9384406 40.5389755)</t>
  </si>
  <si>
    <t>POINT (-3.9466803 40.5403453)</t>
  </si>
  <si>
    <t>POINT (-3.9433329 40.5357142)</t>
  </si>
  <si>
    <t>POINT (-3.9403288 40.5316044)</t>
  </si>
  <si>
    <t>POINT (-3.9079707 40.5576283)</t>
  </si>
  <si>
    <t>POINT (-3.9013617 40.552933)</t>
  </si>
  <si>
    <t>POINT (-3.9080845 40.5444621)</t>
  </si>
  <si>
    <t>POINT (-3.9135777 40.5472666)</t>
  </si>
  <si>
    <t>POINT (-3.9284264 40.5314162)</t>
  </si>
  <si>
    <t>POINT (-3.9327179 40.5266539)</t>
  </si>
  <si>
    <t>POINT (-3.9346062 40.5297201)</t>
  </si>
  <si>
    <t>POINT (-3.9317738 40.5334385)</t>
  </si>
  <si>
    <t>POINT (-3.9229332 40.5303726)</t>
  </si>
  <si>
    <t>POINT (-3.9276539 40.5366349)</t>
  </si>
  <si>
    <t>POINT (-3.9227615 40.535526)</t>
  </si>
  <si>
    <t>POINT (-3.9195858 40.5388527)</t>
  </si>
  <si>
    <t>POINT (-3.9243065 40.5419836)</t>
  </si>
  <si>
    <t>POINT (-3.9219891 40.5476579)</t>
  </si>
  <si>
    <t>POINT (-3.9136635 40.5421793)</t>
  </si>
  <si>
    <t>POINT (-3.9067112 40.5487667)</t>
  </si>
  <si>
    <t>POINT (-3.9007889 40.5488971)</t>
  </si>
  <si>
    <t>POINT (-3.8968407 40.5460926)</t>
  </si>
  <si>
    <t>POINT (-3.9016472 40.544136)</t>
  </si>
  <si>
    <t>POINT (-3.8938366 40.5380047)</t>
  </si>
  <si>
    <t>POINT (-3.8949524 40.5336342)</t>
  </si>
  <si>
    <t>POINT (-3.9008747 40.5316119)</t>
  </si>
  <si>
    <t>POINT (-3.9016473 40.535265)</t>
  </si>
  <si>
    <t>POINT (-3.9073979 40.5342213)</t>
  </si>
  <si>
    <t>POINT (-3.9090287 40.5299811)</t>
  </si>
  <si>
    <t>POINT (-3.9259857 40.522143)</t>
  </si>
  <si>
    <t>POINT (-3.9313072 40.5209033)</t>
  </si>
  <si>
    <t>POINT (-3.9210934 40.5229911)</t>
  </si>
  <si>
    <t>POINT (-3.9098496 40.5236435)</t>
  </si>
  <si>
    <t>POINT (-3.9153428 40.5252746)</t>
  </si>
  <si>
    <t>POINT (-3.9179177 40.5214252)</t>
  </si>
  <si>
    <t>POINT (-3.9205784 40.5175105)</t>
  </si>
  <si>
    <t>POINT (-3.9122528 40.5192721)</t>
  </si>
  <si>
    <t>POINT (-3.9160294 40.5158792)</t>
  </si>
  <si>
    <t>POINT (-3.9089054 40.5151614)</t>
  </si>
  <si>
    <t>POINT (-3.9128537 40.511964)</t>
  </si>
  <si>
    <t>POINT (-3.9051288 40.5102674)</t>
  </si>
  <si>
    <t>POINT (-3.8951725 40.5043941)</t>
  </si>
  <si>
    <t>POINT (-3.9060730 40.5220777)</t>
  </si>
  <si>
    <t>POINT (-3.9065880 40.5059603)</t>
  </si>
  <si>
    <t>POINT (-3.9055580 40.5182281)</t>
  </si>
  <si>
    <t>POINT (-3.8987290 40.5398311)</t>
  </si>
  <si>
    <t>POINT (-3.9179550 40.5443316)</t>
  </si>
  <si>
    <t>POINT (-3.9351790 40.545759)</t>
  </si>
  <si>
    <t>POINT (-3.8767675 40.483148)</t>
  </si>
  <si>
    <t>POINT (-3.8702444 40.483148)</t>
  </si>
  <si>
    <t>POINT (-3.8649229 40.4832785)</t>
  </si>
  <si>
    <t>POINT (-3.8592580 40.4814506)</t>
  </si>
  <si>
    <t>POINT (-3.8542799 40.4796226)</t>
  </si>
  <si>
    <t>POINT (-3.8664678 40.4796879)</t>
  </si>
  <si>
    <t>POINT (-3.8608030 40.478578)</t>
  </si>
  <si>
    <t>POINT (-3.8560823 40.477664)</t>
  </si>
  <si>
    <t>POINT (-3.8501600 40.4771416)</t>
  </si>
  <si>
    <t>POINT (-3.8442377 40.4765541)</t>
  </si>
  <si>
    <t>POINT (-3.8662961 40.47675)</t>
  </si>
  <si>
    <t>POINT (-3.8607172 40.4762277)</t>
  </si>
  <si>
    <t>POINT (-3.8556531 40.4746607)</t>
  </si>
  <si>
    <t>POINT (-3.8516191 40.4744648)</t>
  </si>
  <si>
    <t>POINT (-3.8631204 40.473616)</t>
  </si>
  <si>
    <t>POINT (-3.8660387 40.472049)</t>
  </si>
  <si>
    <t>POINT (-3.8589147 40.4728978)</t>
  </si>
  <si>
    <t>POINT (-3.8529065 40.4721143)</t>
  </si>
  <si>
    <t>POINT (-3.8562540 40.4709391)</t>
  </si>
  <si>
    <t>POINT (-3.8613180 40.4698943)</t>
  </si>
  <si>
    <t>POINT (-3.8663820 40.469176)</t>
  </si>
  <si>
    <t>POINT (-3.8627771 40.4669559)</t>
  </si>
  <si>
    <t>POINT (-3.8571981 40.4687843)</t>
  </si>
  <si>
    <t>POINT (-3.8583139 40.4660417)</t>
  </si>
  <si>
    <t>POINT (-3.8670687 40.4651276)</t>
  </si>
  <si>
    <t>POINT (-3.8683561 40.4612748)</t>
  </si>
  <si>
    <t>POINT (-3.8636354 40.4638216)</t>
  </si>
  <si>
    <t>POINT (-3.8621763 40.4608176)</t>
  </si>
  <si>
    <t>POINT (-3.8787416 40.459838)</t>
  </si>
  <si>
    <t>POINT (-3.8571123 40.4576176)</t>
  </si>
  <si>
    <t>POINT (-3.8548807 40.4504335)</t>
  </si>
  <si>
    <t>POINT (-3.8552550 40.4545091)</t>
  </si>
  <si>
    <t>POINT (-3.8921281 40.4545387)</t>
  </si>
  <si>
    <t>POINT (-3.8847467 40.4529713)</t>
  </si>
  <si>
    <t>POINT (-3.8850900 40.4493137)</t>
  </si>
  <si>
    <t>POINT (-3.8979646 40.4530366)</t>
  </si>
  <si>
    <t>POINT (-3.9060327 40.4554531)</t>
  </si>
  <si>
    <t>POINT (-3.9134999 40.4567593)</t>
  </si>
  <si>
    <t>POINT (-3.9137574 40.4521222)</t>
  </si>
  <si>
    <t>POINT (-3.9080926 40.4504241)</t>
  </si>
  <si>
    <t>POINT (-3.9020845 40.4483993)</t>
  </si>
  <si>
    <t>POINT (-3.8941881 40.4497056)</t>
  </si>
  <si>
    <t>POINT (-3.8895532 40.4425206)</t>
  </si>
  <si>
    <t>POINT (-3.8836309 40.4437616)</t>
  </si>
  <si>
    <t>POINT (-3.8968489 40.4453946)</t>
  </si>
  <si>
    <t>POINT (-3.9012262 40.4426512)</t>
  </si>
  <si>
    <t>POINT (-3.9044877 40.4388625)</t>
  </si>
  <si>
    <t>POINT (-3.9083501 40.4410835)</t>
  </si>
  <si>
    <t>POINT (-3.9207097 40.4401036)</t>
  </si>
  <si>
    <t>POINT (-3.9218255 40.4363147)</t>
  </si>
  <si>
    <t>POINT (-3.9227697 40.4317415)</t>
  </si>
  <si>
    <t>POINT (-3.9225121 40.4272335)</t>
  </si>
  <si>
    <t>POINT (-3.9212247 40.4224638)</t>
  </si>
  <si>
    <t>POINT (-3.9154741 40.4258614)</t>
  </si>
  <si>
    <t>POINT (-3.9171049 40.4301081)</t>
  </si>
  <si>
    <t>POINT (-3.9121267 40.4321989)</t>
  </si>
  <si>
    <t>POINT (-3.9178773 40.4178243)</t>
  </si>
  <si>
    <t>POINT (-3.9132424 40.4211568)</t>
  </si>
  <si>
    <t>POINT (-3.8969346 40.4333096)</t>
  </si>
  <si>
    <t>POINT (-3.9093801 40.4288015)</t>
  </si>
  <si>
    <t>POINT (-3.9076634 40.4238359)</t>
  </si>
  <si>
    <t>POINT (-3.9159033 40.4364452)</t>
  </si>
  <si>
    <t>POINT (-3.9086076 40.4180857)</t>
  </si>
  <si>
    <t>POINT (-3.9037153 40.4201767)</t>
  </si>
  <si>
    <t>POINT (-3.9024278 40.4157332)</t>
  </si>
  <si>
    <t>POINT (-3.8958189 40.4144262)</t>
  </si>
  <si>
    <t>POINT (-3.8966771 40.4195232)</t>
  </si>
  <si>
    <t>POINT (-3.8935872 40.4233785)</t>
  </si>
  <si>
    <t>POINT (-3.9116117 40.4380132)</t>
  </si>
  <si>
    <t>POINT (-3.8987371 40.4380132)</t>
  </si>
  <si>
    <t>POINT (-3.9076635 40.4343548)</t>
  </si>
  <si>
    <t>POINT (-3.9021703 40.4342241)</t>
  </si>
  <si>
    <t>POINT (-3.8989945 40.4288669)</t>
  </si>
  <si>
    <t>POINT (-3.8877507 40.4282789)</t>
  </si>
  <si>
    <t>POINT (-3.9047452 40.4298469)</t>
  </si>
  <si>
    <t>POINT (-3.9011404 40.4250773)</t>
  </si>
  <si>
    <t>POINT (-3.8946172 40.4278868)</t>
  </si>
  <si>
    <t>POINT (-3.8920423 40.4320682)</t>
  </si>
  <si>
    <t>POINT (-3.8855192 40.4328522)</t>
  </si>
  <si>
    <t>POINT (-3.8893815 40.43736)</t>
  </si>
  <si>
    <t>POINT (-3.8947889 40.4401689)</t>
  </si>
  <si>
    <t>POINT (-3.8880940 40.4463743)</t>
  </si>
  <si>
    <t>POINT (-3.8832017 40.4386664)</t>
  </si>
  <si>
    <t>POINT (-3.8881799 40.4220063)</t>
  </si>
  <si>
    <t>POINT (-3.8735029 40.4311536)</t>
  </si>
  <si>
    <t>POINT (-3.8744470 40.4245546)</t>
  </si>
  <si>
    <t>POINT (-3.8813134 40.4233785)</t>
  </si>
  <si>
    <t>POINT (-3.8794252 40.4182817)</t>
  </si>
  <si>
    <t>POINT (-3.8837168 40.4144916)</t>
  </si>
  <si>
    <t>POINT (-3.8519593 40.4103091)</t>
  </si>
  <si>
    <t>POINT (-3.8452645 40.4113547)</t>
  </si>
  <si>
    <t>POINT (-3.8463803 40.4073028)</t>
  </si>
  <si>
    <t>POINT (-3.8404581 40.3982177)</t>
  </si>
  <si>
    <t>POINT (-3.8508436 40.3984791)</t>
  </si>
  <si>
    <t>POINT (-3.8441488 40.4030545)</t>
  </si>
  <si>
    <t>POINT (-3.8286993 40.4142301)</t>
  </si>
  <si>
    <t>POINT (-3.8340207 40.4159292)</t>
  </si>
  <si>
    <t>POINT (-3.8357373 40.4206341)</t>
  </si>
  <si>
    <t>POINT (-3.8451787 40.4210262)</t>
  </si>
  <si>
    <t>POINT (-3.8408014 40.4239665)</t>
  </si>
  <si>
    <t>POINT (-3.8492127 40.4259267)</t>
  </si>
  <si>
    <t>POINT (-3.8435479 40.4282135)</t>
  </si>
  <si>
    <t>POINT (-3.8520452 40.4314802)</t>
  </si>
  <si>
    <t>POINT (-3.8471528 40.4335055)</t>
  </si>
  <si>
    <t>POINT (-3.8568517 40.438405)</t>
  </si>
  <si>
    <t>POINT (-3.8503286 40.4380785)</t>
  </si>
  <si>
    <t>POINT (-3.8601132 40.4424552)</t>
  </si>
  <si>
    <t>POINT (-3.8541909 40.4429125)</t>
  </si>
  <si>
    <t>POINT (-3.8484403 40.4419327)</t>
  </si>
  <si>
    <t>POINT (-3.8479253 40.4472889)</t>
  </si>
  <si>
    <t>POINT (-3.8438055 40.4442842)</t>
  </si>
  <si>
    <t>POINT (-3.8397714 40.4415408)</t>
  </si>
  <si>
    <t>POINT (-3.8389989 40.4470929)</t>
  </si>
  <si>
    <t>POINT (-3.8242360 40.4374906)</t>
  </si>
  <si>
    <t>POINT (-3.8184854 40.4415407)</t>
  </si>
  <si>
    <t>POINT (-3.8227770 40.4457212)</t>
  </si>
  <si>
    <t>POINT (-3.8161679 40.4466357)</t>
  </si>
  <si>
    <t>POINT (-3.8147088 40.4517957)</t>
  </si>
  <si>
    <t>POINT (-3.8408014 40.4178243)</t>
  </si>
  <si>
    <t>Distrito</t>
  </si>
  <si>
    <t>Zona (2)</t>
  </si>
  <si>
    <t>Grubhub</t>
  </si>
  <si>
    <t>Just Eat</t>
  </si>
  <si>
    <t>Uber Eats</t>
  </si>
  <si>
    <t>Glovo</t>
  </si>
  <si>
    <t>%</t>
  </si>
  <si>
    <t>Fixed</t>
  </si>
  <si>
    <t>Entrada</t>
  </si>
  <si>
    <t>150+IVA</t>
  </si>
  <si>
    <t>14+IVA</t>
  </si>
  <si>
    <t>Cuota</t>
  </si>
  <si>
    <t>100 mes</t>
  </si>
  <si>
    <t>Fuente</t>
  </si>
  <si>
    <t>Blog Glovo</t>
  </si>
  <si>
    <t>15-30%</t>
  </si>
  <si>
    <t>20-30%</t>
  </si>
  <si>
    <t>Web Uber Eats</t>
  </si>
  <si>
    <t>www.dephna.com</t>
  </si>
  <si>
    <t>País</t>
  </si>
  <si>
    <t>España</t>
  </si>
  <si>
    <t>UK</t>
  </si>
  <si>
    <t>UberEats</t>
  </si>
  <si>
    <t>295 + VAT</t>
  </si>
  <si>
    <t>14%+VAT</t>
  </si>
  <si>
    <t>1-5% *</t>
  </si>
  <si>
    <t>1-5% **</t>
  </si>
  <si>
    <t>Prendas de vestir</t>
  </si>
  <si>
    <t>Hipermercados y tiendas de alimentación</t>
  </si>
  <si>
    <t>Grandes almacenes</t>
  </si>
  <si>
    <t>Restaurantes</t>
  </si>
  <si>
    <t>Volumen e commerce 2º trim. 2021</t>
  </si>
  <si>
    <t>Nº transacciones e commerce 2º trim. 2021</t>
  </si>
  <si>
    <t>Grandes Almacenes</t>
  </si>
  <si>
    <t>Hipermercados, supermercados y tiendas de alimentación</t>
  </si>
  <si>
    <t>Volumen/transacción</t>
  </si>
  <si>
    <t>h</t>
  </si>
  <si>
    <t>r</t>
  </si>
  <si>
    <t>d</t>
  </si>
  <si>
    <t>I(dB)</t>
  </si>
  <si>
    <t>900 - 1.599 €</t>
  </si>
  <si>
    <t>JustEat</t>
  </si>
  <si>
    <t>Medio</t>
  </si>
  <si>
    <t>Max</t>
  </si>
  <si>
    <t>Gestion</t>
  </si>
  <si>
    <t>Media</t>
  </si>
  <si>
    <t>Irlanda</t>
  </si>
  <si>
    <t>Food delivery HootSuite 2021 January</t>
  </si>
  <si>
    <t>Australia</t>
  </si>
  <si>
    <t>USA</t>
  </si>
  <si>
    <t>India</t>
  </si>
  <si>
    <t>China</t>
  </si>
  <si>
    <t>Todo el mundo</t>
  </si>
  <si>
    <t>Canada</t>
  </si>
  <si>
    <t>Francia</t>
  </si>
  <si>
    <t>Portugal</t>
  </si>
  <si>
    <t>Column2</t>
  </si>
  <si>
    <t>Alemania</t>
  </si>
  <si>
    <t>Salarios</t>
  </si>
  <si>
    <t>otros</t>
  </si>
  <si>
    <t>Inv.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</si>
</sst>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"/>
    <numFmt numFmtId="166" formatCode="#,##0.00\ [$€-1];[Red]\-#,##0.00\ [$€-1]"/>
    <numFmt numFmtId="167" formatCode="0.000000"/>
    <numFmt numFmtId="168" formatCode="0.0000000"/>
    <numFmt numFmtId="169" formatCode="0.0%"/>
    <numFmt numFmtId="170" formatCode="_([$€-2]\ * #,##0.00_);_([$€-2]\ * \(#,##0.00\);_([$€-2]\ * &quot;-&quot;??_);_(@_)"/>
    <numFmt numFmtId="171" formatCode="0.0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Montserrat"/>
    </font>
    <font>
      <sz val="12"/>
      <name val="Montserrat"/>
    </font>
    <font>
      <sz val="12"/>
      <color rgb="FF000000"/>
      <name val="Montserrat"/>
    </font>
    <font>
      <sz val="12"/>
      <color theme="0"/>
      <name val="Montserrat"/>
    </font>
    <font>
      <sz val="8"/>
      <color rgb="FF333333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name val="Montserrat"/>
    </font>
    <font>
      <sz val="9"/>
      <color theme="1"/>
      <name val="Montserrat"/>
    </font>
    <font>
      <sz val="11"/>
      <name val="Calibri"/>
      <family val="2"/>
      <scheme val="minor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 readingOrder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7" fillId="0" borderId="0" xfId="2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7" fillId="0" borderId="0" xfId="2"/>
    <xf numFmtId="9" fontId="0" fillId="0" borderId="0" xfId="0" applyNumberFormat="1"/>
    <xf numFmtId="166" fontId="0" fillId="0" borderId="0" xfId="0" applyNumberFormat="1" applyAlignment="1">
      <alignment horizontal="center" vertical="center" wrapText="1"/>
    </xf>
    <xf numFmtId="0" fontId="7" fillId="0" borderId="0" xfId="2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9" fontId="0" fillId="0" borderId="0" xfId="1" applyNumberFormat="1" applyFont="1"/>
    <xf numFmtId="169" fontId="0" fillId="0" borderId="0" xfId="0" applyNumberFormat="1"/>
    <xf numFmtId="170" fontId="0" fillId="0" borderId="0" xfId="0" applyNumberFormat="1"/>
    <xf numFmtId="2" fontId="10" fillId="0" borderId="0" xfId="0" applyNumberFormat="1" applyFont="1" applyAlignment="1">
      <alignment horizontal="left" vertical="center"/>
    </xf>
    <xf numFmtId="165" fontId="12" fillId="0" borderId="1" xfId="0" applyNumberFormat="1" applyFont="1" applyBorder="1" applyAlignment="1">
      <alignment vertical="center" wrapText="1"/>
    </xf>
    <xf numFmtId="165" fontId="12" fillId="0" borderId="2" xfId="0" applyNumberFormat="1" applyFont="1" applyBorder="1" applyAlignment="1">
      <alignment vertical="center" wrapText="1"/>
    </xf>
    <xf numFmtId="165" fontId="12" fillId="0" borderId="0" xfId="0" applyNumberFormat="1" applyFont="1" applyAlignment="1">
      <alignment vertical="center" wrapText="1"/>
    </xf>
    <xf numFmtId="165" fontId="0" fillId="0" borderId="0" xfId="0" applyNumberFormat="1"/>
    <xf numFmtId="165" fontId="12" fillId="0" borderId="1" xfId="0" applyNumberFormat="1" applyFont="1" applyBorder="1" applyAlignment="1">
      <alignment horizontal="center" vertical="center" wrapText="1"/>
    </xf>
    <xf numFmtId="165" fontId="12" fillId="0" borderId="2" xfId="0" applyNumberFormat="1" applyFont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71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59">
    <dxf>
      <numFmt numFmtId="165" formatCode="0.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0.000000"/>
      <alignment horizontal="center" vertical="center" textRotation="0" wrapText="0" indent="0" justifyLastLine="0" shrinkToFit="0" readingOrder="0"/>
    </dxf>
    <dxf>
      <numFmt numFmtId="167" formatCode="0.000000"/>
      <alignment horizontal="center" vertical="center" textRotation="0" wrapText="0" indent="0" justifyLastLine="0" shrinkToFit="0" readingOrder="0"/>
    </dxf>
    <dxf>
      <numFmt numFmtId="167" formatCode="0.0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tserra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1"/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3737"/>
        <name val="Montserra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/>
      </border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Crecimiento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E-Commerce. 2021 vs. 2019</a:t>
            </a:r>
            <a:endParaRPr lang="en-US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Ecommerce!$B$3:$B$7</c:f>
              <c:strCache>
                <c:ptCount val="5"/>
                <c:pt idx="0">
                  <c:v>Muebles, material de construcción y electrónica</c:v>
                </c:pt>
                <c:pt idx="1">
                  <c:v>Comida y bebidas</c:v>
                </c:pt>
                <c:pt idx="2">
                  <c:v>Material de construcción, jardinería y suministros</c:v>
                </c:pt>
                <c:pt idx="3">
                  <c:v>Mercancías generales</c:v>
                </c:pt>
                <c:pt idx="4">
                  <c:v>Deportes e instrumentos de música</c:v>
                </c:pt>
              </c:strCache>
            </c:strRef>
          </c:cat>
          <c:val>
            <c:numRef>
              <c:f>Ecommerce!$C$3:$C$7</c:f>
              <c:numCache>
                <c:formatCode>0.00%</c:formatCode>
                <c:ptCount val="5"/>
                <c:pt idx="0">
                  <c:v>2.0139999999999998</c:v>
                </c:pt>
                <c:pt idx="1">
                  <c:v>1.708</c:v>
                </c:pt>
                <c:pt idx="2">
                  <c:v>1.052</c:v>
                </c:pt>
                <c:pt idx="3">
                  <c:v>0.77500000000000002</c:v>
                </c:pt>
                <c:pt idx="4">
                  <c:v>0.70099999999999996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E-40A7-85AB-133C0C995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267824"/>
        <c:axId val="664264872"/>
      </c:barChart>
      <c:catAx>
        <c:axId val="664267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Compras online según la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</a:t>
            </a: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renta mensual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8421777481446"/>
          <c:y val="0.14637874282694002"/>
          <c:w val="0.71861863174807905"/>
          <c:h val="0.7409724135074743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Ecommerce!$B$22:$B$26</c:f>
              <c:strCache>
                <c:ptCount val="5"/>
                <c:pt idx="0">
                  <c:v>&lt; 900 €</c:v>
                </c:pt>
                <c:pt idx="1">
                  <c:v>900 - 1.599 €</c:v>
                </c:pt>
                <c:pt idx="2">
                  <c:v>1.600 - 2.499 €</c:v>
                </c:pt>
                <c:pt idx="3">
                  <c:v>2.500 - 2.999 €</c:v>
                </c:pt>
                <c:pt idx="4">
                  <c:v>&gt; 3.000 €</c:v>
                </c:pt>
              </c:strCache>
            </c:strRef>
          </c:cat>
          <c:val>
            <c:numRef>
              <c:f>Ecommerce!$C$22:$C$26</c:f>
              <c:numCache>
                <c:formatCode>0.00%</c:formatCode>
                <c:ptCount val="5"/>
                <c:pt idx="0">
                  <c:v>0.63600000000000001</c:v>
                </c:pt>
                <c:pt idx="1">
                  <c:v>0.76200000000000001</c:v>
                </c:pt>
                <c:pt idx="2">
                  <c:v>0.83599999999999997</c:v>
                </c:pt>
                <c:pt idx="3">
                  <c:v>0.878</c:v>
                </c:pt>
                <c:pt idx="4">
                  <c:v>0.89600000000000002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8-4A21-B895-44B025A32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267824"/>
        <c:axId val="664264872"/>
      </c:barChart>
      <c:catAx>
        <c:axId val="664267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Métodos de envío preferentes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8421777481446"/>
          <c:y val="0.14637874282694002"/>
          <c:w val="0.71861863174807905"/>
          <c:h val="0.7409724135074743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dLbl>
              <c:idx val="1"/>
              <c:layout>
                <c:manualLayout>
                  <c:x val="0.1471433724272862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E5-47E4-845E-4CE23EC3EAEC}"/>
                </c:ext>
              </c:extLst>
            </c:dLbl>
            <c:dLbl>
              <c:idx val="2"/>
              <c:layout>
                <c:manualLayout>
                  <c:x val="0.13048563215249917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E5-47E4-845E-4CE23EC3EAEC}"/>
                </c:ext>
              </c:extLst>
            </c:dLbl>
            <c:dLbl>
              <c:idx val="3"/>
              <c:layout>
                <c:manualLayout>
                  <c:x val="8.328870137393561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E5-47E4-845E-4CE23EC3EA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Ecommerce!$B$41:$B$44</c:f>
              <c:strCache>
                <c:ptCount val="4"/>
                <c:pt idx="0">
                  <c:v>Envío a domicilio</c:v>
                </c:pt>
                <c:pt idx="1">
                  <c:v>Puntos de recogida</c:v>
                </c:pt>
                <c:pt idx="2">
                  <c:v>Recogida en tienda</c:v>
                </c:pt>
                <c:pt idx="3">
                  <c:v>Taquillas</c:v>
                </c:pt>
              </c:strCache>
            </c:strRef>
          </c:cat>
          <c:val>
            <c:numRef>
              <c:f>Ecommerce!$C$41:$C$44</c:f>
              <c:numCache>
                <c:formatCode>0.00%</c:formatCode>
                <c:ptCount val="4"/>
                <c:pt idx="0">
                  <c:v>0.92149999999999999</c:v>
                </c:pt>
                <c:pt idx="1">
                  <c:v>0.21249999999999999</c:v>
                </c:pt>
                <c:pt idx="2">
                  <c:v>0.16400000000000001</c:v>
                </c:pt>
                <c:pt idx="3">
                  <c:v>5.7700000000000001E-2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5-47E4-845E-4CE23EC3E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267824"/>
        <c:axId val="664264872"/>
      </c:barChart>
      <c:catAx>
        <c:axId val="664267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Volumen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de negocio (2º trimestre, 2021)</a:t>
            </a:r>
            <a:endParaRPr lang="en-US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8726590921774837"/>
          <c:y val="0.20984544319153378"/>
          <c:w val="0.47158459534733832"/>
          <c:h val="0.7882163614774077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Ecommerce!$B$60:$B$63</c:f>
              <c:strCache>
                <c:ptCount val="4"/>
                <c:pt idx="0">
                  <c:v>Prendas de vestir</c:v>
                </c:pt>
                <c:pt idx="1">
                  <c:v>Hipermercados y tiendas de alimentación</c:v>
                </c:pt>
                <c:pt idx="2">
                  <c:v>Grandes almacenes</c:v>
                </c:pt>
                <c:pt idx="3">
                  <c:v>Restaurantes</c:v>
                </c:pt>
              </c:strCache>
            </c:strRef>
          </c:cat>
          <c:val>
            <c:numRef>
              <c:f>Ecommerce!$C$60:$C$63</c:f>
              <c:numCache>
                <c:formatCode>0.0%</c:formatCode>
                <c:ptCount val="4"/>
                <c:pt idx="0">
                  <c:v>8.4000000000000005E-2</c:v>
                </c:pt>
                <c:pt idx="1">
                  <c:v>3.9E-2</c:v>
                </c:pt>
                <c:pt idx="2">
                  <c:v>3.3000000000000002E-2</c:v>
                </c:pt>
                <c:pt idx="3">
                  <c:v>3.2000000000000001E-2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F7-4678-9266-B68EFBC58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7"/>
        <c:overlap val="-59"/>
        <c:axId val="664267824"/>
        <c:axId val="664264872"/>
      </c:barChart>
      <c:catAx>
        <c:axId val="664267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t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Volumen de transacciones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(2º trimestre, 2021)</a:t>
            </a:r>
            <a:endParaRPr lang="en-US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5639732036052305"/>
          <c:y val="0.15732854564887944"/>
          <c:w val="0.48827498850883172"/>
          <c:h val="0.7882163614774077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Ecommerce!$B$75:$B$78</c:f>
              <c:strCache>
                <c:ptCount val="4"/>
                <c:pt idx="0">
                  <c:v>Grandes Almacenes</c:v>
                </c:pt>
                <c:pt idx="1">
                  <c:v>Restaurantes</c:v>
                </c:pt>
                <c:pt idx="2">
                  <c:v>Prendas de vestir</c:v>
                </c:pt>
                <c:pt idx="3">
                  <c:v>Hipermercados, supermercados y tiendas de alimentación</c:v>
                </c:pt>
              </c:strCache>
            </c:strRef>
          </c:cat>
          <c:val>
            <c:numRef>
              <c:f>Ecommerce!$C$75:$C$78</c:f>
              <c:numCache>
                <c:formatCode>0.0%</c:formatCode>
                <c:ptCount val="4"/>
                <c:pt idx="0">
                  <c:v>8.4000000000000005E-2</c:v>
                </c:pt>
                <c:pt idx="1">
                  <c:v>7.1999999999999995E-2</c:v>
                </c:pt>
                <c:pt idx="2">
                  <c:v>6.2E-2</c:v>
                </c:pt>
                <c:pt idx="3">
                  <c:v>2.3E-2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55-4152-BD17-DD7C9211FFA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87"/>
        <c:overlap val="-59"/>
        <c:axId val="664267824"/>
        <c:axId val="664264872"/>
      </c:barChart>
      <c:catAx>
        <c:axId val="664267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t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Volumen por transacción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</a:t>
            </a: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(2º trimestre, 2021)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5639732036052305"/>
          <c:y val="0.15732854564887944"/>
          <c:w val="0.48827498850883172"/>
          <c:h val="0.7882163614774077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Ecommerce!$B$97:$B$100</c:f>
              <c:strCache>
                <c:ptCount val="4"/>
                <c:pt idx="0">
                  <c:v>Hipermercados y tiendas de alimentación</c:v>
                </c:pt>
                <c:pt idx="1">
                  <c:v>Prendas de vestir</c:v>
                </c:pt>
                <c:pt idx="2">
                  <c:v>Restaurantes</c:v>
                </c:pt>
                <c:pt idx="3">
                  <c:v>Grandes almacenes</c:v>
                </c:pt>
              </c:strCache>
            </c:strRef>
          </c:cat>
          <c:val>
            <c:numRef>
              <c:f>Ecommerce!$C$97:$C$100</c:f>
              <c:numCache>
                <c:formatCode>_([$€-2]\ * #,##0.00_);_([$€-2]\ * \(#,##0.00\);_([$€-2]\ * "-"??_);_(@_)</c:formatCode>
                <c:ptCount val="4"/>
                <c:pt idx="0">
                  <c:v>83.026180458158024</c:v>
                </c:pt>
                <c:pt idx="1">
                  <c:v>66.338536246965006</c:v>
                </c:pt>
                <c:pt idx="2">
                  <c:v>21.761847869374755</c:v>
                </c:pt>
                <c:pt idx="3">
                  <c:v>19.235919098822325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4A-4690-8584-53E452C3B9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87"/>
        <c:overlap val="-59"/>
        <c:axId val="664267824"/>
        <c:axId val="664264872"/>
      </c:barChart>
      <c:catAx>
        <c:axId val="664267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t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€-2]\ * #,##0.00_);_([$€-2]\ * \(#,##0.00\);_([$€-2]\ * &quot;-&quot;??_);_(@_)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Porcentage de usuarios de internet</a:t>
            </a:r>
            <a:r>
              <a:rPr lang="en-US" sz="1400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entre 16 y 64 años que han usado un servicio de comida a domicilio en el último mes (Enero 2021)</a:t>
            </a:r>
            <a:endParaRPr lang="en-US" sz="1400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FF00"/>
              </a:solidFill>
              <a:ln w="9525" cap="flat" cmpd="sng" algn="ctr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C39-4C62-B582-98E491259BE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C39-4C62-B582-98E491259BE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C39-4C62-B582-98E491259BE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C39-4C62-B582-98E491259B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Ecommerce!$B$114:$B$122</c:f>
              <c:strCache>
                <c:ptCount val="9"/>
                <c:pt idx="0">
                  <c:v>Francia</c:v>
                </c:pt>
                <c:pt idx="1">
                  <c:v>Alemania</c:v>
                </c:pt>
                <c:pt idx="2">
                  <c:v>Portugal</c:v>
                </c:pt>
                <c:pt idx="3">
                  <c:v>Canada</c:v>
                </c:pt>
                <c:pt idx="4">
                  <c:v>España</c:v>
                </c:pt>
                <c:pt idx="5">
                  <c:v>Australia</c:v>
                </c:pt>
                <c:pt idx="6">
                  <c:v>USA</c:v>
                </c:pt>
                <c:pt idx="7">
                  <c:v>UK</c:v>
                </c:pt>
                <c:pt idx="8">
                  <c:v>Irlanda</c:v>
                </c:pt>
              </c:strCache>
            </c:strRef>
          </c:cat>
          <c:val>
            <c:numRef>
              <c:f>Ecommerce!$C$114:$C$122</c:f>
              <c:numCache>
                <c:formatCode>0.00%</c:formatCode>
                <c:ptCount val="9"/>
                <c:pt idx="0">
                  <c:v>0.26500000000000001</c:v>
                </c:pt>
                <c:pt idx="1">
                  <c:v>0.28899999999999998</c:v>
                </c:pt>
                <c:pt idx="2">
                  <c:v>0.39</c:v>
                </c:pt>
                <c:pt idx="3">
                  <c:v>0.40100000000000002</c:v>
                </c:pt>
                <c:pt idx="4">
                  <c:v>0.432</c:v>
                </c:pt>
                <c:pt idx="5">
                  <c:v>0.45300000000000001</c:v>
                </c:pt>
                <c:pt idx="6">
                  <c:v>0.45300000000000001</c:v>
                </c:pt>
                <c:pt idx="7">
                  <c:v>0.45500000000000002</c:v>
                </c:pt>
                <c:pt idx="8">
                  <c:v>0.48599999999999999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9-4C62-B582-98E491259B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664267824"/>
        <c:axId val="664264872"/>
      </c:barChart>
      <c:catAx>
        <c:axId val="6642678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'Specs. UAVs'!$C$44</c:f>
              <c:strCache>
                <c:ptCount val="1"/>
                <c:pt idx="0">
                  <c:v>Flight Time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'Specs. UAVs'!$C$45:$C$50</c:f>
              <c:numCache>
                <c:formatCode>General</c:formatCode>
                <c:ptCount val="6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BF-4CC3-B8B6-05905DCD54CF}"/>
            </c:ext>
          </c:extLst>
        </c:ser>
        <c:ser>
          <c:idx val="2"/>
          <c:order val="1"/>
          <c:tx>
            <c:strRef>
              <c:f>'Specs. UAVs'!$D$44</c:f>
              <c:strCache>
                <c:ptCount val="1"/>
                <c:pt idx="0">
                  <c:v>Alcance (km)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'Specs. UAVs'!$D$45:$D$50</c:f>
              <c:numCache>
                <c:formatCode>General</c:formatCode>
                <c:ptCount val="6"/>
                <c:pt idx="0">
                  <c:v>95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BF-4CC3-B8B6-05905DCD5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022192"/>
        <c:axId val="610024488"/>
      </c:lineChart>
      <c:catAx>
        <c:axId val="610022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24488"/>
        <c:crosses val="autoZero"/>
        <c:auto val="1"/>
        <c:lblAlgn val="ctr"/>
        <c:lblOffset val="100"/>
        <c:noMultiLvlLbl val="0"/>
      </c:catAx>
      <c:valAx>
        <c:axId val="61002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2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Capacidad vs. Ciclos.</a:t>
            </a:r>
            <a:r>
              <a:rPr lang="en-US" sz="1400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B</a:t>
            </a: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aterias LiPo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Batteries!$E$38</c:f>
              <c:strCache>
                <c:ptCount val="1"/>
                <c:pt idx="0">
                  <c:v>Capacidad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chemeClr val="tx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power"/>
            <c:dispRSqr val="0"/>
            <c:dispEq val="0"/>
          </c:trendline>
          <c:trendline>
            <c:spPr>
              <a:ln w="15875" cap="rnd">
                <a:solidFill>
                  <a:srgbClr val="00B0F0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Batteries!$D$39:$D$55</c:f>
              <c:numCache>
                <c:formatCode>General</c:formatCode>
                <c:ptCount val="17"/>
                <c:pt idx="0">
                  <c:v>500</c:v>
                </c:pt>
                <c:pt idx="1">
                  <c:v>0</c:v>
                </c:pt>
                <c:pt idx="2">
                  <c:v>500</c:v>
                </c:pt>
                <c:pt idx="3">
                  <c:v>0</c:v>
                </c:pt>
                <c:pt idx="4">
                  <c:v>300</c:v>
                </c:pt>
                <c:pt idx="5">
                  <c:v>0</c:v>
                </c:pt>
                <c:pt idx="6">
                  <c:v>300</c:v>
                </c:pt>
                <c:pt idx="7">
                  <c:v>0</c:v>
                </c:pt>
                <c:pt idx="8">
                  <c:v>325</c:v>
                </c:pt>
                <c:pt idx="9">
                  <c:v>0</c:v>
                </c:pt>
                <c:pt idx="10">
                  <c:v>500</c:v>
                </c:pt>
                <c:pt idx="11">
                  <c:v>0</c:v>
                </c:pt>
                <c:pt idx="12">
                  <c:v>500</c:v>
                </c:pt>
                <c:pt idx="13">
                  <c:v>0</c:v>
                </c:pt>
                <c:pt idx="14">
                  <c:v>500</c:v>
                </c:pt>
                <c:pt idx="15">
                  <c:v>0</c:v>
                </c:pt>
                <c:pt idx="16">
                  <c:v>500</c:v>
                </c:pt>
              </c:numCache>
            </c:numRef>
          </c:xVal>
          <c:yVal>
            <c:numRef>
              <c:f>Batteries!$E$39:$E$55</c:f>
              <c:numCache>
                <c:formatCode>0%</c:formatCode>
                <c:ptCount val="17"/>
                <c:pt idx="0">
                  <c:v>0.6</c:v>
                </c:pt>
                <c:pt idx="1">
                  <c:v>1</c:v>
                </c:pt>
                <c:pt idx="2">
                  <c:v>0.8</c:v>
                </c:pt>
                <c:pt idx="3">
                  <c:v>1</c:v>
                </c:pt>
                <c:pt idx="4">
                  <c:v>0.8</c:v>
                </c:pt>
                <c:pt idx="5">
                  <c:v>1</c:v>
                </c:pt>
                <c:pt idx="6">
                  <c:v>0.8</c:v>
                </c:pt>
                <c:pt idx="7">
                  <c:v>1</c:v>
                </c:pt>
                <c:pt idx="8">
                  <c:v>0.8</c:v>
                </c:pt>
                <c:pt idx="9">
                  <c:v>1</c:v>
                </c:pt>
                <c:pt idx="10">
                  <c:v>0.8</c:v>
                </c:pt>
                <c:pt idx="11">
                  <c:v>1</c:v>
                </c:pt>
                <c:pt idx="12">
                  <c:v>0.92</c:v>
                </c:pt>
                <c:pt idx="13">
                  <c:v>1</c:v>
                </c:pt>
                <c:pt idx="14">
                  <c:v>0.8</c:v>
                </c:pt>
                <c:pt idx="15">
                  <c:v>1</c:v>
                </c:pt>
                <c:pt idx="16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61-44B3-B7E4-D43C5B8AF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07032"/>
        <c:axId val="681609328"/>
      </c:scatterChart>
      <c:valAx>
        <c:axId val="681607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Montserrat" panose="00000500000000000000" pitchFamily="2" charset="0"/>
                  </a:rPr>
                  <a:t>Ciclos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81609328"/>
        <c:crosses val="autoZero"/>
        <c:crossBetween val="midCat"/>
      </c:valAx>
      <c:valAx>
        <c:axId val="6816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Montserrat" panose="00000500000000000000" pitchFamily="2" charset="0"/>
                  </a:rPr>
                  <a:t>Capacidad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81607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Precio vs. Capacidad. LiPo 6s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LiPo 6s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Batteries!$E$5:$E$17</c:f>
              <c:numCache>
                <c:formatCode>General</c:formatCode>
                <c:ptCount val="13"/>
                <c:pt idx="0">
                  <c:v>4280</c:v>
                </c:pt>
                <c:pt idx="1">
                  <c:v>5700</c:v>
                </c:pt>
                <c:pt idx="2">
                  <c:v>5450</c:v>
                </c:pt>
                <c:pt idx="3">
                  <c:v>6000</c:v>
                </c:pt>
                <c:pt idx="4">
                  <c:v>6000</c:v>
                </c:pt>
                <c:pt idx="5">
                  <c:v>4500</c:v>
                </c:pt>
                <c:pt idx="6">
                  <c:v>12000</c:v>
                </c:pt>
                <c:pt idx="7">
                  <c:v>6500</c:v>
                </c:pt>
                <c:pt idx="8">
                  <c:v>5200</c:v>
                </c:pt>
                <c:pt idx="9">
                  <c:v>9000</c:v>
                </c:pt>
                <c:pt idx="10">
                  <c:v>9000</c:v>
                </c:pt>
                <c:pt idx="11">
                  <c:v>10000</c:v>
                </c:pt>
                <c:pt idx="12">
                  <c:v>6000</c:v>
                </c:pt>
              </c:numCache>
            </c:numRef>
          </c:xVal>
          <c:yVal>
            <c:numRef>
              <c:f>Batteries!$C$5:$C$17</c:f>
              <c:numCache>
                <c:formatCode>General</c:formatCode>
                <c:ptCount val="13"/>
                <c:pt idx="0">
                  <c:v>179</c:v>
                </c:pt>
                <c:pt idx="1">
                  <c:v>245</c:v>
                </c:pt>
                <c:pt idx="2">
                  <c:v>240</c:v>
                </c:pt>
                <c:pt idx="3">
                  <c:v>121</c:v>
                </c:pt>
                <c:pt idx="4">
                  <c:v>100</c:v>
                </c:pt>
                <c:pt idx="5">
                  <c:v>108</c:v>
                </c:pt>
                <c:pt idx="6">
                  <c:v>600</c:v>
                </c:pt>
                <c:pt idx="7">
                  <c:v>336</c:v>
                </c:pt>
                <c:pt idx="8">
                  <c:v>240</c:v>
                </c:pt>
                <c:pt idx="9">
                  <c:v>360</c:v>
                </c:pt>
                <c:pt idx="10">
                  <c:v>180</c:v>
                </c:pt>
                <c:pt idx="11">
                  <c:v>183</c:v>
                </c:pt>
                <c:pt idx="12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3D-4EFF-B2B9-CC742E8F4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07032"/>
        <c:axId val="6816093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LiPo 4s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12700">
                      <a:solidFill>
                        <a:schemeClr val="accent1">
                          <a:alpha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5875" cap="rnd">
                      <a:solidFill>
                        <a:schemeClr val="accent1"/>
                      </a:solidFill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8.6387172607863535E-2"/>
                        <c:y val="8.653820498314603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Batteries!$E$23:$E$34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12000</c:v>
                      </c:pt>
                      <c:pt idx="1">
                        <c:v>5200</c:v>
                      </c:pt>
                      <c:pt idx="2">
                        <c:v>5450</c:v>
                      </c:pt>
                      <c:pt idx="3">
                        <c:v>6500</c:v>
                      </c:pt>
                      <c:pt idx="4">
                        <c:v>9000</c:v>
                      </c:pt>
                      <c:pt idx="5">
                        <c:v>5000</c:v>
                      </c:pt>
                      <c:pt idx="6">
                        <c:v>5000</c:v>
                      </c:pt>
                      <c:pt idx="7">
                        <c:v>6500</c:v>
                      </c:pt>
                      <c:pt idx="8">
                        <c:v>6000</c:v>
                      </c:pt>
                      <c:pt idx="9">
                        <c:v>6200</c:v>
                      </c:pt>
                      <c:pt idx="10">
                        <c:v>8050</c:v>
                      </c:pt>
                      <c:pt idx="11">
                        <c:v>6000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Batteries!$C$23:$C$34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400</c:v>
                      </c:pt>
                      <c:pt idx="1">
                        <c:v>63</c:v>
                      </c:pt>
                      <c:pt idx="2">
                        <c:v>165</c:v>
                      </c:pt>
                      <c:pt idx="3">
                        <c:v>224</c:v>
                      </c:pt>
                      <c:pt idx="4">
                        <c:v>240</c:v>
                      </c:pt>
                      <c:pt idx="5">
                        <c:v>130</c:v>
                      </c:pt>
                      <c:pt idx="6">
                        <c:v>90</c:v>
                      </c:pt>
                      <c:pt idx="7">
                        <c:v>124</c:v>
                      </c:pt>
                      <c:pt idx="8">
                        <c:v>70</c:v>
                      </c:pt>
                      <c:pt idx="9">
                        <c:v>99</c:v>
                      </c:pt>
                      <c:pt idx="10">
                        <c:v>130</c:v>
                      </c:pt>
                      <c:pt idx="11">
                        <c:v>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13D-4EFF-B2B9-CC742E8F4318}"/>
                  </c:ext>
                </c:extLst>
              </c15:ser>
            </c15:filteredScatterSeries>
          </c:ext>
        </c:extLst>
      </c:scatterChart>
      <c:valAx>
        <c:axId val="681607032"/>
        <c:scaling>
          <c:orientation val="minMax"/>
          <c:max val="13000"/>
          <c:min val="300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ln>
                      <a:noFill/>
                    </a:ln>
                    <a:solidFill>
                      <a:sysClr val="windowText" lastClr="000000"/>
                    </a:solidFill>
                    <a:latin typeface="Montserrat" panose="00000500000000000000" pitchFamily="2" charset="0"/>
                  </a:rPr>
                  <a:t>Capacidad (mah)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81609328"/>
        <c:crosses val="autoZero"/>
        <c:crossBetween val="midCat"/>
      </c:valAx>
      <c:valAx>
        <c:axId val="6816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Montserrat" panose="00000500000000000000" pitchFamily="2" charset="0"/>
                  </a:rPr>
                  <a:t>precio ($)</a:t>
                </a:r>
              </a:p>
            </c:rich>
          </c:tx>
          <c:layout>
            <c:manualLayout>
              <c:xMode val="edge"/>
              <c:yMode val="edge"/>
              <c:x val="1.3883104262113009E-2"/>
              <c:y val="0.34994170802546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81607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'Consumo+Noise'!$E$12</c:f>
              <c:strCache>
                <c:ptCount val="1"/>
                <c:pt idx="0">
                  <c:v>I(dB)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'Consumo+Noise'!$D$13:$D$17</c:f>
              <c:numCache>
                <c:formatCode>0.00</c:formatCode>
                <c:ptCount val="5"/>
                <c:pt idx="0">
                  <c:v>17.489711261195822</c:v>
                </c:pt>
                <c:pt idx="1">
                  <c:v>11.792370414806346</c:v>
                </c:pt>
                <c:pt idx="2">
                  <c:v>9.1836811791350854</c:v>
                </c:pt>
                <c:pt idx="3">
                  <c:v>7.9056941504209481</c:v>
                </c:pt>
                <c:pt idx="4">
                  <c:v>7.5</c:v>
                </c:pt>
              </c:numCache>
            </c:numRef>
          </c:xVal>
          <c:yVal>
            <c:numRef>
              <c:f>'Consumo+Noise'!$E$13:$E$17</c:f>
              <c:numCache>
                <c:formatCode>0.00</c:formatCode>
                <c:ptCount val="5"/>
                <c:pt idx="0">
                  <c:v>79.900000000000006</c:v>
                </c:pt>
                <c:pt idx="1">
                  <c:v>79.599999999999994</c:v>
                </c:pt>
                <c:pt idx="2">
                  <c:v>82.7</c:v>
                </c:pt>
                <c:pt idx="3">
                  <c:v>84.4</c:v>
                </c:pt>
                <c:pt idx="4" formatCode="General">
                  <c:v>85.3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3-4987-AD90-7D4C7F7E1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96760"/>
        <c:axId val="536192496"/>
      </c:scatterChart>
      <c:valAx>
        <c:axId val="53619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92496"/>
        <c:crosses val="autoZero"/>
        <c:crossBetween val="midCat"/>
      </c:valAx>
      <c:valAx>
        <c:axId val="53619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96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Previsión</a:t>
            </a:r>
            <a:r>
              <a:rPr lang="en-US" baseline="0"/>
              <a:t> del Mercado de los Drones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'Macro Drones'!$B$3:$B$9</c:f>
              <c:numCache>
                <c:formatCode>General</c:formatCode>
                <c:ptCount val="7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</c:numCache>
            </c:numRef>
          </c:cat>
          <c:val>
            <c:numRef>
              <c:f>'Macro Drones'!$C$3:$C$9</c:f>
              <c:numCache>
                <c:formatCode>General</c:formatCode>
                <c:ptCount val="7"/>
                <c:pt idx="0">
                  <c:v>20.9</c:v>
                </c:pt>
                <c:pt idx="1">
                  <c:v>26.3</c:v>
                </c:pt>
                <c:pt idx="2">
                  <c:v>30.4</c:v>
                </c:pt>
                <c:pt idx="3">
                  <c:v>33.799999999999997</c:v>
                </c:pt>
                <c:pt idx="4">
                  <c:v>36.799999999999997</c:v>
                </c:pt>
                <c:pt idx="5">
                  <c:v>39.299999999999997</c:v>
                </c:pt>
                <c:pt idx="6">
                  <c:v>41.3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4-49B7-A302-C7184D64D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550744"/>
        <c:axId val="632543200"/>
      </c:barChart>
      <c:catAx>
        <c:axId val="63255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43200"/>
        <c:crosses val="autoZero"/>
        <c:auto val="1"/>
        <c:lblAlgn val="ctr"/>
        <c:lblOffset val="100"/>
        <c:noMultiLvlLbl val="0"/>
      </c:catAx>
      <c:valAx>
        <c:axId val="63254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5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25902</xdr:colOff>
      <xdr:row>1</xdr:row>
      <xdr:rowOff>153760</xdr:rowOff>
    </xdr:from>
    <xdr:to>
      <xdr:col>11</xdr:col>
      <xdr:colOff>329688</xdr:colOff>
      <xdr:row>18</xdr:row>
      <xdr:rowOff>88991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C83A07-3F85-4D90-B878-A9E9C6C18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19</xdr:row>
      <xdr:rowOff>175260</xdr:rowOff>
    </xdr:from>
    <xdr:to>
      <xdr:col>11</xdr:col>
      <xdr:colOff>314870</xdr:colOff>
      <xdr:row>36</xdr:row>
      <xdr:rowOff>108586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BD7D34-8617-4892-A51D-89D743566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39</xdr:row>
      <xdr:rowOff>0</xdr:rowOff>
    </xdr:from>
    <xdr:to>
      <xdr:col>11</xdr:col>
      <xdr:colOff>307250</xdr:colOff>
      <xdr:row>55</xdr:row>
      <xdr:rowOff>116206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5D04FE-2BCE-484F-B6C5-382953E1F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515559</xdr:colOff>
      <xdr:row>57</xdr:row>
      <xdr:rowOff>99059</xdr:rowOff>
    </xdr:from>
    <xdr:to>
      <xdr:col>13</xdr:col>
      <xdr:colOff>0</xdr:colOff>
      <xdr:row>72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5F189D5-6F58-4763-B5E8-E0F2D83F7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73</xdr:row>
      <xdr:rowOff>0</xdr:rowOff>
    </xdr:from>
    <xdr:to>
      <xdr:col>13</xdr:col>
      <xdr:colOff>0</xdr:colOff>
      <xdr:row>88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51FF28-A5BD-781E-DD52-37033508B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94</xdr:row>
      <xdr:rowOff>0</xdr:rowOff>
    </xdr:from>
    <xdr:to>
      <xdr:col>13</xdr:col>
      <xdr:colOff>0</xdr:colOff>
      <xdr:row>109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51DBB76-90AD-4923-916E-22B77F45B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284017</xdr:colOff>
      <xdr:row>111</xdr:row>
      <xdr:rowOff>20781</xdr:rowOff>
    </xdr:from>
    <xdr:to>
      <xdr:col>16</xdr:col>
      <xdr:colOff>214744</xdr:colOff>
      <xdr:row>128</xdr:row>
      <xdr:rowOff>103909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6FAAFF8-1AA9-444B-B2B3-598CF87F9D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0.16325</cdr:x>
      <cdr:y>0.89543</cdr:y>
    </cdr:from>
    <cdr:to>
      <cdr:x>0.87453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BA8DDE3-1267-17F3-0064-4B4ADEB39E8C}"/>
            </a:ext>
          </a:extLst>
        </cdr:cNvPr>
        <cdr:cNvSpPr txBox="1"/>
      </cdr:nvSpPr>
      <cdr:spPr>
        <a:xfrm xmlns:a="http://schemas.openxmlformats.org/drawingml/2006/main">
          <a:off x="746760" y="2724152"/>
          <a:ext cx="3253740" cy="318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latin typeface="Montserrat" panose="00000500000000000000" pitchFamily="2" charset="0"/>
            </a:rPr>
            <a:t>(Porcentaje</a:t>
          </a:r>
          <a:r>
            <a:rPr lang="en-US" sz="1000" baseline="0">
              <a:latin typeface="Montserrat" panose="00000500000000000000" pitchFamily="2" charset="0"/>
            </a:rPr>
            <a:t> sobre el total de compradores online)</a:t>
          </a:r>
          <a:endParaRPr lang="en-US" sz="1000">
            <a:latin typeface="Montserrat" panose="00000500000000000000" pitchFamily="2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0.16325</cdr:x>
      <cdr:y>0.89543</cdr:y>
    </cdr:from>
    <cdr:to>
      <cdr:x>0.87453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BA8DDE3-1267-17F3-0064-4B4ADEB39E8C}"/>
            </a:ext>
          </a:extLst>
        </cdr:cNvPr>
        <cdr:cNvSpPr txBox="1"/>
      </cdr:nvSpPr>
      <cdr:spPr>
        <a:xfrm xmlns:a="http://schemas.openxmlformats.org/drawingml/2006/main">
          <a:off x="746760" y="2724152"/>
          <a:ext cx="3253740" cy="318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1000">
              <a:latin typeface="Montserrat" panose="00000500000000000000" pitchFamily="2" charset="0"/>
            </a:rPr>
            <a:t>(Cuestionario de respuesta</a:t>
          </a:r>
          <a:r>
            <a:rPr lang="en-US" sz="1000" baseline="0">
              <a:latin typeface="Montserrat" panose="00000500000000000000" pitchFamily="2" charset="0"/>
            </a:rPr>
            <a:t> múltiple)</a:t>
          </a:r>
          <a:endParaRPr lang="en-US" sz="1000">
            <a:latin typeface="Montserrat" panose="00000500000000000000" pitchFamily="2" charset="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30</xdr:row>
      <xdr:rowOff>146050</xdr:rowOff>
    </xdr:from>
    <xdr:to>
      <xdr:col>9</xdr:col>
      <xdr:colOff>358511</xdr:colOff>
      <xdr:row>41</xdr:row>
      <xdr:rowOff>56886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6A32B-FECB-4518-9234-B3B58102F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6038850"/>
          <a:ext cx="7854950" cy="1951727"/>
        </a:xfrm>
        <a:prstGeom prst="rect">
          <a:avLst/>
        </a:prstGeom>
      </xdr:spPr>
    </xdr:pic>
    <xdr:clientData/>
  </xdr:twoCellAnchor>
  <xdr:twoCellAnchor>
    <xdr:from>
      <xdr:col>6</xdr:col>
      <xdr:colOff>698288</xdr:colOff>
      <xdr:row>39</xdr:row>
      <xdr:rowOff>124884</xdr:rowOff>
    </xdr:from>
    <xdr:to>
      <xdr:col>9</xdr:col>
      <xdr:colOff>1060450</xdr:colOff>
      <xdr:row>54</xdr:row>
      <xdr:rowOff>70274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B0E073-30AA-4409-34AA-644CA1CEC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390525</xdr:colOff>
      <xdr:row>19</xdr:row>
      <xdr:rowOff>171450</xdr:rowOff>
    </xdr:from>
    <xdr:to>
      <xdr:col>19</xdr:col>
      <xdr:colOff>209501</xdr:colOff>
      <xdr:row>31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25E662-8C7F-3D77-9F5D-4D3BFFDEF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9750" y="3790950"/>
          <a:ext cx="3486101" cy="2152650"/>
        </a:xfrm>
        <a:prstGeom prst="rect">
          <a:avLst/>
        </a:prstGeom>
      </xdr:spPr>
    </xdr:pic>
    <xdr:clientData/>
  </xdr:twoCellAnchor>
  <xdr:twoCellAnchor editAs="oneCell">
    <xdr:from>
      <xdr:col>13</xdr:col>
      <xdr:colOff>321551</xdr:colOff>
      <xdr:row>17</xdr:row>
      <xdr:rowOff>100965</xdr:rowOff>
    </xdr:from>
    <xdr:to>
      <xdr:col>17</xdr:col>
      <xdr:colOff>535307</xdr:colOff>
      <xdr:row>24</xdr:row>
      <xdr:rowOff>173353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4AAC17-3252-1799-1E17-3E774B608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 flipH="1" flipV="1">
          <a:off x="16980776" y="3177540"/>
          <a:ext cx="2652156" cy="1329688"/>
        </a:xfrm>
        <a:prstGeom prst="rect">
          <a:avLst/>
        </a:prstGeom>
      </xdr:spPr>
    </xdr:pic>
    <xdr:clientData/>
  </xdr:twoCellAnchor>
  <xdr:twoCellAnchor>
    <xdr:from>
      <xdr:col>6</xdr:col>
      <xdr:colOff>236220</xdr:colOff>
      <xdr:row>36</xdr:row>
      <xdr:rowOff>18097</xdr:rowOff>
    </xdr:from>
    <xdr:to>
      <xdr:col>11</xdr:col>
      <xdr:colOff>1762125</xdr:colOff>
      <xdr:row>50</xdr:row>
      <xdr:rowOff>46672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2EBE28-70D8-FA5E-9ACC-80E5D86C8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10</xdr:col>
      <xdr:colOff>38736</xdr:colOff>
      <xdr:row>45</xdr:row>
      <xdr:rowOff>6985</xdr:rowOff>
    </xdr:from>
    <xdr:ext cx="1929765" cy="25780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DF94CA6-F345-ED44-F5E8-EC14FF70E43C}"/>
            </a:ext>
          </a:extLst>
        </xdr:cNvPr>
        <xdr:cNvSpPr txBox="1"/>
      </xdr:nvSpPr>
      <xdr:spPr>
        <a:xfrm>
          <a:off x="9542569" y="8103235"/>
          <a:ext cx="1929765" cy="257801"/>
        </a:xfrm>
        <a:prstGeom prst="roundRect">
          <a:avLst/>
        </a:prstGeom>
        <a:solidFill>
          <a:schemeClr val="bg1"/>
        </a:solidFill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i="0" baseline="0">
              <a:solidFill>
                <a:schemeClr val="tx1"/>
              </a:solidFill>
              <a:effectLst/>
              <a:latin typeface="Montserrat" panose="00000500000000000000" pitchFamily="2" charset="0"/>
              <a:ea typeface="+mn-ea"/>
              <a:cs typeface="+mn-cs"/>
            </a:rPr>
            <a:t>C(%) = -0.0006·Ciclos + 0.9923</a:t>
          </a:r>
          <a:endParaRPr lang="en-US" sz="900">
            <a:effectLst/>
            <a:latin typeface="Montserrat" panose="00000500000000000000" pitchFamily="2" charset="0"/>
          </a:endParaRPr>
        </a:p>
      </xdr:txBody>
    </xdr:sp>
    <xdr:clientData/>
  </xdr:oneCellAnchor>
  <xdr:twoCellAnchor>
    <xdr:from>
      <xdr:col>9</xdr:col>
      <xdr:colOff>50800</xdr:colOff>
      <xdr:row>1</xdr:row>
      <xdr:rowOff>152400</xdr:rowOff>
    </xdr:from>
    <xdr:to>
      <xdr:col>11</xdr:col>
      <xdr:colOff>3405505</xdr:colOff>
      <xdr:row>16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DC145C-41C3-4CB9-861E-04FAAE44E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3390900</xdr:colOff>
      <xdr:row>17</xdr:row>
      <xdr:rowOff>137160</xdr:rowOff>
    </xdr:from>
    <xdr:to>
      <xdr:col>4</xdr:col>
      <xdr:colOff>1234440</xdr:colOff>
      <xdr:row>30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FA9D8-CE2E-954D-308E-61C2ED2C2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284797</xdr:colOff>
      <xdr:row>2</xdr:row>
      <xdr:rowOff>157162</xdr:rowOff>
    </xdr:from>
    <xdr:to>
      <xdr:col>6</xdr:col>
      <xdr:colOff>528637</xdr:colOff>
      <xdr:row>3</xdr:row>
      <xdr:rowOff>90487</xdr:rowOff>
    </xdr:to>
    <xdr:grpSp>
      <xdr:nvGrpSpPr>
        <xdr:cNvPr id="19" name="Google Shape;5687;p80">
          <a:extLst>
            <a:ext uri="{FF2B5EF4-FFF2-40B4-BE49-F238E27FC236}">
              <a16:creationId xmlns:a16="http://schemas.microsoft.com/office/drawing/2014/main" id="{493A1FDB-88E0-4FCC-8060-B04323BDFDE1}"/>
            </a:ext>
          </a:extLst>
        </xdr:cNvPr>
        <xdr:cNvGrpSpPr/>
      </xdr:nvGrpSpPr>
      <xdr:grpSpPr>
        <a:xfrm>
          <a:off x="7252335" y="747712"/>
          <a:ext cx="243840" cy="228600"/>
          <a:chOff x="1492675" y="4992125"/>
          <a:chExt cx="481825" cy="481825"/>
        </a:xfrm>
        <a:solidFill>
          <a:schemeClr val="accent6"/>
        </a:solidFill>
      </xdr:grpSpPr>
      <xdr:sp macro="" textlink="">
        <xdr:nvSpPr>
          <xdr:cNvPr id="20" name="Google Shape;5688;p80">
            <a:extLst>
              <a:ext uri="{FF2B5EF4-FFF2-40B4-BE49-F238E27FC236}">
                <a16:creationId xmlns:a16="http://schemas.microsoft.com/office/drawing/2014/main" id="{2A1725E9-FFB4-AD38-EE39-3C6AC663122D}"/>
              </a:ext>
            </a:extLst>
          </xdr:cNvPr>
          <xdr:cNvSpPr/>
        </xdr:nvSpPr>
        <xdr:spPr>
          <a:xfrm>
            <a:off x="1492675" y="4992125"/>
            <a:ext cx="481825" cy="481825"/>
          </a:xfrm>
          <a:custGeom>
            <a:avLst/>
            <a:gdLst/>
            <a:ahLst/>
            <a:cxnLst/>
            <a:rect l="l" t="t" r="r" b="b"/>
            <a:pathLst>
              <a:path w="19273" h="19273" extrusionOk="0">
                <a:moveTo>
                  <a:pt x="12728" y="5990"/>
                </a:moveTo>
                <a:cubicBezTo>
                  <a:pt x="13161" y="5990"/>
                  <a:pt x="13595" y="6156"/>
                  <a:pt x="13925" y="6487"/>
                </a:cubicBezTo>
                <a:cubicBezTo>
                  <a:pt x="14587" y="7149"/>
                  <a:pt x="14587" y="8221"/>
                  <a:pt x="13928" y="8884"/>
                </a:cubicBezTo>
                <a:lnTo>
                  <a:pt x="10028" y="12780"/>
                </a:lnTo>
                <a:cubicBezTo>
                  <a:pt x="9709" y="13100"/>
                  <a:pt x="9278" y="13280"/>
                  <a:pt x="8830" y="13280"/>
                </a:cubicBezTo>
                <a:lnTo>
                  <a:pt x="8815" y="13280"/>
                </a:lnTo>
                <a:cubicBezTo>
                  <a:pt x="8811" y="13280"/>
                  <a:pt x="8807" y="13280"/>
                  <a:pt x="8804" y="13280"/>
                </a:cubicBezTo>
                <a:cubicBezTo>
                  <a:pt x="8362" y="13280"/>
                  <a:pt x="7936" y="13103"/>
                  <a:pt x="7622" y="12789"/>
                </a:cubicBezTo>
                <a:lnTo>
                  <a:pt x="5346" y="10528"/>
                </a:lnTo>
                <a:cubicBezTo>
                  <a:pt x="4632" y="9877"/>
                  <a:pt x="4605" y="8760"/>
                  <a:pt x="5288" y="8077"/>
                </a:cubicBezTo>
                <a:cubicBezTo>
                  <a:pt x="5620" y="7745"/>
                  <a:pt x="6053" y="7581"/>
                  <a:pt x="6485" y="7581"/>
                </a:cubicBezTo>
                <a:cubicBezTo>
                  <a:pt x="6944" y="7581"/>
                  <a:pt x="7402" y="7766"/>
                  <a:pt x="7737" y="8134"/>
                </a:cubicBezTo>
                <a:lnTo>
                  <a:pt x="8812" y="9206"/>
                </a:lnTo>
                <a:lnTo>
                  <a:pt x="11531" y="6487"/>
                </a:lnTo>
                <a:cubicBezTo>
                  <a:pt x="11861" y="6156"/>
                  <a:pt x="12294" y="5990"/>
                  <a:pt x="12728" y="5990"/>
                </a:cubicBezTo>
                <a:close/>
                <a:moveTo>
                  <a:pt x="9637" y="1"/>
                </a:moveTo>
                <a:cubicBezTo>
                  <a:pt x="7095" y="1"/>
                  <a:pt x="4686" y="1012"/>
                  <a:pt x="2849" y="2849"/>
                </a:cubicBezTo>
                <a:cubicBezTo>
                  <a:pt x="1013" y="4686"/>
                  <a:pt x="1" y="7098"/>
                  <a:pt x="1" y="9637"/>
                </a:cubicBezTo>
                <a:cubicBezTo>
                  <a:pt x="1" y="12175"/>
                  <a:pt x="1013" y="14587"/>
                  <a:pt x="2849" y="16424"/>
                </a:cubicBezTo>
                <a:cubicBezTo>
                  <a:pt x="4686" y="18261"/>
                  <a:pt x="7095" y="19273"/>
                  <a:pt x="9637" y="19273"/>
                </a:cubicBezTo>
                <a:cubicBezTo>
                  <a:pt x="12175" y="19273"/>
                  <a:pt x="14584" y="18261"/>
                  <a:pt x="16421" y="16424"/>
                </a:cubicBezTo>
                <a:cubicBezTo>
                  <a:pt x="18258" y="14587"/>
                  <a:pt x="19273" y="12175"/>
                  <a:pt x="19273" y="9637"/>
                </a:cubicBezTo>
                <a:cubicBezTo>
                  <a:pt x="19273" y="7098"/>
                  <a:pt x="18258" y="4686"/>
                  <a:pt x="16421" y="2849"/>
                </a:cubicBezTo>
                <a:cubicBezTo>
                  <a:pt x="14584" y="1012"/>
                  <a:pt x="12175" y="1"/>
                  <a:pt x="9637" y="1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>
              <a:solidFill>
                <a:srgbClr val="435D74"/>
              </a:solidFill>
            </a:endParaRPr>
          </a:p>
        </xdr:txBody>
      </xdr:sp>
      <xdr:sp macro="" textlink="">
        <xdr:nvSpPr>
          <xdr:cNvPr id="21" name="Google Shape;5689;p80">
            <a:extLst>
              <a:ext uri="{FF2B5EF4-FFF2-40B4-BE49-F238E27FC236}">
                <a16:creationId xmlns:a16="http://schemas.microsoft.com/office/drawing/2014/main" id="{188B2829-6B5E-20AD-0B7C-D061ADDC2898}"/>
              </a:ext>
            </a:extLst>
          </xdr:cNvPr>
          <xdr:cNvSpPr/>
        </xdr:nvSpPr>
        <xdr:spPr>
          <a:xfrm>
            <a:off x="1639625" y="5170175"/>
            <a:ext cx="190100" cy="125750"/>
          </a:xfrm>
          <a:custGeom>
            <a:avLst/>
            <a:gdLst/>
            <a:ahLst/>
            <a:cxnLst/>
            <a:rect l="l" t="t" r="r" b="b"/>
            <a:pathLst>
              <a:path w="7604" h="5030" extrusionOk="0">
                <a:moveTo>
                  <a:pt x="6852" y="0"/>
                </a:moveTo>
                <a:cubicBezTo>
                  <a:pt x="6851" y="0"/>
                  <a:pt x="6850" y="0"/>
                  <a:pt x="6848" y="0"/>
                </a:cubicBezTo>
                <a:cubicBezTo>
                  <a:pt x="6698" y="0"/>
                  <a:pt x="6556" y="57"/>
                  <a:pt x="6451" y="163"/>
                </a:cubicBezTo>
                <a:lnTo>
                  <a:pt x="3334" y="3279"/>
                </a:lnTo>
                <a:cubicBezTo>
                  <a:pt x="3224" y="3391"/>
                  <a:pt x="3080" y="3447"/>
                  <a:pt x="2935" y="3447"/>
                </a:cubicBezTo>
                <a:cubicBezTo>
                  <a:pt x="2791" y="3447"/>
                  <a:pt x="2646" y="3391"/>
                  <a:pt x="2536" y="3279"/>
                </a:cubicBezTo>
                <a:cubicBezTo>
                  <a:pt x="2533" y="3279"/>
                  <a:pt x="2533" y="3279"/>
                  <a:pt x="2530" y="3276"/>
                </a:cubicBezTo>
                <a:cubicBezTo>
                  <a:pt x="2521" y="3267"/>
                  <a:pt x="2509" y="3255"/>
                  <a:pt x="2497" y="3246"/>
                </a:cubicBezTo>
                <a:lnTo>
                  <a:pt x="1061" y="1810"/>
                </a:lnTo>
                <a:cubicBezTo>
                  <a:pt x="948" y="1678"/>
                  <a:pt x="789" y="1611"/>
                  <a:pt x="629" y="1611"/>
                </a:cubicBezTo>
                <a:cubicBezTo>
                  <a:pt x="486" y="1611"/>
                  <a:pt x="342" y="1666"/>
                  <a:pt x="233" y="1777"/>
                </a:cubicBezTo>
                <a:cubicBezTo>
                  <a:pt x="1" y="2009"/>
                  <a:pt x="16" y="2391"/>
                  <a:pt x="266" y="2605"/>
                </a:cubicBezTo>
                <a:lnTo>
                  <a:pt x="2542" y="4869"/>
                </a:lnTo>
                <a:cubicBezTo>
                  <a:pt x="2645" y="4972"/>
                  <a:pt x="2782" y="5029"/>
                  <a:pt x="2926" y="5029"/>
                </a:cubicBezTo>
                <a:cubicBezTo>
                  <a:pt x="2929" y="5029"/>
                  <a:pt x="2933" y="5029"/>
                  <a:pt x="2937" y="5029"/>
                </a:cubicBezTo>
                <a:lnTo>
                  <a:pt x="2943" y="5029"/>
                </a:lnTo>
                <a:cubicBezTo>
                  <a:pt x="3096" y="5029"/>
                  <a:pt x="3241" y="4969"/>
                  <a:pt x="3352" y="4860"/>
                </a:cubicBezTo>
                <a:lnTo>
                  <a:pt x="7249" y="964"/>
                </a:lnTo>
                <a:cubicBezTo>
                  <a:pt x="7603" y="606"/>
                  <a:pt x="7352" y="0"/>
                  <a:pt x="6852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>
              <a:solidFill>
                <a:srgbClr val="435D74"/>
              </a:solidFill>
            </a:endParaRPr>
          </a:p>
        </xdr:txBody>
      </xdr:sp>
    </xdr:grpSp>
    <xdr:clientData/>
  </xdr:twoCellAnchor>
  <xdr:twoCellAnchor>
    <xdr:from>
      <xdr:col>6</xdr:col>
      <xdr:colOff>266700</xdr:colOff>
      <xdr:row>3</xdr:row>
      <xdr:rowOff>190500</xdr:rowOff>
    </xdr:from>
    <xdr:to>
      <xdr:col>6</xdr:col>
      <xdr:colOff>510540</xdr:colOff>
      <xdr:row>4</xdr:row>
      <xdr:rowOff>123825</xdr:rowOff>
    </xdr:to>
    <xdr:grpSp>
      <xdr:nvGrpSpPr>
        <xdr:cNvPr id="22" name="Google Shape;5687;p80">
          <a:extLst>
            <a:ext uri="{FF2B5EF4-FFF2-40B4-BE49-F238E27FC236}">
              <a16:creationId xmlns:a16="http://schemas.microsoft.com/office/drawing/2014/main" id="{6BF58441-8E45-428A-A6B3-AE56811FB764}"/>
            </a:ext>
          </a:extLst>
        </xdr:cNvPr>
        <xdr:cNvGrpSpPr/>
      </xdr:nvGrpSpPr>
      <xdr:grpSpPr>
        <a:xfrm>
          <a:off x="7234238" y="1076325"/>
          <a:ext cx="243840" cy="228600"/>
          <a:chOff x="1492675" y="4992125"/>
          <a:chExt cx="481825" cy="481825"/>
        </a:xfrm>
        <a:solidFill>
          <a:srgbClr val="FFC000"/>
        </a:solidFill>
      </xdr:grpSpPr>
      <xdr:sp macro="" textlink="">
        <xdr:nvSpPr>
          <xdr:cNvPr id="23" name="Google Shape;5688;p80">
            <a:extLst>
              <a:ext uri="{FF2B5EF4-FFF2-40B4-BE49-F238E27FC236}">
                <a16:creationId xmlns:a16="http://schemas.microsoft.com/office/drawing/2014/main" id="{5923C92E-D224-E28E-CE07-6020415E98EA}"/>
              </a:ext>
            </a:extLst>
          </xdr:cNvPr>
          <xdr:cNvSpPr/>
        </xdr:nvSpPr>
        <xdr:spPr>
          <a:xfrm>
            <a:off x="1492675" y="4992125"/>
            <a:ext cx="481825" cy="481825"/>
          </a:xfrm>
          <a:custGeom>
            <a:avLst/>
            <a:gdLst/>
            <a:ahLst/>
            <a:cxnLst/>
            <a:rect l="l" t="t" r="r" b="b"/>
            <a:pathLst>
              <a:path w="19273" h="19273" extrusionOk="0">
                <a:moveTo>
                  <a:pt x="12728" y="5990"/>
                </a:moveTo>
                <a:cubicBezTo>
                  <a:pt x="13161" y="5990"/>
                  <a:pt x="13595" y="6156"/>
                  <a:pt x="13925" y="6487"/>
                </a:cubicBezTo>
                <a:cubicBezTo>
                  <a:pt x="14587" y="7149"/>
                  <a:pt x="14587" y="8221"/>
                  <a:pt x="13928" y="8884"/>
                </a:cubicBezTo>
                <a:lnTo>
                  <a:pt x="10028" y="12780"/>
                </a:lnTo>
                <a:cubicBezTo>
                  <a:pt x="9709" y="13100"/>
                  <a:pt x="9278" y="13280"/>
                  <a:pt x="8830" y="13280"/>
                </a:cubicBezTo>
                <a:lnTo>
                  <a:pt x="8815" y="13280"/>
                </a:lnTo>
                <a:cubicBezTo>
                  <a:pt x="8811" y="13280"/>
                  <a:pt x="8807" y="13280"/>
                  <a:pt x="8804" y="13280"/>
                </a:cubicBezTo>
                <a:cubicBezTo>
                  <a:pt x="8362" y="13280"/>
                  <a:pt x="7936" y="13103"/>
                  <a:pt x="7622" y="12789"/>
                </a:cubicBezTo>
                <a:lnTo>
                  <a:pt x="5346" y="10528"/>
                </a:lnTo>
                <a:cubicBezTo>
                  <a:pt x="4632" y="9877"/>
                  <a:pt x="4605" y="8760"/>
                  <a:pt x="5288" y="8077"/>
                </a:cubicBezTo>
                <a:cubicBezTo>
                  <a:pt x="5620" y="7745"/>
                  <a:pt x="6053" y="7581"/>
                  <a:pt x="6485" y="7581"/>
                </a:cubicBezTo>
                <a:cubicBezTo>
                  <a:pt x="6944" y="7581"/>
                  <a:pt x="7402" y="7766"/>
                  <a:pt x="7737" y="8134"/>
                </a:cubicBezTo>
                <a:lnTo>
                  <a:pt x="8812" y="9206"/>
                </a:lnTo>
                <a:lnTo>
                  <a:pt x="11531" y="6487"/>
                </a:lnTo>
                <a:cubicBezTo>
                  <a:pt x="11861" y="6156"/>
                  <a:pt x="12294" y="5990"/>
                  <a:pt x="12728" y="5990"/>
                </a:cubicBezTo>
                <a:close/>
                <a:moveTo>
                  <a:pt x="9637" y="1"/>
                </a:moveTo>
                <a:cubicBezTo>
                  <a:pt x="7095" y="1"/>
                  <a:pt x="4686" y="1012"/>
                  <a:pt x="2849" y="2849"/>
                </a:cubicBezTo>
                <a:cubicBezTo>
                  <a:pt x="1013" y="4686"/>
                  <a:pt x="1" y="7098"/>
                  <a:pt x="1" y="9637"/>
                </a:cubicBezTo>
                <a:cubicBezTo>
                  <a:pt x="1" y="12175"/>
                  <a:pt x="1013" y="14587"/>
                  <a:pt x="2849" y="16424"/>
                </a:cubicBezTo>
                <a:cubicBezTo>
                  <a:pt x="4686" y="18261"/>
                  <a:pt x="7095" y="19273"/>
                  <a:pt x="9637" y="19273"/>
                </a:cubicBezTo>
                <a:cubicBezTo>
                  <a:pt x="12175" y="19273"/>
                  <a:pt x="14584" y="18261"/>
                  <a:pt x="16421" y="16424"/>
                </a:cubicBezTo>
                <a:cubicBezTo>
                  <a:pt x="18258" y="14587"/>
                  <a:pt x="19273" y="12175"/>
                  <a:pt x="19273" y="9637"/>
                </a:cubicBezTo>
                <a:cubicBezTo>
                  <a:pt x="19273" y="7098"/>
                  <a:pt x="18258" y="4686"/>
                  <a:pt x="16421" y="2849"/>
                </a:cubicBezTo>
                <a:cubicBezTo>
                  <a:pt x="14584" y="1012"/>
                  <a:pt x="12175" y="1"/>
                  <a:pt x="9637" y="1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>
              <a:solidFill>
                <a:srgbClr val="435D74"/>
              </a:solidFill>
            </a:endParaRPr>
          </a:p>
        </xdr:txBody>
      </xdr:sp>
      <xdr:sp macro="" textlink="">
        <xdr:nvSpPr>
          <xdr:cNvPr id="24" name="Google Shape;5689;p80">
            <a:extLst>
              <a:ext uri="{FF2B5EF4-FFF2-40B4-BE49-F238E27FC236}">
                <a16:creationId xmlns:a16="http://schemas.microsoft.com/office/drawing/2014/main" id="{B2A5BCB4-B47B-444E-B85C-FE96D4CB4709}"/>
              </a:ext>
            </a:extLst>
          </xdr:cNvPr>
          <xdr:cNvSpPr/>
        </xdr:nvSpPr>
        <xdr:spPr>
          <a:xfrm>
            <a:off x="1639625" y="5170175"/>
            <a:ext cx="190100" cy="125750"/>
          </a:xfrm>
          <a:custGeom>
            <a:avLst/>
            <a:gdLst/>
            <a:ahLst/>
            <a:cxnLst/>
            <a:rect l="l" t="t" r="r" b="b"/>
            <a:pathLst>
              <a:path w="7604" h="5030" extrusionOk="0">
                <a:moveTo>
                  <a:pt x="6852" y="0"/>
                </a:moveTo>
                <a:cubicBezTo>
                  <a:pt x="6851" y="0"/>
                  <a:pt x="6850" y="0"/>
                  <a:pt x="6848" y="0"/>
                </a:cubicBezTo>
                <a:cubicBezTo>
                  <a:pt x="6698" y="0"/>
                  <a:pt x="6556" y="57"/>
                  <a:pt x="6451" y="163"/>
                </a:cubicBezTo>
                <a:lnTo>
                  <a:pt x="3334" y="3279"/>
                </a:lnTo>
                <a:cubicBezTo>
                  <a:pt x="3224" y="3391"/>
                  <a:pt x="3080" y="3447"/>
                  <a:pt x="2935" y="3447"/>
                </a:cubicBezTo>
                <a:cubicBezTo>
                  <a:pt x="2791" y="3447"/>
                  <a:pt x="2646" y="3391"/>
                  <a:pt x="2536" y="3279"/>
                </a:cubicBezTo>
                <a:cubicBezTo>
                  <a:pt x="2533" y="3279"/>
                  <a:pt x="2533" y="3279"/>
                  <a:pt x="2530" y="3276"/>
                </a:cubicBezTo>
                <a:cubicBezTo>
                  <a:pt x="2521" y="3267"/>
                  <a:pt x="2509" y="3255"/>
                  <a:pt x="2497" y="3246"/>
                </a:cubicBezTo>
                <a:lnTo>
                  <a:pt x="1061" y="1810"/>
                </a:lnTo>
                <a:cubicBezTo>
                  <a:pt x="948" y="1678"/>
                  <a:pt x="789" y="1611"/>
                  <a:pt x="629" y="1611"/>
                </a:cubicBezTo>
                <a:cubicBezTo>
                  <a:pt x="486" y="1611"/>
                  <a:pt x="342" y="1666"/>
                  <a:pt x="233" y="1777"/>
                </a:cubicBezTo>
                <a:cubicBezTo>
                  <a:pt x="1" y="2009"/>
                  <a:pt x="16" y="2391"/>
                  <a:pt x="266" y="2605"/>
                </a:cubicBezTo>
                <a:lnTo>
                  <a:pt x="2542" y="4869"/>
                </a:lnTo>
                <a:cubicBezTo>
                  <a:pt x="2645" y="4972"/>
                  <a:pt x="2782" y="5029"/>
                  <a:pt x="2926" y="5029"/>
                </a:cubicBezTo>
                <a:cubicBezTo>
                  <a:pt x="2929" y="5029"/>
                  <a:pt x="2933" y="5029"/>
                  <a:pt x="2937" y="5029"/>
                </a:cubicBezTo>
                <a:lnTo>
                  <a:pt x="2943" y="5029"/>
                </a:lnTo>
                <a:cubicBezTo>
                  <a:pt x="3096" y="5029"/>
                  <a:pt x="3241" y="4969"/>
                  <a:pt x="3352" y="4860"/>
                </a:cubicBezTo>
                <a:lnTo>
                  <a:pt x="7249" y="964"/>
                </a:lnTo>
                <a:cubicBezTo>
                  <a:pt x="7603" y="606"/>
                  <a:pt x="7352" y="0"/>
                  <a:pt x="6852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>
              <a:solidFill>
                <a:srgbClr val="435D74"/>
              </a:solidFill>
            </a:endParaRPr>
          </a:p>
        </xdr:txBody>
      </xdr:sp>
    </xdr:grpSp>
    <xdr:clientData/>
  </xdr:twoCellAnchor>
  <xdr:twoCellAnchor>
    <xdr:from>
      <xdr:col>6</xdr:col>
      <xdr:colOff>252411</xdr:colOff>
      <xdr:row>4</xdr:row>
      <xdr:rowOff>233363</xdr:rowOff>
    </xdr:from>
    <xdr:to>
      <xdr:col>6</xdr:col>
      <xdr:colOff>496251</xdr:colOff>
      <xdr:row>5</xdr:row>
      <xdr:rowOff>166688</xdr:rowOff>
    </xdr:to>
    <xdr:grpSp>
      <xdr:nvGrpSpPr>
        <xdr:cNvPr id="25" name="Google Shape;5687;p80">
          <a:extLst>
            <a:ext uri="{FF2B5EF4-FFF2-40B4-BE49-F238E27FC236}">
              <a16:creationId xmlns:a16="http://schemas.microsoft.com/office/drawing/2014/main" id="{0359B186-87E0-48A5-AF52-94DF9B9E2F0F}"/>
            </a:ext>
          </a:extLst>
        </xdr:cNvPr>
        <xdr:cNvGrpSpPr/>
      </xdr:nvGrpSpPr>
      <xdr:grpSpPr>
        <a:xfrm>
          <a:off x="7219949" y="1414463"/>
          <a:ext cx="243840" cy="228600"/>
          <a:chOff x="1492675" y="4992125"/>
          <a:chExt cx="481825" cy="481825"/>
        </a:xfrm>
        <a:solidFill>
          <a:srgbClr val="FF0000"/>
        </a:solidFill>
      </xdr:grpSpPr>
      <xdr:sp macro="" textlink="">
        <xdr:nvSpPr>
          <xdr:cNvPr id="26" name="Google Shape;5688;p80">
            <a:extLst>
              <a:ext uri="{FF2B5EF4-FFF2-40B4-BE49-F238E27FC236}">
                <a16:creationId xmlns:a16="http://schemas.microsoft.com/office/drawing/2014/main" id="{865A5214-FF85-8962-D327-26F207431655}"/>
              </a:ext>
            </a:extLst>
          </xdr:cNvPr>
          <xdr:cNvSpPr/>
        </xdr:nvSpPr>
        <xdr:spPr>
          <a:xfrm>
            <a:off x="1492675" y="4992125"/>
            <a:ext cx="481825" cy="481825"/>
          </a:xfrm>
          <a:custGeom>
            <a:avLst/>
            <a:gdLst/>
            <a:ahLst/>
            <a:cxnLst/>
            <a:rect l="l" t="t" r="r" b="b"/>
            <a:pathLst>
              <a:path w="19273" h="19273" extrusionOk="0">
                <a:moveTo>
                  <a:pt x="12728" y="5990"/>
                </a:moveTo>
                <a:cubicBezTo>
                  <a:pt x="13161" y="5990"/>
                  <a:pt x="13595" y="6156"/>
                  <a:pt x="13925" y="6487"/>
                </a:cubicBezTo>
                <a:cubicBezTo>
                  <a:pt x="14587" y="7149"/>
                  <a:pt x="14587" y="8221"/>
                  <a:pt x="13928" y="8884"/>
                </a:cubicBezTo>
                <a:lnTo>
                  <a:pt x="10028" y="12780"/>
                </a:lnTo>
                <a:cubicBezTo>
                  <a:pt x="9709" y="13100"/>
                  <a:pt x="9278" y="13280"/>
                  <a:pt x="8830" y="13280"/>
                </a:cubicBezTo>
                <a:lnTo>
                  <a:pt x="8815" y="13280"/>
                </a:lnTo>
                <a:cubicBezTo>
                  <a:pt x="8811" y="13280"/>
                  <a:pt x="8807" y="13280"/>
                  <a:pt x="8804" y="13280"/>
                </a:cubicBezTo>
                <a:cubicBezTo>
                  <a:pt x="8362" y="13280"/>
                  <a:pt x="7936" y="13103"/>
                  <a:pt x="7622" y="12789"/>
                </a:cubicBezTo>
                <a:lnTo>
                  <a:pt x="5346" y="10528"/>
                </a:lnTo>
                <a:cubicBezTo>
                  <a:pt x="4632" y="9877"/>
                  <a:pt x="4605" y="8760"/>
                  <a:pt x="5288" y="8077"/>
                </a:cubicBezTo>
                <a:cubicBezTo>
                  <a:pt x="5620" y="7745"/>
                  <a:pt x="6053" y="7581"/>
                  <a:pt x="6485" y="7581"/>
                </a:cubicBezTo>
                <a:cubicBezTo>
                  <a:pt x="6944" y="7581"/>
                  <a:pt x="7402" y="7766"/>
                  <a:pt x="7737" y="8134"/>
                </a:cubicBezTo>
                <a:lnTo>
                  <a:pt x="8812" y="9206"/>
                </a:lnTo>
                <a:lnTo>
                  <a:pt x="11531" y="6487"/>
                </a:lnTo>
                <a:cubicBezTo>
                  <a:pt x="11861" y="6156"/>
                  <a:pt x="12294" y="5990"/>
                  <a:pt x="12728" y="5990"/>
                </a:cubicBezTo>
                <a:close/>
                <a:moveTo>
                  <a:pt x="9637" y="1"/>
                </a:moveTo>
                <a:cubicBezTo>
                  <a:pt x="7095" y="1"/>
                  <a:pt x="4686" y="1012"/>
                  <a:pt x="2849" y="2849"/>
                </a:cubicBezTo>
                <a:cubicBezTo>
                  <a:pt x="1013" y="4686"/>
                  <a:pt x="1" y="7098"/>
                  <a:pt x="1" y="9637"/>
                </a:cubicBezTo>
                <a:cubicBezTo>
                  <a:pt x="1" y="12175"/>
                  <a:pt x="1013" y="14587"/>
                  <a:pt x="2849" y="16424"/>
                </a:cubicBezTo>
                <a:cubicBezTo>
                  <a:pt x="4686" y="18261"/>
                  <a:pt x="7095" y="19273"/>
                  <a:pt x="9637" y="19273"/>
                </a:cubicBezTo>
                <a:cubicBezTo>
                  <a:pt x="12175" y="19273"/>
                  <a:pt x="14584" y="18261"/>
                  <a:pt x="16421" y="16424"/>
                </a:cubicBezTo>
                <a:cubicBezTo>
                  <a:pt x="18258" y="14587"/>
                  <a:pt x="19273" y="12175"/>
                  <a:pt x="19273" y="9637"/>
                </a:cubicBezTo>
                <a:cubicBezTo>
                  <a:pt x="19273" y="7098"/>
                  <a:pt x="18258" y="4686"/>
                  <a:pt x="16421" y="2849"/>
                </a:cubicBezTo>
                <a:cubicBezTo>
                  <a:pt x="14584" y="1012"/>
                  <a:pt x="12175" y="1"/>
                  <a:pt x="9637" y="1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>
              <a:solidFill>
                <a:srgbClr val="435D74"/>
              </a:solidFill>
            </a:endParaRPr>
          </a:p>
        </xdr:txBody>
      </xdr:sp>
      <xdr:sp macro="" textlink="">
        <xdr:nvSpPr>
          <xdr:cNvPr id="27" name="Google Shape;5689;p80">
            <a:extLst>
              <a:ext uri="{FF2B5EF4-FFF2-40B4-BE49-F238E27FC236}">
                <a16:creationId xmlns:a16="http://schemas.microsoft.com/office/drawing/2014/main" id="{8A1CC92C-3E12-1CA1-84AD-493E0535E25C}"/>
              </a:ext>
            </a:extLst>
          </xdr:cNvPr>
          <xdr:cNvSpPr/>
        </xdr:nvSpPr>
        <xdr:spPr>
          <a:xfrm>
            <a:off x="1639625" y="5170175"/>
            <a:ext cx="190100" cy="125750"/>
          </a:xfrm>
          <a:custGeom>
            <a:avLst/>
            <a:gdLst/>
            <a:ahLst/>
            <a:cxnLst/>
            <a:rect l="l" t="t" r="r" b="b"/>
            <a:pathLst>
              <a:path w="7604" h="5030" extrusionOk="0">
                <a:moveTo>
                  <a:pt x="6852" y="0"/>
                </a:moveTo>
                <a:cubicBezTo>
                  <a:pt x="6851" y="0"/>
                  <a:pt x="6850" y="0"/>
                  <a:pt x="6848" y="0"/>
                </a:cubicBezTo>
                <a:cubicBezTo>
                  <a:pt x="6698" y="0"/>
                  <a:pt x="6556" y="57"/>
                  <a:pt x="6451" y="163"/>
                </a:cubicBezTo>
                <a:lnTo>
                  <a:pt x="3334" y="3279"/>
                </a:lnTo>
                <a:cubicBezTo>
                  <a:pt x="3224" y="3391"/>
                  <a:pt x="3080" y="3447"/>
                  <a:pt x="2935" y="3447"/>
                </a:cubicBezTo>
                <a:cubicBezTo>
                  <a:pt x="2791" y="3447"/>
                  <a:pt x="2646" y="3391"/>
                  <a:pt x="2536" y="3279"/>
                </a:cubicBezTo>
                <a:cubicBezTo>
                  <a:pt x="2533" y="3279"/>
                  <a:pt x="2533" y="3279"/>
                  <a:pt x="2530" y="3276"/>
                </a:cubicBezTo>
                <a:cubicBezTo>
                  <a:pt x="2521" y="3267"/>
                  <a:pt x="2509" y="3255"/>
                  <a:pt x="2497" y="3246"/>
                </a:cubicBezTo>
                <a:lnTo>
                  <a:pt x="1061" y="1810"/>
                </a:lnTo>
                <a:cubicBezTo>
                  <a:pt x="948" y="1678"/>
                  <a:pt x="789" y="1611"/>
                  <a:pt x="629" y="1611"/>
                </a:cubicBezTo>
                <a:cubicBezTo>
                  <a:pt x="486" y="1611"/>
                  <a:pt x="342" y="1666"/>
                  <a:pt x="233" y="1777"/>
                </a:cubicBezTo>
                <a:cubicBezTo>
                  <a:pt x="1" y="2009"/>
                  <a:pt x="16" y="2391"/>
                  <a:pt x="266" y="2605"/>
                </a:cubicBezTo>
                <a:lnTo>
                  <a:pt x="2542" y="4869"/>
                </a:lnTo>
                <a:cubicBezTo>
                  <a:pt x="2645" y="4972"/>
                  <a:pt x="2782" y="5029"/>
                  <a:pt x="2926" y="5029"/>
                </a:cubicBezTo>
                <a:cubicBezTo>
                  <a:pt x="2929" y="5029"/>
                  <a:pt x="2933" y="5029"/>
                  <a:pt x="2937" y="5029"/>
                </a:cubicBezTo>
                <a:lnTo>
                  <a:pt x="2943" y="5029"/>
                </a:lnTo>
                <a:cubicBezTo>
                  <a:pt x="3096" y="5029"/>
                  <a:pt x="3241" y="4969"/>
                  <a:pt x="3352" y="4860"/>
                </a:cubicBezTo>
                <a:lnTo>
                  <a:pt x="7249" y="964"/>
                </a:lnTo>
                <a:cubicBezTo>
                  <a:pt x="7603" y="606"/>
                  <a:pt x="7352" y="0"/>
                  <a:pt x="6852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>
              <a:solidFill>
                <a:srgbClr val="435D74"/>
              </a:solidFill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1</xdr:row>
      <xdr:rowOff>129540</xdr:rowOff>
    </xdr:from>
    <xdr:to>
      <xdr:col>11</xdr:col>
      <xdr:colOff>167640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341E4-E08A-4E90-9960-50E853BD4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6B0E55-E76E-4DE7-A399-D7C24D474EA2}" name="Table7" displayName="Table7" ref="B113:C125" totalsRowShown="0">
  <autoFilter ref="B113:C125" xr:uid="{2B6B0E55-E76E-4DE7-A399-D7C24D474EA2}"/>
  <sortState xmlns:xlrd2="http://schemas.microsoft.com/office/spreadsheetml/2017/richdata2" ref="B114:C125">
    <sortCondition ref="C113:C125"/>
  </sortState>
  <tableColumns count="2">
    <tableColumn id="1" xr3:uid="{702909EE-2BF2-4E89-A457-8EF9B2424B68}" name="Column1"/>
    <tableColumn id="2" xr3:uid="{8F9ABF89-5903-47FE-8274-B82A65F36871}" name="Column2" dataDxfId="58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B383A-1DC8-4385-B63C-021C4A37793A}" name="Table1" displayName="Table1" ref="B2:M22" totalsRowShown="0" headerRowDxfId="57" dataDxfId="56">
  <autoFilter ref="B2:M22" xr:uid="{845B383A-1DC8-4385-B63C-021C4A37793A}"/>
  <tableColumns count="12">
    <tableColumn id="1" xr3:uid="{775CB252-F26C-4B3F-B870-C0F23B81F27D}" name="Característica" dataDxfId="55"/>
    <tableColumn id="17" xr3:uid="{602A6B24-7604-4834-8744-71341BD676E1}" name="Albatross" dataDxfId="54"/>
    <tableColumn id="2" xr3:uid="{B4B702A4-02FF-4965-A49D-CB1DD80B5181}" name="MATTERNET M2" dataDxfId="53"/>
    <tableColumn id="3" xr3:uid="{F04BD94F-8F9A-4E2C-A116-541C508C5627}" name="ACSL Drone" dataDxfId="52"/>
    <tableColumn id="15" xr3:uid="{89769969-BAB7-419F-860C-6C3ACA8A2032}" name="Workhorse Horsefly" dataDxfId="51"/>
    <tableColumn id="4" xr3:uid="{4BB02D3F-1F2D-4C3E-B562-DA85374686C9}" name="Songbird 60" dataDxfId="50"/>
    <tableColumn id="5" xr3:uid="{47913044-8DC1-40A4-8CA2-9C4B0594440A}" name="Songbird 100" dataDxfId="49"/>
    <tableColumn id="6" xr3:uid="{0AE13F57-73B6-4F1F-A6F2-D032F7866FED}" name="Songbird 150" dataDxfId="48"/>
    <tableColumn id="7" xr3:uid="{8C94BDDC-1091-4D5B-A5F5-FE5FDB1DF68D}" name="Wingcopter 198" dataDxfId="47"/>
    <tableColumn id="8" xr3:uid="{2D6ABAEC-7FD1-4371-88F2-9869053E50F4}" name="Wing Drone *" dataDxfId="46"/>
    <tableColumn id="11" xr3:uid="{8B9B3F21-5EFB-493B-9C13-AB2C6E55E86B}" name="LY-FH20" dataDxfId="45"/>
    <tableColumn id="12" xr3:uid="{D05B7EBB-A637-4107-9BF3-5B00EBCC9C13}" name="DeltaQuad" dataDxfId="4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2EC936-BF47-459A-B015-34E480B0DD34}" name="Table4" displayName="Table4" ref="C3:F10" totalsRowShown="0" headerRowDxfId="43" tableBorderDxfId="42">
  <autoFilter ref="C3:F10" xr:uid="{212EC936-BF47-459A-B015-34E480B0DD34}"/>
  <tableColumns count="4">
    <tableColumn id="1" xr3:uid="{0A3EE52E-C853-415C-88DE-85F08040C4DE}" name="Column1" dataDxfId="41"/>
    <tableColumn id="2" xr3:uid="{56FCF550-979E-41EE-878F-EDC565EF7E88}" name="Ala Fija" dataDxfId="40"/>
    <tableColumn id="3" xr3:uid="{B24826CF-6728-493F-B734-9B58AF6815E9}" name="Multi-Rotor" dataDxfId="39"/>
    <tableColumn id="4" xr3:uid="{2D291047-E909-4B9D-B7DB-2F342C736B6E}" name="Híbrido" dataDxfId="3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39F532-4704-43CF-AA59-DF690BB8F52B}" name="Table2" displayName="Table2" ref="B5:M80" totalsRowShown="0" headerRowDxfId="37" dataDxfId="36">
  <autoFilter ref="B5:M80" xr:uid="{8039F532-4704-43CF-AA59-DF690BB8F52B}"/>
  <sortState xmlns:xlrd2="http://schemas.microsoft.com/office/spreadsheetml/2017/richdata2" ref="B6:M80">
    <sortCondition ref="C5:C80"/>
  </sortState>
  <tableColumns count="12">
    <tableColumn id="1" xr3:uid="{113D4EBB-F44C-4348-9EC4-A37D56DC7610}" name="Población" dataDxfId="35"/>
    <tableColumn id="2" xr3:uid="{1E6D9624-E4C9-4177-A6EE-AB2AE550D931}" name="Zona" dataDxfId="34"/>
    <tableColumn id="12" xr3:uid="{8A4B6FA9-422F-46DA-A43B-1662A98FBF84}" name="Zona (2)" dataDxfId="33"/>
    <tableColumn id="3" xr3:uid="{793D1964-7920-4732-B7C9-F2A4F3E103E0}" name="Distrito" dataDxfId="32"/>
    <tableColumn id="4" xr3:uid="{CF3ADB9C-C92D-4168-A930-07204CE1EB38}" name="Habitantes" dataDxfId="31"/>
    <tableColumn id="5" xr3:uid="{D20CEDE1-1AFC-4EDD-B067-941612246985}" name="&lt;19" dataDxfId="30"/>
    <tableColumn id="6" xr3:uid="{3E8A476B-A841-4652-96ED-1AE3329DC798}" name="20-49" dataDxfId="29"/>
    <tableColumn id="7" xr3:uid="{2A380DBE-8487-4A84-BE0E-D4A341ADC598}" name="50-64" dataDxfId="28"/>
    <tableColumn id="8" xr3:uid="{4742D262-0F6E-4F50-AF08-28A882E0C7A1}" name="&gt;65" dataDxfId="27">
      <calculatedColumnFormula>Table2[[#This Row],[Habitantes]]-G6-H6-I6</calculatedColumnFormula>
    </tableColumn>
    <tableColumn id="9" xr3:uid="{5B355110-F8D4-4FDC-9650-C223C552F40D}" name="Extensión (km^2)" dataDxfId="26"/>
    <tableColumn id="10" xr3:uid="{1ED049AA-9FA0-40FF-808D-C31AFAA63BD0}" name="Renta Mediana (2018, €)" dataDxfId="25"/>
    <tableColumn id="11" xr3:uid="{AE718C82-9315-4B93-B343-A8C666C505D3}" name="Densidad de Población" dataDxfId="24">
      <calculatedColumnFormula>Table2[[#This Row],[Habitantes]]/Table2[[#This Row],[Extensión (km^2)]]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6B3DF7-4814-4EAE-BCF4-633636231619}" name="Table24" displayName="Table24" ref="P5:V51" totalsRowShown="0" headerRowDxfId="23" dataDxfId="22">
  <autoFilter ref="P5:V51" xr:uid="{426B3DF7-4814-4EAE-BCF4-633636231619}"/>
  <tableColumns count="7">
    <tableColumn id="1" xr3:uid="{6A91663D-8C81-46E7-AF91-BB118B5AE826}" name="Población" dataDxfId="21"/>
    <tableColumn id="2" xr3:uid="{32967F57-9996-4962-BE12-21F064AE5131}" name="Zona" dataDxfId="20"/>
    <tableColumn id="12" xr3:uid="{F6638BFA-9F04-4299-81C9-D4488BA2EB50}" name="Público Total" dataDxfId="19">
      <calculatedColumnFormula>SUMIF(Table2[Zona],"Morada",Table2[&lt;19])+SUMIF(Table2[Zona],"Morada",Table2[20-49])+SUMIF(Table2[Zona],"Morada",Table2[50-64])+SUMIF(Table2[Zona],"Morada",Table2[&gt;65])</calculatedColumnFormula>
    </tableColumn>
    <tableColumn id="3" xr3:uid="{30CB76B2-F0B8-4E42-AE97-8CE9F72E9ABE}" name="Público objetivo" dataDxfId="18">
      <calculatedColumnFormula>SUMIF(Table2[Zona],"Morada",Table2[&lt;19])/5+SUMIF(Table2[Zona],"Morada",Table2[20-49])+SUMIF(Table2[Zona],"Morada",Table2[50-64])/3+SUMIF(Table2[Zona],"Morada",Table2[&gt;65])/10</calculatedColumnFormula>
    </tableColumn>
    <tableColumn id="9" xr3:uid="{EF97CAAA-7A7B-42B0-8A2F-37E8435EE399}" name="Público objetivo (%)" dataDxfId="17">
      <calculatedColumnFormula>Table24[[#This Row],[Público objetivo]]/Table24[[#This Row],[Público Total]]</calculatedColumnFormula>
    </tableColumn>
    <tableColumn id="10" xr3:uid="{9CBA589D-CA73-4ADC-90F7-F314632E40C4}" name="Renta Mediana (2018, €)" dataDxfId="16">
      <calculatedColumnFormula array="1">SUMPRODUCT(--(Table2[Zona]="Morada"),Table2[Habitantes],Table2[Renta Mediana (2018, €)])</calculatedColumnFormula>
    </tableColumn>
    <tableColumn id="11" xr3:uid="{1DD3104D-6451-4912-A23C-E1A36FC2F20A}" name="Densidad de Población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917B61-6046-4402-AF5A-374AA229A8ED}" name="Table57" displayName="Table57" ref="A1:E213" totalsRowShown="0" headerRowDxfId="14" dataDxfId="13">
  <autoFilter ref="A1:E213" xr:uid="{BA917B61-6046-4402-AF5A-374AA229A8ED}"/>
  <tableColumns count="5">
    <tableColumn id="1" xr3:uid="{CF3DBDF5-25F1-4018-BBAE-903AA58620D2}" name="Lugar" dataDxfId="12"/>
    <tableColumn id="2" xr3:uid="{04F2A073-B3DD-4BFA-820C-C1BB48CFAEE7}" name="Punto" dataDxfId="11"/>
    <tableColumn id="3" xr3:uid="{897CC076-1811-4100-86A9-A7C57107DEDC}" name="Longitud" dataDxfId="10"/>
    <tableColumn id="4" xr3:uid="{D3AC76A4-0D57-4F5C-9C26-A6F8ABD6E904}" name="Latitud" dataDxfId="9"/>
    <tableColumn id="5" xr3:uid="{9241B8CE-4DAA-4A4E-9514-01A8890C034F}" name="Distancia (km)" dataDxfId="8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EAE823-EFB9-4558-A89B-BA6CFB7DC5FB}" name="Table5" displayName="Table5" ref="A1:F214" totalsRowShown="0" headerRowDxfId="7" dataDxfId="6">
  <autoFilter ref="A1:F214" xr:uid="{00EAE823-EFB9-4558-A89B-BA6CFB7DC5FB}"/>
  <tableColumns count="6">
    <tableColumn id="1" xr3:uid="{BBD12EAB-50C8-46A4-9689-3BC04E0A4F60}" name="Lugar" dataDxfId="5"/>
    <tableColumn id="2" xr3:uid="{B49CB189-A3CA-4B7E-AF9F-BB74EAF059B4}" name="Punto" dataDxfId="4"/>
    <tableColumn id="3" xr3:uid="{22C0F036-3E83-49AB-A5B2-A208D993C0E4}" name="Longitud" dataDxfId="3"/>
    <tableColumn id="4" xr3:uid="{39331EB6-8E0E-4877-B162-C07A8563D819}" name="Latitud" dataDxfId="2"/>
    <tableColumn id="6" xr3:uid="{4FF1FA3E-25D4-439E-8357-38CBA97D8794}" name="Provisional Zona" dataDxfId="1"/>
    <tableColumn id="5" xr3:uid="{E2E478AB-9C5B-4EE4-8694-B7F363FCBBE1}" name="Distancia (km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hyperlink" Target="https://censystech.com/sentaerobvlo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amps.com/" TargetMode="External"/><Relationship Id="rId13" Type="http://schemas.openxmlformats.org/officeDocument/2006/relationships/hyperlink" Target="https://www.maxamps.com/" TargetMode="External"/><Relationship Id="rId18" Type="http://schemas.openxmlformats.org/officeDocument/2006/relationships/hyperlink" Target="https://www.maxamps.com/" TargetMode="External"/><Relationship Id="rId26" Type="http://schemas.openxmlformats.org/officeDocument/2006/relationships/hyperlink" Target="https://www.spardbattery.com/general-lithium-polymer-battery" TargetMode="External"/><Relationship Id="rId3" Type="http://schemas.openxmlformats.org/officeDocument/2006/relationships/hyperlink" Target="http://www.honcell.com/" TargetMode="External"/><Relationship Id="rId21" Type="http://schemas.openxmlformats.org/officeDocument/2006/relationships/hyperlink" Target="http://www.dji.com/" TargetMode="External"/><Relationship Id="rId7" Type="http://schemas.openxmlformats.org/officeDocument/2006/relationships/hyperlink" Target="https://www.lipolbattery.com/" TargetMode="External"/><Relationship Id="rId12" Type="http://schemas.openxmlformats.org/officeDocument/2006/relationships/hyperlink" Target="https://www.maxamps.com/" TargetMode="External"/><Relationship Id="rId17" Type="http://schemas.openxmlformats.org/officeDocument/2006/relationships/hyperlink" Target="http://www.yoowooo.com/" TargetMode="External"/><Relationship Id="rId25" Type="http://schemas.openxmlformats.org/officeDocument/2006/relationships/hyperlink" Target="https://rc-innovations.es/" TargetMode="External"/><Relationship Id="rId2" Type="http://schemas.openxmlformats.org/officeDocument/2006/relationships/hyperlink" Target="https://www.farnell.com/" TargetMode="External"/><Relationship Id="rId16" Type="http://schemas.openxmlformats.org/officeDocument/2006/relationships/hyperlink" Target="http://www.gifipower.com/" TargetMode="External"/><Relationship Id="rId20" Type="http://schemas.openxmlformats.org/officeDocument/2006/relationships/hyperlink" Target="https://www.maxamps.com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maxamps.com/products/lipo-5450mah-packs" TargetMode="External"/><Relationship Id="rId6" Type="http://schemas.openxmlformats.org/officeDocument/2006/relationships/hyperlink" Target="https://www.grepow.com/" TargetMode="External"/><Relationship Id="rId11" Type="http://schemas.openxmlformats.org/officeDocument/2006/relationships/hyperlink" Target="https://www.maxamps.com/" TargetMode="External"/><Relationship Id="rId24" Type="http://schemas.openxmlformats.org/officeDocument/2006/relationships/hyperlink" Target="https://rc-innovations.es/" TargetMode="External"/><Relationship Id="rId5" Type="http://schemas.openxmlformats.org/officeDocument/2006/relationships/hyperlink" Target="https://www.lipobattery.us/" TargetMode="External"/><Relationship Id="rId15" Type="http://schemas.openxmlformats.org/officeDocument/2006/relationships/hyperlink" Target="http://www.yoowooo.com/" TargetMode="External"/><Relationship Id="rId23" Type="http://schemas.openxmlformats.org/officeDocument/2006/relationships/hyperlink" Target="https://www.maxamps.com/" TargetMode="External"/><Relationship Id="rId28" Type="http://schemas.openxmlformats.org/officeDocument/2006/relationships/hyperlink" Target="http://zyepower.com/" TargetMode="External"/><Relationship Id="rId10" Type="http://schemas.openxmlformats.org/officeDocument/2006/relationships/hyperlink" Target="https://www.horizonhobby.com/" TargetMode="External"/><Relationship Id="rId19" Type="http://schemas.openxmlformats.org/officeDocument/2006/relationships/hyperlink" Target="https://www.maxamps.com/" TargetMode="External"/><Relationship Id="rId4" Type="http://schemas.openxmlformats.org/officeDocument/2006/relationships/hyperlink" Target="https://uk.rs-online.com/" TargetMode="External"/><Relationship Id="rId9" Type="http://schemas.openxmlformats.org/officeDocument/2006/relationships/hyperlink" Target="https://www.horizonhobby.com/" TargetMode="External"/><Relationship Id="rId14" Type="http://schemas.openxmlformats.org/officeDocument/2006/relationships/hyperlink" Target="https://dxf-hobby.store/" TargetMode="External"/><Relationship Id="rId22" Type="http://schemas.openxmlformats.org/officeDocument/2006/relationships/hyperlink" Target="http://www.dji.com/" TargetMode="External"/><Relationship Id="rId27" Type="http://schemas.openxmlformats.org/officeDocument/2006/relationships/hyperlink" Target="http://zyepower.com/" TargetMode="External"/><Relationship Id="rId30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erchants.ubereats.com/us/es/pricing/" TargetMode="External"/><Relationship Id="rId1" Type="http://schemas.openxmlformats.org/officeDocument/2006/relationships/hyperlink" Target="https://blog.glovoapp.com/en/glovo-life/how-glovo-works-guide-for-restaurant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C2C6-9A07-41E8-8F2D-298203565B6E}">
  <dimension ref="B3:F125"/>
  <sheetViews>
    <sheetView topLeftCell="A52" zoomScale="110" zoomScaleNormal="110" workbookViewId="0">
      <selection activeCell="K111" sqref="K111"/>
    </sheetView>
  </sheetViews>
  <sheetFormatPr defaultRowHeight="14.4" x14ac:dyDescent="0.3"/>
  <cols>
    <col min="2" max="2" width="43.5546875" customWidth="1"/>
    <col min="3" max="3" width="11.109375" bestFit="1" customWidth="1"/>
  </cols>
  <sheetData>
    <row r="3" spans="2:3" x14ac:dyDescent="0.3">
      <c r="B3" t="s">
        <v>57</v>
      </c>
      <c r="C3" s="1">
        <v>2.0139999999999998</v>
      </c>
    </row>
    <row r="4" spans="2:3" x14ac:dyDescent="0.3">
      <c r="B4" t="s">
        <v>58</v>
      </c>
      <c r="C4" s="1">
        <v>1.708</v>
      </c>
    </row>
    <row r="5" spans="2:3" x14ac:dyDescent="0.3">
      <c r="B5" t="s">
        <v>59</v>
      </c>
      <c r="C5" s="1">
        <v>1.052</v>
      </c>
    </row>
    <row r="6" spans="2:3" x14ac:dyDescent="0.3">
      <c r="B6" t="s">
        <v>60</v>
      </c>
      <c r="C6" s="1">
        <v>0.77500000000000002</v>
      </c>
    </row>
    <row r="7" spans="2:3" x14ac:dyDescent="0.3">
      <c r="B7" t="s">
        <v>88</v>
      </c>
      <c r="C7" s="1">
        <v>0.70099999999999996</v>
      </c>
    </row>
    <row r="8" spans="2:3" x14ac:dyDescent="0.3">
      <c r="C8" s="1"/>
    </row>
    <row r="22" spans="2:3" x14ac:dyDescent="0.3">
      <c r="B22" t="s">
        <v>89</v>
      </c>
      <c r="C22" s="1">
        <v>0.63600000000000001</v>
      </c>
    </row>
    <row r="23" spans="2:3" x14ac:dyDescent="0.3">
      <c r="B23" t="s">
        <v>523</v>
      </c>
      <c r="C23" s="1">
        <v>0.76200000000000001</v>
      </c>
    </row>
    <row r="24" spans="2:3" x14ac:dyDescent="0.3">
      <c r="B24" t="s">
        <v>90</v>
      </c>
      <c r="C24" s="1">
        <v>0.83599999999999997</v>
      </c>
    </row>
    <row r="25" spans="2:3" x14ac:dyDescent="0.3">
      <c r="B25" t="s">
        <v>91</v>
      </c>
      <c r="C25" s="1">
        <v>0.878</v>
      </c>
    </row>
    <row r="26" spans="2:3" x14ac:dyDescent="0.3">
      <c r="B26" t="s">
        <v>92</v>
      </c>
      <c r="C26" s="1">
        <v>0.89600000000000002</v>
      </c>
    </row>
    <row r="41" spans="2:3" x14ac:dyDescent="0.3">
      <c r="B41" t="s">
        <v>93</v>
      </c>
      <c r="C41" s="1">
        <v>0.92149999999999999</v>
      </c>
    </row>
    <row r="42" spans="2:3" x14ac:dyDescent="0.3">
      <c r="B42" t="s">
        <v>94</v>
      </c>
      <c r="C42" s="1">
        <v>0.21249999999999999</v>
      </c>
    </row>
    <row r="43" spans="2:3" x14ac:dyDescent="0.3">
      <c r="B43" t="s">
        <v>95</v>
      </c>
      <c r="C43" s="1">
        <v>0.16400000000000001</v>
      </c>
    </row>
    <row r="44" spans="2:3" x14ac:dyDescent="0.3">
      <c r="B44" t="s">
        <v>96</v>
      </c>
      <c r="C44" s="1">
        <v>5.7700000000000001E-2</v>
      </c>
    </row>
    <row r="52" spans="2:6" x14ac:dyDescent="0.3">
      <c r="C52" t="s">
        <v>64</v>
      </c>
      <c r="D52" t="s">
        <v>65</v>
      </c>
      <c r="E52" t="s">
        <v>66</v>
      </c>
      <c r="F52" t="s">
        <v>67</v>
      </c>
    </row>
    <row r="53" spans="2:6" x14ac:dyDescent="0.3">
      <c r="B53">
        <v>2019</v>
      </c>
      <c r="C53">
        <v>4.4000000000000004</v>
      </c>
      <c r="D53">
        <v>1.9</v>
      </c>
      <c r="E53">
        <v>2.7</v>
      </c>
      <c r="F53">
        <v>6.2</v>
      </c>
    </row>
    <row r="54" spans="2:6" x14ac:dyDescent="0.3">
      <c r="B54">
        <v>2020</v>
      </c>
      <c r="C54">
        <v>4.9000000000000004</v>
      </c>
      <c r="D54">
        <v>4.2</v>
      </c>
      <c r="E54">
        <v>3.3</v>
      </c>
      <c r="F54">
        <v>7.3</v>
      </c>
    </row>
    <row r="55" spans="2:6" x14ac:dyDescent="0.3">
      <c r="B55">
        <v>2021</v>
      </c>
      <c r="F55">
        <v>7.6</v>
      </c>
    </row>
    <row r="59" spans="2:6" x14ac:dyDescent="0.3">
      <c r="B59" t="s">
        <v>514</v>
      </c>
      <c r="C59">
        <v>13661</v>
      </c>
    </row>
    <row r="60" spans="2:6" x14ac:dyDescent="0.3">
      <c r="B60" t="s">
        <v>510</v>
      </c>
      <c r="C60" s="31">
        <v>8.4000000000000005E-2</v>
      </c>
    </row>
    <row r="61" spans="2:6" x14ac:dyDescent="0.3">
      <c r="B61" t="s">
        <v>511</v>
      </c>
      <c r="C61" s="31">
        <v>3.9E-2</v>
      </c>
    </row>
    <row r="62" spans="2:6" x14ac:dyDescent="0.3">
      <c r="B62" t="s">
        <v>512</v>
      </c>
      <c r="C62" s="31">
        <v>3.3000000000000002E-2</v>
      </c>
    </row>
    <row r="63" spans="2:6" x14ac:dyDescent="0.3">
      <c r="B63" t="s">
        <v>513</v>
      </c>
      <c r="C63" s="31">
        <v>3.2000000000000001E-2</v>
      </c>
    </row>
    <row r="65" spans="2:3" x14ac:dyDescent="0.3">
      <c r="C65" s="31"/>
    </row>
    <row r="66" spans="2:3" x14ac:dyDescent="0.3">
      <c r="C66" s="31"/>
    </row>
    <row r="67" spans="2:3" x14ac:dyDescent="0.3">
      <c r="C67" s="31"/>
    </row>
    <row r="74" spans="2:3" x14ac:dyDescent="0.3">
      <c r="B74" t="s">
        <v>515</v>
      </c>
      <c r="C74">
        <v>279</v>
      </c>
    </row>
    <row r="75" spans="2:3" x14ac:dyDescent="0.3">
      <c r="B75" t="s">
        <v>516</v>
      </c>
      <c r="C75" s="30">
        <v>8.4000000000000005E-2</v>
      </c>
    </row>
    <row r="76" spans="2:3" x14ac:dyDescent="0.3">
      <c r="B76" t="s">
        <v>513</v>
      </c>
      <c r="C76" s="30">
        <v>7.1999999999999995E-2</v>
      </c>
    </row>
    <row r="77" spans="2:3" x14ac:dyDescent="0.3">
      <c r="B77" t="s">
        <v>510</v>
      </c>
      <c r="C77" s="30">
        <v>6.2E-2</v>
      </c>
    </row>
    <row r="78" spans="2:3" x14ac:dyDescent="0.3">
      <c r="B78" t="s">
        <v>517</v>
      </c>
      <c r="C78" s="30">
        <v>2.3E-2</v>
      </c>
    </row>
    <row r="81" spans="2:3" x14ac:dyDescent="0.3">
      <c r="C81" s="30"/>
    </row>
    <row r="83" spans="2:3" x14ac:dyDescent="0.3">
      <c r="C83" s="30"/>
    </row>
    <row r="96" spans="2:3" x14ac:dyDescent="0.3">
      <c r="B96" t="s">
        <v>518</v>
      </c>
    </row>
    <row r="97" spans="2:3" x14ac:dyDescent="0.3">
      <c r="B97" t="s">
        <v>511</v>
      </c>
      <c r="C97" s="32">
        <v>83.026180458158024</v>
      </c>
    </row>
    <row r="98" spans="2:3" x14ac:dyDescent="0.3">
      <c r="B98" t="s">
        <v>510</v>
      </c>
      <c r="C98" s="32">
        <v>66.338536246965006</v>
      </c>
    </row>
    <row r="99" spans="2:3" x14ac:dyDescent="0.3">
      <c r="B99" t="s">
        <v>513</v>
      </c>
      <c r="C99" s="32">
        <v>21.761847869374755</v>
      </c>
    </row>
    <row r="100" spans="2:3" x14ac:dyDescent="0.3">
      <c r="B100" t="s">
        <v>512</v>
      </c>
      <c r="C100" s="32">
        <v>19.235919098822325</v>
      </c>
    </row>
    <row r="110" spans="2:3" x14ac:dyDescent="0.3">
      <c r="B110" t="s">
        <v>530</v>
      </c>
    </row>
    <row r="113" spans="2:3" x14ac:dyDescent="0.3">
      <c r="B113" t="s">
        <v>74</v>
      </c>
      <c r="C113" s="1" t="s">
        <v>539</v>
      </c>
    </row>
    <row r="114" spans="2:3" x14ac:dyDescent="0.3">
      <c r="B114" t="s">
        <v>537</v>
      </c>
      <c r="C114" s="1">
        <v>0.26500000000000001</v>
      </c>
    </row>
    <row r="115" spans="2:3" x14ac:dyDescent="0.3">
      <c r="B115" t="s">
        <v>540</v>
      </c>
      <c r="C115" s="1">
        <v>0.28899999999999998</v>
      </c>
    </row>
    <row r="116" spans="2:3" x14ac:dyDescent="0.3">
      <c r="B116" t="s">
        <v>538</v>
      </c>
      <c r="C116" s="1">
        <v>0.39</v>
      </c>
    </row>
    <row r="117" spans="2:3" x14ac:dyDescent="0.3">
      <c r="B117" t="s">
        <v>536</v>
      </c>
      <c r="C117" s="1">
        <v>0.40100000000000002</v>
      </c>
    </row>
    <row r="118" spans="2:3" x14ac:dyDescent="0.3">
      <c r="B118" t="s">
        <v>503</v>
      </c>
      <c r="C118" s="1">
        <v>0.432</v>
      </c>
    </row>
    <row r="119" spans="2:3" x14ac:dyDescent="0.3">
      <c r="B119" t="s">
        <v>531</v>
      </c>
      <c r="C119" s="1">
        <v>0.45300000000000001</v>
      </c>
    </row>
    <row r="120" spans="2:3" x14ac:dyDescent="0.3">
      <c r="B120" t="s">
        <v>532</v>
      </c>
      <c r="C120" s="1">
        <v>0.45300000000000001</v>
      </c>
    </row>
    <row r="121" spans="2:3" x14ac:dyDescent="0.3">
      <c r="B121" t="s">
        <v>504</v>
      </c>
      <c r="C121" s="1">
        <v>0.45500000000000002</v>
      </c>
    </row>
    <row r="122" spans="2:3" x14ac:dyDescent="0.3">
      <c r="B122" t="s">
        <v>529</v>
      </c>
      <c r="C122" s="1">
        <v>0.48599999999999999</v>
      </c>
    </row>
    <row r="123" spans="2:3" x14ac:dyDescent="0.3">
      <c r="B123" t="s">
        <v>535</v>
      </c>
      <c r="C123" s="1">
        <v>0.55500000000000005</v>
      </c>
    </row>
    <row r="124" spans="2:3" x14ac:dyDescent="0.3">
      <c r="B124" t="s">
        <v>533</v>
      </c>
      <c r="C124" s="1">
        <v>0.58099999999999996</v>
      </c>
    </row>
    <row r="125" spans="2:3" x14ac:dyDescent="0.3">
      <c r="B125" t="s">
        <v>534</v>
      </c>
      <c r="C125" s="1">
        <v>0.66400000000000003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1D4-3225-46D2-BD9F-5D24679E146C}">
  <dimension ref="B2:R63"/>
  <sheetViews>
    <sheetView topLeftCell="A12" zoomScale="80" zoomScaleNormal="80" workbookViewId="0">
      <selection activeCell="M5" sqref="M5"/>
    </sheetView>
  </sheetViews>
  <sheetFormatPr defaultRowHeight="14.4" x14ac:dyDescent="0.3"/>
  <cols>
    <col min="1" max="1" width="8.88671875" style="6"/>
    <col min="2" max="2" width="32.44140625" style="6" customWidth="1"/>
    <col min="3" max="3" width="11.44140625" style="6" customWidth="1"/>
    <col min="4" max="4" width="12.109375" style="6" customWidth="1"/>
    <col min="5" max="5" width="10.44140625" style="6" customWidth="1"/>
    <col min="6" max="6" width="10.33203125" style="6" customWidth="1"/>
    <col min="7" max="8" width="10.44140625" style="6" customWidth="1"/>
    <col min="9" max="9" width="11.5546875" style="6" customWidth="1"/>
    <col min="10" max="10" width="14.21875" style="6" customWidth="1"/>
    <col min="11" max="11" width="12.109375" style="6" customWidth="1"/>
    <col min="12" max="12" width="19.109375" style="6" customWidth="1"/>
    <col min="13" max="13" width="17.88671875" style="6" customWidth="1"/>
    <col min="14" max="16384" width="8.88671875" style="6"/>
  </cols>
  <sheetData>
    <row r="2" spans="2:13" ht="28.8" x14ac:dyDescent="0.3">
      <c r="B2" s="6" t="s">
        <v>63</v>
      </c>
      <c r="C2" s="6" t="s">
        <v>35</v>
      </c>
      <c r="D2" s="6" t="s">
        <v>51</v>
      </c>
      <c r="E2" s="6" t="s">
        <v>44</v>
      </c>
      <c r="F2" s="6" t="s">
        <v>22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86</v>
      </c>
      <c r="L2" s="6" t="s">
        <v>23</v>
      </c>
      <c r="M2" s="6" t="s">
        <v>27</v>
      </c>
    </row>
    <row r="3" spans="2:13" ht="28.8" x14ac:dyDescent="0.3">
      <c r="B3" s="6" t="s">
        <v>20</v>
      </c>
      <c r="C3" s="6" t="s">
        <v>37</v>
      </c>
      <c r="D3" s="6" t="s">
        <v>45</v>
      </c>
      <c r="E3" s="6" t="s">
        <v>45</v>
      </c>
      <c r="F3" s="6" t="s">
        <v>45</v>
      </c>
      <c r="G3" s="6" t="s">
        <v>62</v>
      </c>
      <c r="H3" s="6" t="s">
        <v>62</v>
      </c>
      <c r="I3" s="6" t="s">
        <v>62</v>
      </c>
      <c r="J3" s="6" t="s">
        <v>62</v>
      </c>
      <c r="K3" s="6" t="s">
        <v>62</v>
      </c>
      <c r="L3" s="6" t="s">
        <v>62</v>
      </c>
      <c r="M3" s="6" t="s">
        <v>62</v>
      </c>
    </row>
    <row r="4" spans="2:13" ht="28.8" x14ac:dyDescent="0.3">
      <c r="B4" s="6" t="s">
        <v>29</v>
      </c>
      <c r="D4" s="6" t="s">
        <v>52</v>
      </c>
      <c r="E4" s="6" t="s">
        <v>61</v>
      </c>
      <c r="J4" s="6" t="s">
        <v>68</v>
      </c>
      <c r="K4" s="6" t="s">
        <v>85</v>
      </c>
      <c r="L4" s="6" t="s">
        <v>24</v>
      </c>
      <c r="M4" s="6" t="s">
        <v>28</v>
      </c>
    </row>
    <row r="5" spans="2:13" x14ac:dyDescent="0.3">
      <c r="B5" s="6" t="s">
        <v>1</v>
      </c>
      <c r="C5" s="6">
        <v>10</v>
      </c>
      <c r="D5" s="6">
        <v>11.5</v>
      </c>
      <c r="E5" s="6">
        <v>9.82</v>
      </c>
      <c r="F5" s="6">
        <v>14.92</v>
      </c>
      <c r="G5" s="6" t="s">
        <v>10</v>
      </c>
      <c r="H5" s="6">
        <v>10.8</v>
      </c>
      <c r="I5" s="6">
        <v>14</v>
      </c>
      <c r="J5" s="6">
        <v>25</v>
      </c>
      <c r="K5" s="6">
        <v>6.4</v>
      </c>
      <c r="L5" s="6">
        <v>8.5</v>
      </c>
      <c r="M5" s="6">
        <v>6.2</v>
      </c>
    </row>
    <row r="6" spans="2:13" x14ac:dyDescent="0.3">
      <c r="B6" s="6" t="s">
        <v>3</v>
      </c>
      <c r="C6" s="6" t="s">
        <v>38</v>
      </c>
      <c r="D6" s="6">
        <v>2</v>
      </c>
      <c r="E6" s="6">
        <v>2.75</v>
      </c>
      <c r="G6" s="6">
        <v>1</v>
      </c>
      <c r="H6" s="6">
        <v>2</v>
      </c>
      <c r="I6" s="6">
        <v>4.4000000000000004</v>
      </c>
      <c r="J6" s="6">
        <v>5</v>
      </c>
      <c r="K6" s="6">
        <v>1.2</v>
      </c>
      <c r="L6" s="6">
        <v>2</v>
      </c>
      <c r="M6" s="6">
        <v>1.2</v>
      </c>
    </row>
    <row r="7" spans="2:13" ht="72" x14ac:dyDescent="0.3">
      <c r="B7" s="6" t="s">
        <v>2</v>
      </c>
      <c r="G7" s="6" t="s">
        <v>11</v>
      </c>
      <c r="H7" s="6" t="s">
        <v>11</v>
      </c>
      <c r="I7" s="6" t="s">
        <v>11</v>
      </c>
      <c r="L7" s="6" t="s">
        <v>25</v>
      </c>
    </row>
    <row r="8" spans="2:13" ht="28.8" x14ac:dyDescent="0.3">
      <c r="B8" s="6" t="s">
        <v>30</v>
      </c>
      <c r="C8" s="6" t="s">
        <v>40</v>
      </c>
      <c r="D8" s="6">
        <v>36</v>
      </c>
      <c r="E8" s="6">
        <v>36</v>
      </c>
      <c r="F8" s="6" t="s">
        <v>71</v>
      </c>
      <c r="G8" s="6" t="s">
        <v>5</v>
      </c>
      <c r="H8" s="6" t="s">
        <v>8</v>
      </c>
      <c r="I8" s="6" t="s">
        <v>9</v>
      </c>
      <c r="J8" s="6" t="s">
        <v>105</v>
      </c>
      <c r="K8" s="6">
        <v>104.4</v>
      </c>
      <c r="L8" s="6">
        <v>80</v>
      </c>
      <c r="M8" s="6" t="s">
        <v>31</v>
      </c>
    </row>
    <row r="9" spans="2:13" ht="28.8" x14ac:dyDescent="0.3">
      <c r="B9" s="6" t="s">
        <v>7</v>
      </c>
      <c r="D9" s="6" t="s">
        <v>56</v>
      </c>
      <c r="E9" s="6" t="s">
        <v>49</v>
      </c>
      <c r="F9" s="6" t="s">
        <v>73</v>
      </c>
      <c r="G9" s="6">
        <v>30</v>
      </c>
      <c r="H9" s="6">
        <v>45</v>
      </c>
      <c r="I9" s="6" t="s">
        <v>69</v>
      </c>
      <c r="J9" s="6" t="s">
        <v>17</v>
      </c>
      <c r="L9" s="6" t="s">
        <v>26</v>
      </c>
      <c r="M9" s="6">
        <v>110</v>
      </c>
    </row>
    <row r="10" spans="2:13" ht="28.8" x14ac:dyDescent="0.3">
      <c r="B10" s="6" t="s">
        <v>6</v>
      </c>
      <c r="C10" s="6">
        <v>100</v>
      </c>
      <c r="D10" s="6" t="s">
        <v>53</v>
      </c>
      <c r="E10" s="6" t="s">
        <v>39</v>
      </c>
      <c r="G10" s="6" t="s">
        <v>4</v>
      </c>
      <c r="H10" s="6">
        <v>90</v>
      </c>
      <c r="I10" s="6">
        <v>110</v>
      </c>
      <c r="K10" s="6">
        <v>20</v>
      </c>
      <c r="L10" s="6">
        <v>100</v>
      </c>
      <c r="M10" s="6">
        <v>100</v>
      </c>
    </row>
    <row r="11" spans="2:13" ht="43.2" x14ac:dyDescent="0.3">
      <c r="B11" s="6" t="s">
        <v>12</v>
      </c>
      <c r="D11" s="6" t="s">
        <v>54</v>
      </c>
      <c r="E11" s="6" t="s">
        <v>50</v>
      </c>
      <c r="G11" s="6">
        <v>2700</v>
      </c>
      <c r="H11" s="6">
        <v>2000</v>
      </c>
      <c r="I11" s="6">
        <v>5000</v>
      </c>
    </row>
    <row r="12" spans="2:13" ht="28.8" x14ac:dyDescent="0.3">
      <c r="B12" s="6" t="s">
        <v>70</v>
      </c>
      <c r="D12" s="6" t="s">
        <v>55</v>
      </c>
      <c r="E12" s="6" t="s">
        <v>46</v>
      </c>
      <c r="F12" s="6" t="s">
        <v>72</v>
      </c>
      <c r="G12" s="6" t="s">
        <v>200</v>
      </c>
      <c r="J12" s="6" t="s">
        <v>199</v>
      </c>
      <c r="M12" s="6" t="s">
        <v>198</v>
      </c>
    </row>
    <row r="13" spans="2:13" ht="28.8" x14ac:dyDescent="0.3">
      <c r="B13" s="6" t="s">
        <v>32</v>
      </c>
      <c r="D13" s="6">
        <v>12</v>
      </c>
      <c r="E13" s="6">
        <v>10</v>
      </c>
      <c r="J13" s="6">
        <v>15</v>
      </c>
      <c r="M13" s="6">
        <v>14</v>
      </c>
    </row>
    <row r="14" spans="2:13" x14ac:dyDescent="0.3">
      <c r="B14" s="6" t="s">
        <v>19</v>
      </c>
      <c r="C14" s="6" t="s">
        <v>41</v>
      </c>
      <c r="G14" s="6">
        <v>12</v>
      </c>
      <c r="H14" s="6">
        <v>14</v>
      </c>
      <c r="I14" s="6">
        <v>15</v>
      </c>
      <c r="J14" s="6">
        <v>90</v>
      </c>
    </row>
    <row r="15" spans="2:13" x14ac:dyDescent="0.3">
      <c r="B15" s="6" t="s">
        <v>21</v>
      </c>
      <c r="C15" s="6">
        <v>8973</v>
      </c>
      <c r="M15" s="6" t="s">
        <v>218</v>
      </c>
    </row>
    <row r="16" spans="2:13" x14ac:dyDescent="0.3">
      <c r="B16" s="6" t="s">
        <v>33</v>
      </c>
      <c r="C16" s="6" t="s">
        <v>36</v>
      </c>
      <c r="D16" s="6" t="s">
        <v>36</v>
      </c>
      <c r="E16" s="6" t="s">
        <v>36</v>
      </c>
      <c r="M16" s="6" t="s">
        <v>34</v>
      </c>
    </row>
    <row r="17" spans="2:18" x14ac:dyDescent="0.3">
      <c r="B17" s="6" t="s">
        <v>42</v>
      </c>
      <c r="C17" s="6" t="s">
        <v>43</v>
      </c>
      <c r="D17" s="6" t="s">
        <v>39</v>
      </c>
      <c r="E17" s="6" t="s">
        <v>39</v>
      </c>
    </row>
    <row r="18" spans="2:18" x14ac:dyDescent="0.3">
      <c r="B18" s="6" t="s">
        <v>47</v>
      </c>
      <c r="E18" s="6" t="s">
        <v>48</v>
      </c>
    </row>
    <row r="22" spans="2:18" ht="28.8" x14ac:dyDescent="0.3">
      <c r="B22" s="6" t="s">
        <v>87</v>
      </c>
    </row>
    <row r="25" spans="2:18" ht="28.8" x14ac:dyDescent="0.3">
      <c r="J25" s="6" t="s">
        <v>209</v>
      </c>
      <c r="K25" s="6" t="s">
        <v>210</v>
      </c>
      <c r="L25" s="6" t="s">
        <v>106</v>
      </c>
      <c r="M25" s="6" t="s">
        <v>212</v>
      </c>
      <c r="N25" s="6" t="s">
        <v>211</v>
      </c>
      <c r="O25" s="6" t="s">
        <v>214</v>
      </c>
      <c r="P25" s="6" t="s">
        <v>216</v>
      </c>
      <c r="R25" s="6" t="s">
        <v>217</v>
      </c>
    </row>
    <row r="26" spans="2:18" ht="72" x14ac:dyDescent="0.3">
      <c r="B26" s="6" t="s">
        <v>75</v>
      </c>
      <c r="D26" s="6" t="s">
        <v>77</v>
      </c>
      <c r="E26" s="6" t="s">
        <v>78</v>
      </c>
      <c r="J26" s="6" t="s">
        <v>208</v>
      </c>
      <c r="K26" s="6">
        <v>14.5</v>
      </c>
      <c r="L26" s="6">
        <v>2.5</v>
      </c>
      <c r="M26" s="6">
        <v>80</v>
      </c>
      <c r="N26" s="6">
        <v>9</v>
      </c>
      <c r="O26" s="6">
        <v>131.5</v>
      </c>
      <c r="P26" s="6" t="s">
        <v>79</v>
      </c>
      <c r="R26" s="6" t="s">
        <v>213</v>
      </c>
    </row>
    <row r="27" spans="2:18" x14ac:dyDescent="0.3">
      <c r="B27" s="6" t="s">
        <v>76</v>
      </c>
      <c r="D27" s="6">
        <v>5000</v>
      </c>
      <c r="E27" s="6">
        <v>96</v>
      </c>
      <c r="J27" s="6" t="s">
        <v>215</v>
      </c>
      <c r="K27" s="6">
        <v>27.25</v>
      </c>
      <c r="L27" s="6">
        <v>2.2999999999999998</v>
      </c>
      <c r="M27" s="6">
        <v>80</v>
      </c>
      <c r="O27" s="6">
        <v>168</v>
      </c>
      <c r="P27" s="6" t="s">
        <v>62</v>
      </c>
    </row>
    <row r="30" spans="2:18" x14ac:dyDescent="0.3">
      <c r="B30" s="6" t="s">
        <v>18</v>
      </c>
    </row>
    <row r="44" spans="2:4" ht="28.8" x14ac:dyDescent="0.3">
      <c r="B44" s="6" t="s">
        <v>106</v>
      </c>
      <c r="C44" s="6" t="s">
        <v>108</v>
      </c>
      <c r="D44" s="6" t="s">
        <v>107</v>
      </c>
    </row>
    <row r="45" spans="2:4" x14ac:dyDescent="0.3">
      <c r="B45" s="6">
        <v>0</v>
      </c>
      <c r="C45" s="6">
        <v>60</v>
      </c>
      <c r="D45" s="6">
        <v>95</v>
      </c>
    </row>
    <row r="46" spans="2:4" x14ac:dyDescent="0.3">
      <c r="B46" s="6">
        <v>1</v>
      </c>
      <c r="C46" s="6">
        <v>55</v>
      </c>
      <c r="D46" s="6">
        <v>85</v>
      </c>
    </row>
    <row r="47" spans="2:4" x14ac:dyDescent="0.3">
      <c r="B47" s="6">
        <v>2</v>
      </c>
      <c r="C47" s="6">
        <v>50</v>
      </c>
      <c r="D47" s="6">
        <v>80</v>
      </c>
    </row>
    <row r="48" spans="2:4" x14ac:dyDescent="0.3">
      <c r="B48" s="6">
        <v>3</v>
      </c>
      <c r="C48" s="6">
        <v>45</v>
      </c>
      <c r="D48" s="6">
        <v>75</v>
      </c>
    </row>
    <row r="49" spans="2:11" x14ac:dyDescent="0.3">
      <c r="B49" s="6">
        <v>4</v>
      </c>
      <c r="C49" s="6">
        <v>40</v>
      </c>
      <c r="D49" s="6">
        <v>70</v>
      </c>
    </row>
    <row r="50" spans="2:11" x14ac:dyDescent="0.3">
      <c r="B50" s="6">
        <v>5</v>
      </c>
      <c r="C50" s="6">
        <v>35</v>
      </c>
      <c r="D50" s="6">
        <v>65</v>
      </c>
    </row>
    <row r="54" spans="2:11" ht="28.8" x14ac:dyDescent="0.3">
      <c r="B54" s="19" t="s">
        <v>276</v>
      </c>
    </row>
    <row r="57" spans="2:11" ht="28.8" x14ac:dyDescent="0.3">
      <c r="B57" s="6" t="s">
        <v>255</v>
      </c>
      <c r="C57" s="6" t="s">
        <v>262</v>
      </c>
      <c r="D57" s="6" t="s">
        <v>263</v>
      </c>
      <c r="E57" s="6" t="s">
        <v>264</v>
      </c>
      <c r="F57" s="6" t="s">
        <v>265</v>
      </c>
      <c r="G57" s="6" t="s">
        <v>259</v>
      </c>
      <c r="H57" s="6" t="s">
        <v>193</v>
      </c>
      <c r="I57" s="6" t="s">
        <v>260</v>
      </c>
      <c r="J57" s="6" t="s">
        <v>258</v>
      </c>
      <c r="K57" s="6" t="s">
        <v>270</v>
      </c>
    </row>
    <row r="58" spans="2:11" x14ac:dyDescent="0.3">
      <c r="B58" s="6" t="s">
        <v>256</v>
      </c>
      <c r="C58" s="6">
        <v>6.14</v>
      </c>
      <c r="D58" s="6">
        <v>2.34</v>
      </c>
      <c r="E58" s="6">
        <v>27</v>
      </c>
      <c r="F58" s="6">
        <v>13</v>
      </c>
      <c r="G58" s="6">
        <f>2*4280</f>
        <v>8560</v>
      </c>
      <c r="H58" s="6" t="s">
        <v>195</v>
      </c>
      <c r="I58" s="6">
        <f>2*97.58</f>
        <v>195.16</v>
      </c>
      <c r="J58" s="6">
        <v>82.8</v>
      </c>
    </row>
    <row r="59" spans="2:11" x14ac:dyDescent="0.3">
      <c r="B59" s="6" t="s">
        <v>257</v>
      </c>
      <c r="C59" s="6">
        <v>6.14</v>
      </c>
      <c r="D59" s="6">
        <v>1.61</v>
      </c>
      <c r="E59" s="6">
        <v>38</v>
      </c>
      <c r="F59" s="6">
        <v>24</v>
      </c>
      <c r="G59" s="6">
        <f>2*7660</f>
        <v>15320</v>
      </c>
      <c r="H59" s="6" t="s">
        <v>195</v>
      </c>
      <c r="I59" s="6">
        <f>2*174.6</f>
        <v>349.2</v>
      </c>
      <c r="J59" s="6">
        <v>82.8</v>
      </c>
    </row>
    <row r="60" spans="2:11" ht="28.8" x14ac:dyDescent="0.3">
      <c r="B60" s="6" t="s">
        <v>261</v>
      </c>
      <c r="C60" s="6">
        <v>9</v>
      </c>
      <c r="D60" s="6">
        <v>0.93</v>
      </c>
      <c r="E60" s="6">
        <v>55</v>
      </c>
      <c r="G60" s="6">
        <f>5000+4920</f>
        <v>9920</v>
      </c>
      <c r="H60" s="6" t="s">
        <v>267</v>
      </c>
      <c r="I60" s="6" t="s">
        <v>266</v>
      </c>
      <c r="J60" s="6">
        <v>82.8</v>
      </c>
    </row>
    <row r="61" spans="2:11" x14ac:dyDescent="0.3">
      <c r="B61" s="6" t="s">
        <v>268</v>
      </c>
      <c r="C61" s="6">
        <v>15.5</v>
      </c>
      <c r="D61" s="6">
        <v>6</v>
      </c>
      <c r="E61" s="6">
        <v>32</v>
      </c>
      <c r="F61" s="6">
        <v>16</v>
      </c>
      <c r="G61" s="6">
        <f>4500*6</f>
        <v>27000</v>
      </c>
      <c r="H61" s="6" t="s">
        <v>195</v>
      </c>
      <c r="I61" s="6">
        <f>6*99.9</f>
        <v>599.40000000000009</v>
      </c>
      <c r="J61" s="6">
        <v>65</v>
      </c>
    </row>
    <row r="62" spans="2:11" x14ac:dyDescent="0.3">
      <c r="B62" s="6" t="s">
        <v>269</v>
      </c>
      <c r="C62" s="6">
        <v>15.5</v>
      </c>
      <c r="D62" s="6">
        <v>5.5</v>
      </c>
      <c r="E62" s="6">
        <v>38</v>
      </c>
      <c r="F62" s="6">
        <v>18</v>
      </c>
      <c r="G62" s="6">
        <f>5700*6</f>
        <v>34200</v>
      </c>
      <c r="H62" s="6" t="s">
        <v>195</v>
      </c>
      <c r="I62" s="6">
        <f>6*129.96</f>
        <v>779.76</v>
      </c>
      <c r="J62" s="6">
        <v>65</v>
      </c>
      <c r="K62" s="18">
        <v>4900</v>
      </c>
    </row>
    <row r="63" spans="2:11" x14ac:dyDescent="0.3">
      <c r="B63" s="6" t="s">
        <v>271</v>
      </c>
    </row>
  </sheetData>
  <hyperlinks>
    <hyperlink ref="B54" r:id="rId1" xr:uid="{D50A3696-A7DA-452D-B9D6-8CDE3CEB0BDB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AAFF-A53B-498F-9CDD-E8B56B98D2B1}">
  <dimension ref="B2:L55"/>
  <sheetViews>
    <sheetView zoomScale="120" zoomScaleNormal="120" workbookViewId="0">
      <selection activeCell="B6" sqref="B6:D6"/>
    </sheetView>
  </sheetViews>
  <sheetFormatPr defaultRowHeight="14.4" x14ac:dyDescent="0.3"/>
  <cols>
    <col min="2" max="2" width="45.21875" customWidth="1"/>
    <col min="3" max="3" width="8.6640625" bestFit="1" customWidth="1"/>
    <col min="4" max="4" width="10.77734375" bestFit="1" customWidth="1"/>
    <col min="5" max="5" width="20.21875" bestFit="1" customWidth="1"/>
    <col min="12" max="12" width="56.5546875" bestFit="1" customWidth="1"/>
  </cols>
  <sheetData>
    <row r="2" spans="2:12" x14ac:dyDescent="0.3">
      <c r="E2" t="s">
        <v>254</v>
      </c>
    </row>
    <row r="4" spans="2:12" x14ac:dyDescent="0.3">
      <c r="B4" t="s">
        <v>191</v>
      </c>
      <c r="C4" t="s">
        <v>21</v>
      </c>
      <c r="D4" t="s">
        <v>193</v>
      </c>
      <c r="E4" t="s">
        <v>192</v>
      </c>
      <c r="F4" t="s">
        <v>201</v>
      </c>
    </row>
    <row r="5" spans="2:12" x14ac:dyDescent="0.3">
      <c r="B5" t="s">
        <v>194</v>
      </c>
      <c r="C5">
        <v>179</v>
      </c>
      <c r="D5" t="s">
        <v>195</v>
      </c>
      <c r="E5">
        <v>4280</v>
      </c>
      <c r="F5" s="16" t="s">
        <v>249</v>
      </c>
      <c r="L5" s="7"/>
    </row>
    <row r="6" spans="2:12" x14ac:dyDescent="0.3">
      <c r="B6" t="s">
        <v>196</v>
      </c>
      <c r="C6">
        <v>245</v>
      </c>
      <c r="D6" t="s">
        <v>195</v>
      </c>
      <c r="E6">
        <v>5700</v>
      </c>
      <c r="F6" s="16" t="s">
        <v>249</v>
      </c>
    </row>
    <row r="7" spans="2:12" x14ac:dyDescent="0.3">
      <c r="B7" t="s">
        <v>203</v>
      </c>
      <c r="C7">
        <v>240</v>
      </c>
      <c r="D7" t="s">
        <v>195</v>
      </c>
      <c r="E7">
        <v>5450</v>
      </c>
      <c r="F7" s="16" t="s">
        <v>202</v>
      </c>
    </row>
    <row r="8" spans="2:12" x14ac:dyDescent="0.3">
      <c r="B8" t="s">
        <v>242</v>
      </c>
      <c r="C8">
        <v>121</v>
      </c>
      <c r="D8" t="s">
        <v>195</v>
      </c>
      <c r="E8">
        <v>6000</v>
      </c>
      <c r="F8" s="16" t="s">
        <v>237</v>
      </c>
    </row>
    <row r="9" spans="2:12" x14ac:dyDescent="0.3">
      <c r="B9" t="s">
        <v>243</v>
      </c>
      <c r="C9">
        <v>100</v>
      </c>
      <c r="D9" t="s">
        <v>195</v>
      </c>
      <c r="E9">
        <v>6000</v>
      </c>
      <c r="F9" t="s">
        <v>247</v>
      </c>
    </row>
    <row r="10" spans="2:12" x14ac:dyDescent="0.3">
      <c r="B10" t="s">
        <v>205</v>
      </c>
      <c r="C10">
        <v>108</v>
      </c>
      <c r="D10" t="s">
        <v>195</v>
      </c>
      <c r="E10">
        <v>4500</v>
      </c>
      <c r="F10" t="s">
        <v>246</v>
      </c>
    </row>
    <row r="11" spans="2:12" x14ac:dyDescent="0.3">
      <c r="B11" t="s">
        <v>207</v>
      </c>
      <c r="C11">
        <v>600</v>
      </c>
      <c r="D11" t="s">
        <v>195</v>
      </c>
      <c r="E11">
        <v>12000</v>
      </c>
      <c r="F11" s="16" t="s">
        <v>230</v>
      </c>
    </row>
    <row r="12" spans="2:12" x14ac:dyDescent="0.3">
      <c r="B12" t="s">
        <v>244</v>
      </c>
      <c r="C12">
        <v>336</v>
      </c>
      <c r="D12" t="s">
        <v>195</v>
      </c>
      <c r="E12">
        <v>6500</v>
      </c>
      <c r="F12" s="16" t="s">
        <v>230</v>
      </c>
    </row>
    <row r="13" spans="2:12" x14ac:dyDescent="0.3">
      <c r="B13" t="s">
        <v>245</v>
      </c>
      <c r="C13">
        <v>240</v>
      </c>
      <c r="D13" t="s">
        <v>195</v>
      </c>
      <c r="E13">
        <v>5200</v>
      </c>
      <c r="F13" s="16" t="s">
        <v>230</v>
      </c>
    </row>
    <row r="14" spans="2:12" x14ac:dyDescent="0.3">
      <c r="B14" t="s">
        <v>250</v>
      </c>
      <c r="C14">
        <v>360</v>
      </c>
      <c r="D14" t="s">
        <v>195</v>
      </c>
      <c r="E14">
        <v>9000</v>
      </c>
      <c r="F14" s="16" t="s">
        <v>230</v>
      </c>
    </row>
    <row r="15" spans="2:12" x14ac:dyDescent="0.3">
      <c r="B15" t="s">
        <v>253</v>
      </c>
      <c r="C15">
        <v>180</v>
      </c>
      <c r="D15" t="s">
        <v>195</v>
      </c>
      <c r="E15">
        <v>9000</v>
      </c>
      <c r="F15" s="16" t="s">
        <v>251</v>
      </c>
    </row>
    <row r="16" spans="2:12" x14ac:dyDescent="0.3">
      <c r="B16" t="s">
        <v>252</v>
      </c>
      <c r="C16">
        <v>183</v>
      </c>
      <c r="D16" t="s">
        <v>195</v>
      </c>
      <c r="E16">
        <v>10000</v>
      </c>
      <c r="F16" s="16" t="s">
        <v>251</v>
      </c>
    </row>
    <row r="17" spans="2:6" x14ac:dyDescent="0.3">
      <c r="B17" t="s">
        <v>280</v>
      </c>
      <c r="C17">
        <v>60</v>
      </c>
      <c r="D17" t="s">
        <v>195</v>
      </c>
      <c r="E17">
        <v>6000</v>
      </c>
      <c r="F17" s="16" t="s">
        <v>279</v>
      </c>
    </row>
    <row r="22" spans="2:6" x14ac:dyDescent="0.3">
      <c r="B22" t="s">
        <v>191</v>
      </c>
      <c r="C22" t="s">
        <v>21</v>
      </c>
      <c r="D22" t="s">
        <v>193</v>
      </c>
      <c r="E22" t="s">
        <v>192</v>
      </c>
      <c r="F22" t="s">
        <v>201</v>
      </c>
    </row>
    <row r="23" spans="2:6" x14ac:dyDescent="0.3">
      <c r="B23" t="s">
        <v>207</v>
      </c>
      <c r="C23">
        <v>400</v>
      </c>
      <c r="D23" t="s">
        <v>204</v>
      </c>
      <c r="E23">
        <v>12000</v>
      </c>
      <c r="F23" s="16" t="s">
        <v>230</v>
      </c>
    </row>
    <row r="24" spans="2:6" x14ac:dyDescent="0.3">
      <c r="B24" t="s">
        <v>206</v>
      </c>
      <c r="C24">
        <v>63</v>
      </c>
      <c r="D24" t="s">
        <v>204</v>
      </c>
      <c r="E24">
        <v>5200</v>
      </c>
      <c r="F24" t="s">
        <v>246</v>
      </c>
    </row>
    <row r="25" spans="2:6" x14ac:dyDescent="0.3">
      <c r="B25" t="s">
        <v>203</v>
      </c>
      <c r="C25">
        <v>165</v>
      </c>
      <c r="D25" t="s">
        <v>204</v>
      </c>
      <c r="E25">
        <v>5450</v>
      </c>
      <c r="F25" s="16" t="s">
        <v>230</v>
      </c>
    </row>
    <row r="26" spans="2:6" x14ac:dyDescent="0.3">
      <c r="B26" t="s">
        <v>228</v>
      </c>
      <c r="C26">
        <v>224</v>
      </c>
      <c r="D26" t="s">
        <v>204</v>
      </c>
      <c r="E26">
        <v>6500</v>
      </c>
      <c r="F26" s="16" t="s">
        <v>230</v>
      </c>
    </row>
    <row r="27" spans="2:6" x14ac:dyDescent="0.3">
      <c r="B27" t="s">
        <v>229</v>
      </c>
      <c r="C27">
        <v>240</v>
      </c>
      <c r="D27" t="s">
        <v>204</v>
      </c>
      <c r="E27">
        <v>9000</v>
      </c>
      <c r="F27" s="16" t="s">
        <v>230</v>
      </c>
    </row>
    <row r="28" spans="2:6" x14ac:dyDescent="0.3">
      <c r="B28" t="s">
        <v>231</v>
      </c>
      <c r="C28">
        <v>130</v>
      </c>
      <c r="D28" t="s">
        <v>204</v>
      </c>
      <c r="E28">
        <v>5000</v>
      </c>
      <c r="F28" s="16" t="s">
        <v>233</v>
      </c>
    </row>
    <row r="29" spans="2:6" x14ac:dyDescent="0.3">
      <c r="B29" t="s">
        <v>232</v>
      </c>
      <c r="C29">
        <v>90</v>
      </c>
      <c r="D29" t="s">
        <v>204</v>
      </c>
      <c r="E29">
        <v>5000</v>
      </c>
      <c r="F29" s="16" t="s">
        <v>233</v>
      </c>
    </row>
    <row r="30" spans="2:6" x14ac:dyDescent="0.3">
      <c r="B30" t="s">
        <v>235</v>
      </c>
      <c r="C30">
        <v>124</v>
      </c>
      <c r="D30" t="s">
        <v>204</v>
      </c>
      <c r="E30">
        <v>6500</v>
      </c>
      <c r="F30" s="16" t="s">
        <v>234</v>
      </c>
    </row>
    <row r="31" spans="2:6" x14ac:dyDescent="0.3">
      <c r="B31" t="s">
        <v>236</v>
      </c>
      <c r="C31">
        <v>70</v>
      </c>
      <c r="D31" t="s">
        <v>204</v>
      </c>
      <c r="E31">
        <v>6000</v>
      </c>
      <c r="F31" s="16" t="s">
        <v>237</v>
      </c>
    </row>
    <row r="32" spans="2:6" x14ac:dyDescent="0.3">
      <c r="B32" t="s">
        <v>238</v>
      </c>
      <c r="C32">
        <v>99</v>
      </c>
      <c r="D32" t="s">
        <v>204</v>
      </c>
      <c r="E32">
        <v>6200</v>
      </c>
      <c r="F32" t="s">
        <v>239</v>
      </c>
    </row>
    <row r="33" spans="2:6" x14ac:dyDescent="0.3">
      <c r="B33" t="s">
        <v>241</v>
      </c>
      <c r="C33">
        <v>130</v>
      </c>
      <c r="D33" t="s">
        <v>204</v>
      </c>
      <c r="E33">
        <v>8050</v>
      </c>
      <c r="F33" s="16" t="s">
        <v>240</v>
      </c>
    </row>
    <row r="34" spans="2:6" x14ac:dyDescent="0.3">
      <c r="B34" t="s">
        <v>280</v>
      </c>
      <c r="C34">
        <v>50</v>
      </c>
      <c r="D34" t="s">
        <v>204</v>
      </c>
      <c r="E34">
        <v>6000</v>
      </c>
      <c r="F34" s="16" t="s">
        <v>279</v>
      </c>
    </row>
    <row r="36" spans="2:6" x14ac:dyDescent="0.3">
      <c r="B36" t="s">
        <v>197</v>
      </c>
      <c r="C36">
        <v>499</v>
      </c>
      <c r="D36" t="s">
        <v>204</v>
      </c>
      <c r="E36">
        <v>23000</v>
      </c>
      <c r="F36" t="s">
        <v>248</v>
      </c>
    </row>
    <row r="38" spans="2:6" x14ac:dyDescent="0.3">
      <c r="B38" t="s">
        <v>219</v>
      </c>
      <c r="D38" t="s">
        <v>220</v>
      </c>
      <c r="E38" t="s">
        <v>221</v>
      </c>
    </row>
    <row r="39" spans="2:6" x14ac:dyDescent="0.3">
      <c r="B39" s="16" t="s">
        <v>224</v>
      </c>
      <c r="D39">
        <v>500</v>
      </c>
      <c r="E39" s="17">
        <v>0.6</v>
      </c>
    </row>
    <row r="40" spans="2:6" x14ac:dyDescent="0.3">
      <c r="D40">
        <v>0</v>
      </c>
      <c r="E40" s="17">
        <v>1</v>
      </c>
    </row>
    <row r="41" spans="2:6" x14ac:dyDescent="0.3">
      <c r="B41" s="16" t="s">
        <v>222</v>
      </c>
      <c r="D41">
        <v>500</v>
      </c>
      <c r="E41" s="17">
        <v>0.8</v>
      </c>
    </row>
    <row r="42" spans="2:6" x14ac:dyDescent="0.3">
      <c r="D42">
        <v>0</v>
      </c>
      <c r="E42" s="17">
        <v>1</v>
      </c>
    </row>
    <row r="43" spans="2:6" x14ac:dyDescent="0.3">
      <c r="B43" s="16" t="s">
        <v>223</v>
      </c>
      <c r="D43">
        <v>300</v>
      </c>
      <c r="E43" s="17">
        <v>0.8</v>
      </c>
    </row>
    <row r="44" spans="2:6" x14ac:dyDescent="0.3">
      <c r="D44">
        <v>0</v>
      </c>
      <c r="E44" s="17">
        <v>1</v>
      </c>
    </row>
    <row r="45" spans="2:6" x14ac:dyDescent="0.3">
      <c r="B45" s="16" t="s">
        <v>225</v>
      </c>
      <c r="D45">
        <v>300</v>
      </c>
      <c r="E45" s="17">
        <v>0.8</v>
      </c>
    </row>
    <row r="46" spans="2:6" x14ac:dyDescent="0.3">
      <c r="D46">
        <v>0</v>
      </c>
      <c r="E46" s="17">
        <v>1</v>
      </c>
    </row>
    <row r="47" spans="2:6" x14ac:dyDescent="0.3">
      <c r="B47" s="16" t="s">
        <v>226</v>
      </c>
      <c r="D47">
        <v>325</v>
      </c>
      <c r="E47" s="17">
        <v>0.8</v>
      </c>
    </row>
    <row r="48" spans="2:6" x14ac:dyDescent="0.3">
      <c r="D48">
        <v>0</v>
      </c>
      <c r="E48" s="17">
        <v>1</v>
      </c>
    </row>
    <row r="49" spans="2:5" x14ac:dyDescent="0.3">
      <c r="B49" s="16" t="s">
        <v>227</v>
      </c>
      <c r="D49">
        <v>500</v>
      </c>
      <c r="E49" s="17">
        <v>0.8</v>
      </c>
    </row>
    <row r="50" spans="2:5" x14ac:dyDescent="0.3">
      <c r="D50">
        <v>0</v>
      </c>
      <c r="E50" s="17">
        <v>1</v>
      </c>
    </row>
    <row r="51" spans="2:5" x14ac:dyDescent="0.3">
      <c r="B51" s="16" t="s">
        <v>224</v>
      </c>
      <c r="D51">
        <v>500</v>
      </c>
      <c r="E51" s="17">
        <v>0.92</v>
      </c>
    </row>
    <row r="52" spans="2:5" x14ac:dyDescent="0.3">
      <c r="D52">
        <v>0</v>
      </c>
      <c r="E52" s="17">
        <v>1</v>
      </c>
    </row>
    <row r="53" spans="2:5" x14ac:dyDescent="0.3">
      <c r="B53" s="16" t="s">
        <v>277</v>
      </c>
      <c r="D53">
        <v>500</v>
      </c>
      <c r="E53" s="17">
        <v>0.8</v>
      </c>
    </row>
    <row r="54" spans="2:5" x14ac:dyDescent="0.3">
      <c r="D54">
        <v>0</v>
      </c>
      <c r="E54" s="17">
        <v>1</v>
      </c>
    </row>
    <row r="55" spans="2:5" x14ac:dyDescent="0.3">
      <c r="B55" s="16" t="s">
        <v>278</v>
      </c>
      <c r="D55">
        <v>500</v>
      </c>
      <c r="E55" s="17">
        <v>0.78</v>
      </c>
    </row>
  </sheetData>
  <hyperlinks>
    <hyperlink ref="F7" r:id="rId1" xr:uid="{D65312ED-F580-448F-B715-C03CE7C18CC2}"/>
    <hyperlink ref="B43" r:id="rId2" xr:uid="{4712F7DA-346B-4852-BC9C-C682DF2B2C96}"/>
    <hyperlink ref="B39" r:id="rId3" xr:uid="{74F82F5B-23CB-43A8-A0C4-4305141EB10E}"/>
    <hyperlink ref="B45" r:id="rId4" xr:uid="{06E8B8A3-E847-4815-A46A-E6155A366048}"/>
    <hyperlink ref="B41" r:id="rId5" xr:uid="{9669C819-34F2-4CB4-B8E1-871E3E29C9C4}"/>
    <hyperlink ref="B47" r:id="rId6" xr:uid="{FDC54014-DD46-48BC-97B6-2D407F60062C}"/>
    <hyperlink ref="B49" r:id="rId7" xr:uid="{BA0E2401-2D06-4431-BD63-6C957350412B}"/>
    <hyperlink ref="F23" r:id="rId8" xr:uid="{733FB2E3-1A87-4814-A0C0-C71FF171F340}"/>
    <hyperlink ref="F29" r:id="rId9" xr:uid="{94725F58-CDAF-4128-95E8-B1E838644FED}"/>
    <hyperlink ref="F28" r:id="rId10" xr:uid="{D0F75E00-95A0-4F5B-8DC5-1A3B137C5D40}"/>
    <hyperlink ref="F25" r:id="rId11" xr:uid="{85BB3E09-ACB5-4FB7-8076-0CC8778AB8CF}"/>
    <hyperlink ref="F26" r:id="rId12" xr:uid="{E3745F59-328D-470D-A1A2-7DDBD96E486A}"/>
    <hyperlink ref="F27" r:id="rId13" xr:uid="{3029A141-2598-4746-8D4D-29C085AC0A40}"/>
    <hyperlink ref="F30" r:id="rId14" xr:uid="{D626036D-55DC-4980-8D7C-29486F9D9300}"/>
    <hyperlink ref="F31" r:id="rId15" xr:uid="{FA64AE03-3F0F-4439-9574-DDAD28572520}"/>
    <hyperlink ref="F33" r:id="rId16" xr:uid="{88E25DA7-C926-4D44-A124-2AD3B3115027}"/>
    <hyperlink ref="F8" r:id="rId17" xr:uid="{1D557BBC-9578-4246-B515-797814A1B073}"/>
    <hyperlink ref="F12" r:id="rId18" xr:uid="{5DD2DC30-58C2-4F45-9BD4-17CB2611AD11}"/>
    <hyperlink ref="F13" r:id="rId19" xr:uid="{842EA4AA-F3CC-4723-8E6E-DA995DBFFB85}"/>
    <hyperlink ref="F11" r:id="rId20" xr:uid="{4D3D89C9-41DD-468A-8FB6-9215BB52D6C6}"/>
    <hyperlink ref="F5" r:id="rId21" xr:uid="{3AF7179E-58D4-44D3-B93D-8EA92C31F06E}"/>
    <hyperlink ref="F6" r:id="rId22" xr:uid="{E2C8BADC-85BE-48F7-A3D6-4C3CF307B08D}"/>
    <hyperlink ref="F14" r:id="rId23" xr:uid="{B6022577-3C07-487B-A50D-1F23EC96C2D8}"/>
    <hyperlink ref="F15" r:id="rId24" xr:uid="{D06C4F22-CDE9-4077-938A-A31690EB0508}"/>
    <hyperlink ref="F16" r:id="rId25" xr:uid="{AC7515CC-316E-4B28-8C69-A1FA5BB06C40}"/>
    <hyperlink ref="B55" r:id="rId26" xr:uid="{3D04AA13-1765-46E7-B6D3-57109DDC2DC6}"/>
    <hyperlink ref="F17" r:id="rId27" xr:uid="{FC64B1ED-EDF9-4C50-8130-8730BDF8DDF5}"/>
    <hyperlink ref="F34" r:id="rId28" xr:uid="{54B66930-7C65-4703-9BC3-42417B454A29}"/>
  </hyperlinks>
  <pageMargins left="0.7" right="0.7" top="0.75" bottom="0.75" header="0.3" footer="0.3"/>
  <pageSetup paperSize="9" orientation="portrait" r:id="rId29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A186-7374-4024-A19D-7E7B86BF5B89}">
  <dimension ref="B2:G17"/>
  <sheetViews>
    <sheetView workbookViewId="0">
      <selection activeCell="E15" sqref="E15"/>
    </sheetView>
  </sheetViews>
  <sheetFormatPr defaultRowHeight="17.399999999999999" x14ac:dyDescent="0.3"/>
  <cols>
    <col min="1" max="1" width="8.88671875" style="21"/>
    <col min="2" max="2" width="51.21875" style="21" bestFit="1" customWidth="1"/>
    <col min="3" max="3" width="24" style="21" bestFit="1" customWidth="1"/>
    <col min="4" max="7" width="22.88671875" style="21" bestFit="1" customWidth="1"/>
    <col min="8" max="16384" width="8.88671875" style="21"/>
  </cols>
  <sheetData>
    <row r="2" spans="2:7" ht="69.599999999999994" x14ac:dyDescent="0.3">
      <c r="B2" s="20" t="s">
        <v>287</v>
      </c>
      <c r="C2" s="22" t="s">
        <v>286</v>
      </c>
      <c r="D2" s="22" t="s">
        <v>286</v>
      </c>
    </row>
    <row r="3" spans="2:7" x14ac:dyDescent="0.3">
      <c r="B3" s="20"/>
      <c r="C3" s="22" t="s">
        <v>288</v>
      </c>
      <c r="D3" s="22"/>
    </row>
    <row r="4" spans="2:7" x14ac:dyDescent="0.3">
      <c r="C4" s="21" t="s">
        <v>285</v>
      </c>
      <c r="D4" s="21" t="s">
        <v>285</v>
      </c>
      <c r="E4" s="21" t="s">
        <v>285</v>
      </c>
      <c r="F4" s="21" t="s">
        <v>285</v>
      </c>
      <c r="G4" s="21" t="s">
        <v>285</v>
      </c>
    </row>
    <row r="5" spans="2:7" x14ac:dyDescent="0.3">
      <c r="B5" s="21" t="s">
        <v>281</v>
      </c>
      <c r="C5" s="21">
        <f>118600/(22*35)</f>
        <v>154.02597402597402</v>
      </c>
    </row>
    <row r="6" spans="2:7" x14ac:dyDescent="0.3">
      <c r="B6" s="21" t="s">
        <v>282</v>
      </c>
      <c r="C6" s="21">
        <f>206400/(35*44)</f>
        <v>134.02597402597402</v>
      </c>
    </row>
    <row r="7" spans="2:7" x14ac:dyDescent="0.3">
      <c r="B7" s="21" t="s">
        <v>284</v>
      </c>
      <c r="C7" s="21">
        <f>(154400+83900)/(35*100)</f>
        <v>68.085714285714289</v>
      </c>
    </row>
    <row r="8" spans="2:7" x14ac:dyDescent="0.3">
      <c r="B8" s="21" t="s">
        <v>283</v>
      </c>
      <c r="C8" s="21">
        <f>27500/(35*10)</f>
        <v>78.571428571428569</v>
      </c>
    </row>
    <row r="12" spans="2:7" x14ac:dyDescent="0.3">
      <c r="B12" s="21" t="s">
        <v>519</v>
      </c>
      <c r="C12" s="21" t="s">
        <v>520</v>
      </c>
      <c r="D12" s="21" t="s">
        <v>521</v>
      </c>
      <c r="E12" s="21" t="s">
        <v>522</v>
      </c>
    </row>
    <row r="13" spans="2:7" x14ac:dyDescent="0.3">
      <c r="B13" s="33">
        <v>7.5</v>
      </c>
      <c r="C13" s="33">
        <v>15.8</v>
      </c>
      <c r="D13" s="33">
        <f>SQRT(C13^2+B13^2)</f>
        <v>17.489711261195822</v>
      </c>
      <c r="E13" s="33">
        <v>79.900000000000006</v>
      </c>
    </row>
    <row r="14" spans="2:7" x14ac:dyDescent="0.3">
      <c r="B14" s="33">
        <v>7.5</v>
      </c>
      <c r="C14" s="33">
        <v>9.1</v>
      </c>
      <c r="D14" s="33">
        <f t="shared" ref="D14:D17" si="0">SQRT(C14^2+B14^2)</f>
        <v>11.792370414806346</v>
      </c>
      <c r="E14" s="33">
        <v>79.599999999999994</v>
      </c>
    </row>
    <row r="15" spans="2:7" x14ac:dyDescent="0.3">
      <c r="B15" s="33">
        <v>7.5</v>
      </c>
      <c r="C15" s="33">
        <v>5.3</v>
      </c>
      <c r="D15" s="33">
        <f t="shared" si="0"/>
        <v>9.1836811791350854</v>
      </c>
      <c r="E15" s="33">
        <v>82.7</v>
      </c>
    </row>
    <row r="16" spans="2:7" x14ac:dyDescent="0.3">
      <c r="B16" s="33">
        <v>7.5</v>
      </c>
      <c r="C16" s="33">
        <v>2.5</v>
      </c>
      <c r="D16" s="33">
        <f t="shared" si="0"/>
        <v>7.9056941504209481</v>
      </c>
      <c r="E16" s="33">
        <v>84.4</v>
      </c>
    </row>
    <row r="17" spans="2:5" x14ac:dyDescent="0.3">
      <c r="B17" s="33">
        <v>7.5</v>
      </c>
      <c r="C17" s="21">
        <v>0</v>
      </c>
      <c r="D17" s="33">
        <f t="shared" si="0"/>
        <v>7.5</v>
      </c>
      <c r="E17" s="21">
        <v>85.3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58E3-869D-4781-B2E3-A050C75116F4}">
  <dimension ref="C3:F10"/>
  <sheetViews>
    <sheetView showGridLines="0" topLeftCell="A31" zoomScale="160" zoomScaleNormal="160" workbookViewId="0">
      <selection activeCell="C3" sqref="C3"/>
    </sheetView>
  </sheetViews>
  <sheetFormatPr defaultRowHeight="23.4" x14ac:dyDescent="0.3"/>
  <cols>
    <col min="1" max="2" width="8.88671875" style="2"/>
    <col min="3" max="3" width="32.21875" style="2" customWidth="1"/>
    <col min="4" max="4" width="16.6640625" style="2" customWidth="1"/>
    <col min="5" max="5" width="18.44140625" style="2" customWidth="1"/>
    <col min="6" max="6" width="16.44140625" style="2" customWidth="1"/>
    <col min="7" max="16384" width="8.88671875" style="2"/>
  </cols>
  <sheetData>
    <row r="3" spans="3:6" x14ac:dyDescent="0.3">
      <c r="C3" s="4" t="s">
        <v>74</v>
      </c>
      <c r="D3" s="9" t="s">
        <v>81</v>
      </c>
      <c r="E3" s="9" t="s">
        <v>79</v>
      </c>
      <c r="F3" s="9" t="s">
        <v>62</v>
      </c>
    </row>
    <row r="4" spans="3:6" x14ac:dyDescent="0.3">
      <c r="C4" s="5" t="s">
        <v>82</v>
      </c>
      <c r="D4" s="3"/>
      <c r="E4" s="3"/>
      <c r="F4" s="3"/>
    </row>
    <row r="5" spans="3:6" x14ac:dyDescent="0.3">
      <c r="C5" s="5" t="s">
        <v>83</v>
      </c>
      <c r="D5" s="3"/>
      <c r="E5" s="3"/>
      <c r="F5" s="3"/>
    </row>
    <row r="6" spans="3:6" x14ac:dyDescent="0.3">
      <c r="C6" s="5" t="s">
        <v>84</v>
      </c>
      <c r="D6" s="3"/>
      <c r="E6" s="3"/>
      <c r="F6" s="3"/>
    </row>
    <row r="7" spans="3:6" x14ac:dyDescent="0.3">
      <c r="C7" s="5" t="s">
        <v>99</v>
      </c>
      <c r="D7" s="3"/>
      <c r="E7" s="3"/>
      <c r="F7" s="3"/>
    </row>
    <row r="8" spans="3:6" x14ac:dyDescent="0.3">
      <c r="C8" s="5" t="s">
        <v>100</v>
      </c>
      <c r="D8" s="3"/>
      <c r="E8" s="3"/>
      <c r="F8" s="3"/>
    </row>
    <row r="9" spans="3:6" x14ac:dyDescent="0.3">
      <c r="C9" s="5" t="s">
        <v>101</v>
      </c>
      <c r="D9" s="3"/>
      <c r="E9" s="3"/>
      <c r="F9" s="3"/>
    </row>
    <row r="10" spans="3:6" x14ac:dyDescent="0.3">
      <c r="C10" s="5" t="s">
        <v>80</v>
      </c>
      <c r="D10" s="3"/>
      <c r="E10" s="3"/>
      <c r="F10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zoomScale="170" zoomScaleNormal="170" workbookViewId="0">
      <selection activeCell="B3" sqref="B3:C9"/>
    </sheetView>
  </sheetViews>
  <sheetFormatPr defaultRowHeight="14.4" x14ac:dyDescent="0.3"/>
  <sheetData>
    <row r="2" spans="2:3" x14ac:dyDescent="0.3">
      <c r="B2" t="s">
        <v>0</v>
      </c>
    </row>
    <row r="3" spans="2:3" x14ac:dyDescent="0.3">
      <c r="B3">
        <v>2020</v>
      </c>
      <c r="C3">
        <v>20.9</v>
      </c>
    </row>
    <row r="4" spans="2:3" x14ac:dyDescent="0.3">
      <c r="B4">
        <v>2021</v>
      </c>
      <c r="C4">
        <v>26.3</v>
      </c>
    </row>
    <row r="5" spans="2:3" x14ac:dyDescent="0.3">
      <c r="B5">
        <v>2022</v>
      </c>
      <c r="C5">
        <v>30.4</v>
      </c>
    </row>
    <row r="6" spans="2:3" x14ac:dyDescent="0.3">
      <c r="B6">
        <v>2023</v>
      </c>
      <c r="C6">
        <v>33.799999999999997</v>
      </c>
    </row>
    <row r="7" spans="2:3" x14ac:dyDescent="0.3">
      <c r="B7">
        <v>2024</v>
      </c>
      <c r="C7">
        <v>36.799999999999997</v>
      </c>
    </row>
    <row r="8" spans="2:3" x14ac:dyDescent="0.3">
      <c r="B8">
        <v>2025</v>
      </c>
      <c r="C8">
        <v>39.299999999999997</v>
      </c>
    </row>
    <row r="9" spans="2:3" x14ac:dyDescent="0.3">
      <c r="B9">
        <v>2026</v>
      </c>
      <c r="C9">
        <v>41.3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DB4D-D41D-4857-BFDB-2089A0B3D947}">
  <dimension ref="A1:N380"/>
  <sheetViews>
    <sheetView workbookViewId="0">
      <selection activeCell="K6" sqref="K6"/>
    </sheetView>
  </sheetViews>
  <sheetFormatPr defaultRowHeight="14.4" x14ac:dyDescent="0.3"/>
  <cols>
    <col min="1" max="6" width="8.88671875" style="8"/>
    <col min="7" max="7" width="11.6640625" style="8" customWidth="1"/>
    <col min="8" max="8" width="14.33203125" style="8" customWidth="1"/>
    <col min="9" max="9" width="9.5546875" style="8" bestFit="1" customWidth="1"/>
    <col min="10" max="10" width="8.88671875" style="8"/>
    <col min="11" max="11" width="9.5546875" style="8" bestFit="1" customWidth="1"/>
    <col min="12" max="16384" width="8.88671875" style="8"/>
  </cols>
  <sheetData>
    <row r="1" spans="1:14" x14ac:dyDescent="0.3">
      <c r="A1" s="8" t="s">
        <v>272</v>
      </c>
    </row>
    <row r="2" spans="1:14" x14ac:dyDescent="0.3">
      <c r="B2" s="8" t="s">
        <v>97</v>
      </c>
      <c r="H2" s="8" t="s">
        <v>487</v>
      </c>
      <c r="I2" s="8" t="s">
        <v>488</v>
      </c>
      <c r="J2" s="8" t="s">
        <v>486</v>
      </c>
      <c r="K2" s="8" t="s">
        <v>528</v>
      </c>
      <c r="L2" s="8" t="s">
        <v>487</v>
      </c>
      <c r="M2" s="8" t="s">
        <v>488</v>
      </c>
      <c r="N2" s="8" t="s">
        <v>524</v>
      </c>
    </row>
    <row r="3" spans="1:14" x14ac:dyDescent="0.3">
      <c r="B3" s="8">
        <v>4.2</v>
      </c>
      <c r="G3" s="8" t="s">
        <v>525</v>
      </c>
      <c r="H3" s="11">
        <f>AVERAGE(L3:L81)</f>
        <v>2.312658227848102</v>
      </c>
      <c r="I3" s="11">
        <f>AVERAGE(M3:M1000)</f>
        <v>2.5944444444444432</v>
      </c>
      <c r="J3" s="11">
        <f>AVERAGE(N3:N199)</f>
        <v>1.6306598984771563</v>
      </c>
      <c r="K3" s="8">
        <f>0.444444*I3+0.3333333*J3+0.222222*2.31</f>
        <v>2.2099713318037217</v>
      </c>
      <c r="L3" s="8">
        <v>1</v>
      </c>
      <c r="M3" s="8">
        <v>1</v>
      </c>
      <c r="N3" s="8">
        <v>2.5</v>
      </c>
    </row>
    <row r="4" spans="1:14" x14ac:dyDescent="0.3">
      <c r="G4" s="8" t="s">
        <v>526</v>
      </c>
      <c r="H4" s="11">
        <v>4.9000000000000004</v>
      </c>
      <c r="I4" s="11">
        <f>MAX(M3:M380)</f>
        <v>6</v>
      </c>
      <c r="J4" s="11">
        <v>4.9000000000000004</v>
      </c>
      <c r="K4" s="8">
        <v>6</v>
      </c>
      <c r="L4" s="8">
        <v>0</v>
      </c>
      <c r="M4" s="8">
        <v>3</v>
      </c>
      <c r="N4" s="8">
        <v>2.9</v>
      </c>
    </row>
    <row r="5" spans="1:14" x14ac:dyDescent="0.3">
      <c r="G5" s="8" t="s">
        <v>527</v>
      </c>
      <c r="H5" s="11">
        <v>2</v>
      </c>
      <c r="I5" s="11">
        <v>0</v>
      </c>
      <c r="J5" s="11">
        <v>0.75</v>
      </c>
      <c r="K5" s="8">
        <f>0.444444*I5+0.3333333*J5+0.22222*H5</f>
        <v>0.69443997499999999</v>
      </c>
      <c r="L5" s="8">
        <v>3</v>
      </c>
      <c r="M5" s="8">
        <v>1.5</v>
      </c>
      <c r="N5" s="8">
        <v>1</v>
      </c>
    </row>
    <row r="6" spans="1:14" x14ac:dyDescent="0.3">
      <c r="G6" s="8" t="s">
        <v>528</v>
      </c>
      <c r="H6" s="11">
        <f>H3+H5</f>
        <v>4.312658227848102</v>
      </c>
      <c r="I6" s="11">
        <v>2.59</v>
      </c>
      <c r="J6" s="11">
        <f>J3+J5</f>
        <v>2.3806598984771563</v>
      </c>
      <c r="K6" s="8">
        <f>0.444444*I6+0.3333333*J6+0.22222*H6</f>
        <v>2.9030220915294604</v>
      </c>
      <c r="L6" s="8">
        <v>1</v>
      </c>
      <c r="M6" s="8">
        <v>2.5</v>
      </c>
      <c r="N6" s="8">
        <v>0</v>
      </c>
    </row>
    <row r="7" spans="1:14" x14ac:dyDescent="0.3">
      <c r="L7" s="8">
        <v>2.5</v>
      </c>
      <c r="M7" s="8">
        <v>3.5</v>
      </c>
      <c r="N7" s="8">
        <v>1</v>
      </c>
    </row>
    <row r="8" spans="1:14" x14ac:dyDescent="0.3">
      <c r="H8" s="8" t="s">
        <v>513</v>
      </c>
      <c r="I8" s="8">
        <f>COUNT(L3:N199)</f>
        <v>473</v>
      </c>
      <c r="L8" s="8">
        <v>0</v>
      </c>
      <c r="M8" s="8">
        <v>3.5</v>
      </c>
      <c r="N8" s="8">
        <v>2.5</v>
      </c>
    </row>
    <row r="9" spans="1:14" x14ac:dyDescent="0.3">
      <c r="L9" s="8">
        <v>3.5</v>
      </c>
      <c r="M9" s="8">
        <v>1.5</v>
      </c>
      <c r="N9" s="8">
        <v>2.5</v>
      </c>
    </row>
    <row r="10" spans="1:14" x14ac:dyDescent="0.3">
      <c r="L10" s="8">
        <v>3.2</v>
      </c>
      <c r="M10" s="8">
        <v>1.5</v>
      </c>
      <c r="N10" s="8">
        <v>0</v>
      </c>
    </row>
    <row r="11" spans="1:14" x14ac:dyDescent="0.3">
      <c r="A11" s="8" t="s">
        <v>273</v>
      </c>
      <c r="L11" s="8">
        <v>0</v>
      </c>
      <c r="M11" s="8">
        <v>3.5</v>
      </c>
      <c r="N11" s="8">
        <v>5</v>
      </c>
    </row>
    <row r="12" spans="1:14" x14ac:dyDescent="0.3">
      <c r="L12" s="8">
        <v>2</v>
      </c>
      <c r="M12" s="8">
        <v>3.5</v>
      </c>
      <c r="N12" s="8">
        <v>4</v>
      </c>
    </row>
    <row r="13" spans="1:14" x14ac:dyDescent="0.3">
      <c r="L13" s="8">
        <v>3</v>
      </c>
      <c r="M13" s="8">
        <v>1</v>
      </c>
      <c r="N13" s="8">
        <v>4</v>
      </c>
    </row>
    <row r="14" spans="1:14" x14ac:dyDescent="0.3">
      <c r="A14" s="8" t="s">
        <v>275</v>
      </c>
      <c r="L14" s="8">
        <v>2.4</v>
      </c>
      <c r="M14" s="8">
        <v>3.5</v>
      </c>
      <c r="N14" s="8">
        <v>0</v>
      </c>
    </row>
    <row r="15" spans="1:14" x14ac:dyDescent="0.3">
      <c r="A15" s="8" t="s">
        <v>274</v>
      </c>
      <c r="B15" s="8">
        <f>4500/(7*300000)</f>
        <v>2.142857142857143E-3</v>
      </c>
      <c r="L15" s="8">
        <v>3.4</v>
      </c>
      <c r="M15" s="8">
        <v>4</v>
      </c>
      <c r="N15" s="8">
        <v>2.5</v>
      </c>
    </row>
    <row r="16" spans="1:14" x14ac:dyDescent="0.3">
      <c r="L16" s="8">
        <v>3.4</v>
      </c>
      <c r="M16" s="8">
        <v>3.5</v>
      </c>
      <c r="N16" s="8">
        <v>5</v>
      </c>
    </row>
    <row r="17" spans="3:14" x14ac:dyDescent="0.3">
      <c r="L17" s="8">
        <v>3.4</v>
      </c>
      <c r="M17" s="8">
        <v>4</v>
      </c>
      <c r="N17" s="8">
        <v>5</v>
      </c>
    </row>
    <row r="18" spans="3:14" x14ac:dyDescent="0.3">
      <c r="L18" s="8">
        <v>3.4</v>
      </c>
      <c r="M18" s="8">
        <v>1.5</v>
      </c>
      <c r="N18" s="8">
        <v>0</v>
      </c>
    </row>
    <row r="19" spans="3:14" x14ac:dyDescent="0.3">
      <c r="L19" s="8">
        <v>2.9</v>
      </c>
      <c r="M19" s="8">
        <v>0</v>
      </c>
      <c r="N19" s="8">
        <v>0</v>
      </c>
    </row>
    <row r="20" spans="3:14" x14ac:dyDescent="0.3">
      <c r="L20" s="8">
        <v>1.9</v>
      </c>
      <c r="M20" s="8">
        <v>2.5</v>
      </c>
      <c r="N20" s="8">
        <v>0</v>
      </c>
    </row>
    <row r="21" spans="3:14" x14ac:dyDescent="0.3">
      <c r="D21" s="8" t="s">
        <v>489</v>
      </c>
      <c r="E21" s="8" t="s">
        <v>490</v>
      </c>
      <c r="F21" s="8" t="s">
        <v>491</v>
      </c>
      <c r="G21" s="8" t="s">
        <v>494</v>
      </c>
      <c r="H21" s="8" t="s">
        <v>496</v>
      </c>
      <c r="I21" s="8" t="s">
        <v>502</v>
      </c>
      <c r="L21" s="8">
        <v>1</v>
      </c>
      <c r="M21" s="8">
        <v>2</v>
      </c>
      <c r="N21" s="8">
        <v>0</v>
      </c>
    </row>
    <row r="22" spans="3:14" x14ac:dyDescent="0.3">
      <c r="C22" s="8" t="s">
        <v>485</v>
      </c>
      <c r="D22" s="8">
        <f>15+3.05</f>
        <v>18.05</v>
      </c>
      <c r="E22" s="8">
        <v>0.3</v>
      </c>
      <c r="H22" s="14" t="s">
        <v>497</v>
      </c>
      <c r="I22" s="8" t="s">
        <v>503</v>
      </c>
      <c r="L22" s="8">
        <v>2.9</v>
      </c>
      <c r="M22" s="8">
        <v>1.9</v>
      </c>
      <c r="N22" s="8">
        <v>2</v>
      </c>
    </row>
    <row r="23" spans="3:14" x14ac:dyDescent="0.3">
      <c r="C23" s="8" t="s">
        <v>486</v>
      </c>
      <c r="D23" s="8" t="s">
        <v>493</v>
      </c>
      <c r="E23" s="8">
        <v>0.5</v>
      </c>
      <c r="F23" s="8">
        <v>699</v>
      </c>
      <c r="L23" s="8">
        <v>0</v>
      </c>
      <c r="M23" s="8">
        <v>5</v>
      </c>
      <c r="N23" s="8">
        <v>2</v>
      </c>
    </row>
    <row r="24" spans="3:14" x14ac:dyDescent="0.3">
      <c r="C24" s="8" t="s">
        <v>487</v>
      </c>
      <c r="D24" s="8" t="s">
        <v>498</v>
      </c>
      <c r="E24" s="8" t="s">
        <v>39</v>
      </c>
      <c r="F24" s="8" t="s">
        <v>39</v>
      </c>
      <c r="G24" s="8" t="s">
        <v>39</v>
      </c>
      <c r="H24" s="14" t="s">
        <v>500</v>
      </c>
      <c r="I24" s="8" t="s">
        <v>503</v>
      </c>
      <c r="L24" s="8">
        <v>0</v>
      </c>
      <c r="M24" s="8">
        <v>0</v>
      </c>
      <c r="N24" s="8">
        <v>2.5</v>
      </c>
    </row>
    <row r="25" spans="3:14" x14ac:dyDescent="0.3">
      <c r="C25" s="8" t="s">
        <v>488</v>
      </c>
      <c r="D25" s="29">
        <v>0.35</v>
      </c>
      <c r="F25" s="8" t="s">
        <v>492</v>
      </c>
      <c r="G25" s="8" t="s">
        <v>495</v>
      </c>
      <c r="L25" s="8">
        <v>1.9</v>
      </c>
      <c r="M25" s="8">
        <v>3.5</v>
      </c>
      <c r="N25" s="8">
        <v>1.5</v>
      </c>
    </row>
    <row r="26" spans="3:14" x14ac:dyDescent="0.3">
      <c r="L26" s="8">
        <v>5</v>
      </c>
      <c r="M26" s="8">
        <v>1.5</v>
      </c>
      <c r="N26" s="8">
        <v>3</v>
      </c>
    </row>
    <row r="27" spans="3:14" x14ac:dyDescent="0.3">
      <c r="L27" s="8">
        <v>3.5</v>
      </c>
      <c r="M27" s="8">
        <v>3.5</v>
      </c>
      <c r="N27" s="8">
        <v>0</v>
      </c>
    </row>
    <row r="28" spans="3:14" x14ac:dyDescent="0.3">
      <c r="C28" s="8" t="s">
        <v>486</v>
      </c>
      <c r="D28" s="8" t="s">
        <v>507</v>
      </c>
      <c r="F28" s="8" t="s">
        <v>506</v>
      </c>
      <c r="H28" s="8" t="s">
        <v>501</v>
      </c>
      <c r="I28" s="8" t="s">
        <v>504</v>
      </c>
      <c r="L28" s="8">
        <v>1.4</v>
      </c>
      <c r="M28" s="8">
        <v>1.5</v>
      </c>
      <c r="N28" s="8">
        <v>0</v>
      </c>
    </row>
    <row r="29" spans="3:14" x14ac:dyDescent="0.3">
      <c r="C29" s="8" t="s">
        <v>98</v>
      </c>
      <c r="D29" s="8" t="s">
        <v>499</v>
      </c>
      <c r="F29" s="8">
        <v>50</v>
      </c>
      <c r="I29" s="8" t="s">
        <v>504</v>
      </c>
      <c r="L29" s="8">
        <v>1.9</v>
      </c>
      <c r="M29" s="8">
        <v>1</v>
      </c>
      <c r="N29" s="8">
        <v>3</v>
      </c>
    </row>
    <row r="30" spans="3:14" x14ac:dyDescent="0.3">
      <c r="C30" s="8" t="s">
        <v>505</v>
      </c>
      <c r="D30" s="29">
        <v>0.3</v>
      </c>
      <c r="F30" s="8">
        <v>350</v>
      </c>
      <c r="I30" s="8" t="s">
        <v>504</v>
      </c>
      <c r="L30" s="8">
        <v>3.9</v>
      </c>
      <c r="M30" s="8">
        <v>2</v>
      </c>
      <c r="N30" s="8">
        <v>1</v>
      </c>
    </row>
    <row r="31" spans="3:14" x14ac:dyDescent="0.3">
      <c r="L31" s="8">
        <v>2.9</v>
      </c>
      <c r="M31" s="8">
        <v>5</v>
      </c>
      <c r="N31" s="8">
        <v>0</v>
      </c>
    </row>
    <row r="32" spans="3:14" x14ac:dyDescent="0.3">
      <c r="L32" s="8">
        <v>1.9</v>
      </c>
      <c r="M32" s="8">
        <v>1.5</v>
      </c>
      <c r="N32" s="8">
        <v>4</v>
      </c>
    </row>
    <row r="33" spans="12:14" x14ac:dyDescent="0.3">
      <c r="L33" s="8">
        <v>1.9</v>
      </c>
      <c r="M33" s="8">
        <v>1</v>
      </c>
      <c r="N33" s="8">
        <v>3.5</v>
      </c>
    </row>
    <row r="34" spans="12:14" x14ac:dyDescent="0.3">
      <c r="L34" s="8">
        <v>3</v>
      </c>
      <c r="M34" s="8">
        <v>2.5</v>
      </c>
      <c r="N34" s="8">
        <v>4</v>
      </c>
    </row>
    <row r="35" spans="12:14" x14ac:dyDescent="0.3">
      <c r="L35" s="8">
        <v>2.9</v>
      </c>
      <c r="M35" s="8">
        <v>3.5</v>
      </c>
      <c r="N35" s="8">
        <v>0</v>
      </c>
    </row>
    <row r="36" spans="12:14" x14ac:dyDescent="0.3">
      <c r="L36" s="8">
        <v>2.4</v>
      </c>
      <c r="M36" s="8">
        <v>3.5</v>
      </c>
      <c r="N36" s="8">
        <v>0</v>
      </c>
    </row>
    <row r="37" spans="12:14" x14ac:dyDescent="0.3">
      <c r="L37" s="8">
        <v>1.9</v>
      </c>
      <c r="M37" s="8">
        <v>3.5</v>
      </c>
      <c r="N37" s="8">
        <v>1.9</v>
      </c>
    </row>
    <row r="38" spans="12:14" x14ac:dyDescent="0.3">
      <c r="L38" s="8">
        <v>1</v>
      </c>
      <c r="M38" s="8">
        <v>4</v>
      </c>
      <c r="N38" s="8">
        <v>1.8</v>
      </c>
    </row>
    <row r="39" spans="12:14" x14ac:dyDescent="0.3">
      <c r="L39" s="8">
        <v>1.4</v>
      </c>
      <c r="M39" s="8">
        <v>3.5</v>
      </c>
      <c r="N39" s="8">
        <v>3</v>
      </c>
    </row>
    <row r="40" spans="12:14" x14ac:dyDescent="0.3">
      <c r="L40" s="8">
        <v>1.9</v>
      </c>
      <c r="M40" s="8">
        <v>3.5</v>
      </c>
      <c r="N40" s="8">
        <v>2</v>
      </c>
    </row>
    <row r="41" spans="12:14" x14ac:dyDescent="0.3">
      <c r="L41" s="8">
        <v>3</v>
      </c>
      <c r="M41" s="8">
        <v>3.5</v>
      </c>
      <c r="N41" s="8">
        <v>0</v>
      </c>
    </row>
    <row r="42" spans="12:14" x14ac:dyDescent="0.3">
      <c r="L42" s="8">
        <v>2</v>
      </c>
      <c r="M42" s="8">
        <v>2.8</v>
      </c>
      <c r="N42" s="8">
        <v>3</v>
      </c>
    </row>
    <row r="43" spans="12:14" x14ac:dyDescent="0.3">
      <c r="L43" s="8">
        <v>3</v>
      </c>
      <c r="M43" s="8">
        <v>4</v>
      </c>
      <c r="N43" s="8">
        <v>0</v>
      </c>
    </row>
    <row r="44" spans="12:14" x14ac:dyDescent="0.3">
      <c r="L44" s="8">
        <v>1</v>
      </c>
      <c r="M44" s="8">
        <v>1</v>
      </c>
      <c r="N44" s="8">
        <v>2.5</v>
      </c>
    </row>
    <row r="45" spans="12:14" x14ac:dyDescent="0.3">
      <c r="L45" s="8">
        <v>2</v>
      </c>
      <c r="M45" s="8">
        <v>1</v>
      </c>
      <c r="N45" s="8">
        <v>0</v>
      </c>
    </row>
    <row r="46" spans="12:14" x14ac:dyDescent="0.3">
      <c r="L46" s="8">
        <v>1</v>
      </c>
      <c r="M46" s="8">
        <v>2.5</v>
      </c>
      <c r="N46" s="8">
        <v>0</v>
      </c>
    </row>
    <row r="47" spans="12:14" x14ac:dyDescent="0.3">
      <c r="L47" s="8">
        <v>3</v>
      </c>
      <c r="M47" s="8">
        <v>3.5</v>
      </c>
      <c r="N47" s="8">
        <v>0</v>
      </c>
    </row>
    <row r="48" spans="12:14" x14ac:dyDescent="0.3">
      <c r="L48" s="8">
        <v>2</v>
      </c>
      <c r="M48" s="8">
        <v>3.5</v>
      </c>
      <c r="N48" s="8">
        <v>0</v>
      </c>
    </row>
    <row r="49" spans="12:14" x14ac:dyDescent="0.3">
      <c r="L49" s="8">
        <v>2</v>
      </c>
      <c r="M49" s="8">
        <v>3.5</v>
      </c>
      <c r="N49" s="8">
        <v>1.9</v>
      </c>
    </row>
    <row r="50" spans="12:14" x14ac:dyDescent="0.3">
      <c r="L50" s="8">
        <v>2.5</v>
      </c>
      <c r="M50" s="8">
        <v>4</v>
      </c>
      <c r="N50" s="8">
        <v>0.25</v>
      </c>
    </row>
    <row r="51" spans="12:14" x14ac:dyDescent="0.3">
      <c r="L51" s="8">
        <v>0</v>
      </c>
      <c r="M51" s="8">
        <v>3.5</v>
      </c>
      <c r="N51" s="8">
        <v>1.74</v>
      </c>
    </row>
    <row r="52" spans="12:14" x14ac:dyDescent="0.3">
      <c r="L52" s="8">
        <v>0</v>
      </c>
      <c r="M52" s="8">
        <v>3</v>
      </c>
      <c r="N52" s="8">
        <v>0</v>
      </c>
    </row>
    <row r="53" spans="12:14" x14ac:dyDescent="0.3">
      <c r="L53" s="8">
        <v>0</v>
      </c>
      <c r="M53" s="8">
        <v>3</v>
      </c>
      <c r="N53" s="8">
        <v>1.9</v>
      </c>
    </row>
    <row r="54" spans="12:14" x14ac:dyDescent="0.3">
      <c r="L54" s="8">
        <v>0</v>
      </c>
      <c r="M54" s="8">
        <v>4.5</v>
      </c>
      <c r="N54" s="8">
        <v>1.74</v>
      </c>
    </row>
    <row r="55" spans="12:14" x14ac:dyDescent="0.3">
      <c r="L55" s="8">
        <v>2.5</v>
      </c>
      <c r="M55" s="8">
        <v>0</v>
      </c>
      <c r="N55" s="8">
        <v>0</v>
      </c>
    </row>
    <row r="56" spans="12:14" x14ac:dyDescent="0.3">
      <c r="L56" s="8">
        <v>2</v>
      </c>
      <c r="M56" s="8">
        <v>2.5</v>
      </c>
      <c r="N56" s="8">
        <v>0</v>
      </c>
    </row>
    <row r="57" spans="12:14" x14ac:dyDescent="0.3">
      <c r="L57" s="8">
        <v>2</v>
      </c>
      <c r="M57" s="8">
        <v>4</v>
      </c>
      <c r="N57" s="8">
        <v>0</v>
      </c>
    </row>
    <row r="58" spans="12:14" x14ac:dyDescent="0.3">
      <c r="L58" s="8">
        <v>4</v>
      </c>
      <c r="M58" s="8">
        <v>4</v>
      </c>
      <c r="N58" s="8">
        <v>1.74</v>
      </c>
    </row>
    <row r="59" spans="12:14" x14ac:dyDescent="0.3">
      <c r="L59" s="8">
        <v>3</v>
      </c>
      <c r="M59" s="8">
        <v>4</v>
      </c>
      <c r="N59" s="8">
        <v>0</v>
      </c>
    </row>
    <row r="60" spans="12:14" x14ac:dyDescent="0.3">
      <c r="L60" s="8">
        <v>2</v>
      </c>
      <c r="M60" s="8">
        <v>1</v>
      </c>
      <c r="N60" s="8">
        <v>1.9</v>
      </c>
    </row>
    <row r="61" spans="12:14" x14ac:dyDescent="0.3">
      <c r="L61" s="8">
        <v>2</v>
      </c>
      <c r="M61" s="8">
        <v>4</v>
      </c>
      <c r="N61" s="8">
        <v>1.74</v>
      </c>
    </row>
    <row r="62" spans="12:14" x14ac:dyDescent="0.3">
      <c r="L62" s="8">
        <v>2</v>
      </c>
      <c r="M62" s="8">
        <v>1</v>
      </c>
      <c r="N62" s="8">
        <v>1.9</v>
      </c>
    </row>
    <row r="63" spans="12:14" x14ac:dyDescent="0.3">
      <c r="L63" s="8">
        <v>5</v>
      </c>
      <c r="M63" s="8">
        <v>4</v>
      </c>
      <c r="N63" s="8">
        <v>1.9</v>
      </c>
    </row>
    <row r="64" spans="12:14" x14ac:dyDescent="0.3">
      <c r="L64" s="8">
        <v>3</v>
      </c>
      <c r="M64" s="8">
        <v>1</v>
      </c>
      <c r="N64" s="8">
        <v>2.65</v>
      </c>
    </row>
    <row r="65" spans="12:14" x14ac:dyDescent="0.3">
      <c r="L65" s="8">
        <v>3</v>
      </c>
      <c r="M65" s="8">
        <v>4.5</v>
      </c>
      <c r="N65" s="8">
        <v>0</v>
      </c>
    </row>
    <row r="66" spans="12:14" x14ac:dyDescent="0.3">
      <c r="L66" s="8">
        <v>3</v>
      </c>
      <c r="M66" s="8">
        <v>1.9</v>
      </c>
      <c r="N66" s="8">
        <v>1.74</v>
      </c>
    </row>
    <row r="67" spans="12:14" x14ac:dyDescent="0.3">
      <c r="L67" s="8">
        <v>3</v>
      </c>
      <c r="M67" s="8">
        <v>2</v>
      </c>
      <c r="N67" s="8">
        <v>1.74</v>
      </c>
    </row>
    <row r="68" spans="12:14" x14ac:dyDescent="0.3">
      <c r="L68" s="8">
        <v>3</v>
      </c>
      <c r="M68" s="8">
        <v>5</v>
      </c>
      <c r="N68" s="8">
        <v>3</v>
      </c>
    </row>
    <row r="69" spans="12:14" x14ac:dyDescent="0.3">
      <c r="L69" s="8">
        <v>0</v>
      </c>
      <c r="M69" s="8">
        <v>2</v>
      </c>
      <c r="N69" s="8">
        <v>2</v>
      </c>
    </row>
    <row r="70" spans="12:14" x14ac:dyDescent="0.3">
      <c r="L70" s="8">
        <v>0</v>
      </c>
      <c r="M70" s="8">
        <v>3</v>
      </c>
      <c r="N70" s="8">
        <v>1.5</v>
      </c>
    </row>
    <row r="71" spans="12:14" x14ac:dyDescent="0.3">
      <c r="L71" s="8">
        <v>0</v>
      </c>
      <c r="M71" s="8">
        <v>1.5</v>
      </c>
      <c r="N71" s="8">
        <v>1.5</v>
      </c>
    </row>
    <row r="72" spans="12:14" x14ac:dyDescent="0.3">
      <c r="L72" s="8">
        <v>5</v>
      </c>
      <c r="M72" s="8">
        <v>1.5</v>
      </c>
      <c r="N72" s="8">
        <v>1.74</v>
      </c>
    </row>
    <row r="73" spans="12:14" x14ac:dyDescent="0.3">
      <c r="L73" s="8">
        <v>5</v>
      </c>
      <c r="M73" s="8">
        <v>1</v>
      </c>
      <c r="N73" s="8">
        <v>1.74</v>
      </c>
    </row>
    <row r="74" spans="12:14" x14ac:dyDescent="0.3">
      <c r="L74" s="8">
        <v>5</v>
      </c>
      <c r="M74" s="8">
        <v>1.9</v>
      </c>
      <c r="N74" s="8">
        <v>2.65</v>
      </c>
    </row>
    <row r="75" spans="12:14" x14ac:dyDescent="0.3">
      <c r="L75" s="8">
        <v>5</v>
      </c>
      <c r="M75" s="8">
        <v>0</v>
      </c>
      <c r="N75" s="8">
        <v>0</v>
      </c>
    </row>
    <row r="76" spans="12:14" x14ac:dyDescent="0.3">
      <c r="L76" s="8">
        <v>5</v>
      </c>
      <c r="M76" s="8">
        <v>1.5</v>
      </c>
      <c r="N76" s="8">
        <v>1.74</v>
      </c>
    </row>
    <row r="77" spans="12:14" x14ac:dyDescent="0.3">
      <c r="L77" s="8">
        <v>5</v>
      </c>
      <c r="M77" s="8">
        <v>3</v>
      </c>
      <c r="N77" s="8">
        <v>1.74</v>
      </c>
    </row>
    <row r="78" spans="12:14" x14ac:dyDescent="0.3">
      <c r="L78" s="8">
        <v>2</v>
      </c>
      <c r="M78" s="8">
        <v>3.5</v>
      </c>
      <c r="N78" s="8">
        <v>2</v>
      </c>
    </row>
    <row r="79" spans="12:14" x14ac:dyDescent="0.3">
      <c r="L79" s="8">
        <v>2</v>
      </c>
      <c r="M79" s="8">
        <v>4</v>
      </c>
      <c r="N79" s="8">
        <v>0</v>
      </c>
    </row>
    <row r="80" spans="12:14" x14ac:dyDescent="0.3">
      <c r="L80" s="8">
        <v>2.5</v>
      </c>
      <c r="M80" s="8">
        <v>0</v>
      </c>
      <c r="N80" s="8">
        <v>1.74</v>
      </c>
    </row>
    <row r="81" spans="12:14" x14ac:dyDescent="0.3">
      <c r="L81" s="8">
        <v>2.5</v>
      </c>
      <c r="M81" s="8">
        <v>3.5</v>
      </c>
      <c r="N81" s="8">
        <v>1.74</v>
      </c>
    </row>
    <row r="82" spans="12:14" x14ac:dyDescent="0.3">
      <c r="M82" s="8">
        <v>3.5</v>
      </c>
      <c r="N82" s="8">
        <v>2.5</v>
      </c>
    </row>
    <row r="83" spans="12:14" x14ac:dyDescent="0.3">
      <c r="M83" s="8">
        <v>3</v>
      </c>
      <c r="N83" s="8">
        <v>0</v>
      </c>
    </row>
    <row r="84" spans="12:14" x14ac:dyDescent="0.3">
      <c r="M84" s="8">
        <v>1.5</v>
      </c>
      <c r="N84" s="8">
        <v>2.65</v>
      </c>
    </row>
    <row r="85" spans="12:14" x14ac:dyDescent="0.3">
      <c r="M85" s="8">
        <v>2.5</v>
      </c>
      <c r="N85" s="8">
        <v>2</v>
      </c>
    </row>
    <row r="86" spans="12:14" x14ac:dyDescent="0.3">
      <c r="M86" s="8">
        <v>2.5</v>
      </c>
      <c r="N86" s="8">
        <v>0</v>
      </c>
    </row>
    <row r="87" spans="12:14" x14ac:dyDescent="0.3">
      <c r="M87" s="8">
        <v>3</v>
      </c>
      <c r="N87" s="8">
        <v>1</v>
      </c>
    </row>
    <row r="88" spans="12:14" x14ac:dyDescent="0.3">
      <c r="M88" s="8">
        <v>1</v>
      </c>
      <c r="N88" s="8">
        <v>0</v>
      </c>
    </row>
    <row r="89" spans="12:14" x14ac:dyDescent="0.3">
      <c r="M89" s="8">
        <v>1</v>
      </c>
      <c r="N89" s="8">
        <v>2.65</v>
      </c>
    </row>
    <row r="90" spans="12:14" x14ac:dyDescent="0.3">
      <c r="M90" s="8">
        <v>2.5</v>
      </c>
      <c r="N90" s="8">
        <v>3.5</v>
      </c>
    </row>
    <row r="91" spans="12:14" x14ac:dyDescent="0.3">
      <c r="M91" s="8">
        <v>3.5</v>
      </c>
      <c r="N91" s="8">
        <v>3</v>
      </c>
    </row>
    <row r="92" spans="12:14" x14ac:dyDescent="0.3">
      <c r="M92" s="8">
        <v>3.5</v>
      </c>
      <c r="N92" s="8">
        <v>3</v>
      </c>
    </row>
    <row r="93" spans="12:14" x14ac:dyDescent="0.3">
      <c r="M93" s="8">
        <v>3.5</v>
      </c>
      <c r="N93" s="8">
        <v>2</v>
      </c>
    </row>
    <row r="94" spans="12:14" x14ac:dyDescent="0.3">
      <c r="M94" s="8">
        <v>4</v>
      </c>
      <c r="N94" s="8">
        <v>2</v>
      </c>
    </row>
    <row r="95" spans="12:14" x14ac:dyDescent="0.3">
      <c r="M95" s="8">
        <v>3.5</v>
      </c>
      <c r="N95" s="8">
        <v>0</v>
      </c>
    </row>
    <row r="96" spans="12:14" x14ac:dyDescent="0.3">
      <c r="M96" s="8">
        <v>3</v>
      </c>
      <c r="N96" s="8">
        <v>0</v>
      </c>
    </row>
    <row r="97" spans="13:14" x14ac:dyDescent="0.3">
      <c r="M97" s="8">
        <v>3</v>
      </c>
      <c r="N97" s="8">
        <v>0</v>
      </c>
    </row>
    <row r="98" spans="13:14" x14ac:dyDescent="0.3">
      <c r="M98" s="8">
        <v>4</v>
      </c>
      <c r="N98" s="8">
        <v>1.74</v>
      </c>
    </row>
    <row r="99" spans="13:14" x14ac:dyDescent="0.3">
      <c r="M99" s="8">
        <v>0</v>
      </c>
      <c r="N99" s="8">
        <v>1</v>
      </c>
    </row>
    <row r="100" spans="13:14" x14ac:dyDescent="0.3">
      <c r="M100" s="8">
        <v>2.5</v>
      </c>
      <c r="N100" s="8">
        <v>2</v>
      </c>
    </row>
    <row r="101" spans="13:14" x14ac:dyDescent="0.3">
      <c r="M101" s="8">
        <v>4</v>
      </c>
      <c r="N101" s="8">
        <v>1.74</v>
      </c>
    </row>
    <row r="102" spans="13:14" x14ac:dyDescent="0.3">
      <c r="M102" s="8">
        <v>4</v>
      </c>
      <c r="N102" s="8">
        <v>1</v>
      </c>
    </row>
    <row r="103" spans="13:14" x14ac:dyDescent="0.3">
      <c r="M103" s="8">
        <v>4</v>
      </c>
      <c r="N103" s="8">
        <v>1.74</v>
      </c>
    </row>
    <row r="104" spans="13:14" x14ac:dyDescent="0.3">
      <c r="M104" s="8">
        <v>1</v>
      </c>
      <c r="N104" s="8">
        <v>1.74</v>
      </c>
    </row>
    <row r="105" spans="13:14" x14ac:dyDescent="0.3">
      <c r="M105" s="8">
        <v>4</v>
      </c>
      <c r="N105" s="8">
        <v>1.74</v>
      </c>
    </row>
    <row r="106" spans="13:14" x14ac:dyDescent="0.3">
      <c r="M106" s="8">
        <v>1</v>
      </c>
      <c r="N106" s="8">
        <v>1.74</v>
      </c>
    </row>
    <row r="107" spans="13:14" x14ac:dyDescent="0.3">
      <c r="M107" s="8">
        <v>4</v>
      </c>
      <c r="N107" s="8">
        <v>1</v>
      </c>
    </row>
    <row r="108" spans="13:14" x14ac:dyDescent="0.3">
      <c r="M108" s="8">
        <v>1</v>
      </c>
      <c r="N108" s="8">
        <v>0</v>
      </c>
    </row>
    <row r="109" spans="13:14" x14ac:dyDescent="0.3">
      <c r="M109" s="8">
        <v>4.5</v>
      </c>
      <c r="N109" s="8">
        <v>3</v>
      </c>
    </row>
    <row r="110" spans="13:14" x14ac:dyDescent="0.3">
      <c r="M110" s="8">
        <v>1.9</v>
      </c>
      <c r="N110" s="8">
        <v>2.5</v>
      </c>
    </row>
    <row r="111" spans="13:14" x14ac:dyDescent="0.3">
      <c r="M111" s="8">
        <v>2</v>
      </c>
      <c r="N111" s="8">
        <v>4</v>
      </c>
    </row>
    <row r="112" spans="13:14" x14ac:dyDescent="0.3">
      <c r="M112" s="8">
        <v>5</v>
      </c>
      <c r="N112" s="8">
        <v>4</v>
      </c>
    </row>
    <row r="113" spans="13:14" x14ac:dyDescent="0.3">
      <c r="M113" s="8">
        <v>1.9</v>
      </c>
      <c r="N113" s="8">
        <v>4</v>
      </c>
    </row>
    <row r="114" spans="13:14" x14ac:dyDescent="0.3">
      <c r="M114" s="8">
        <v>2.9</v>
      </c>
      <c r="N114" s="8">
        <v>0</v>
      </c>
    </row>
    <row r="115" spans="13:14" x14ac:dyDescent="0.3">
      <c r="M115" s="8">
        <v>1.5</v>
      </c>
      <c r="N115" s="8">
        <v>5</v>
      </c>
    </row>
    <row r="116" spans="13:14" x14ac:dyDescent="0.3">
      <c r="M116" s="8">
        <v>1.5</v>
      </c>
      <c r="N116" s="8">
        <v>5</v>
      </c>
    </row>
    <row r="117" spans="13:14" x14ac:dyDescent="0.3">
      <c r="M117" s="8">
        <v>1</v>
      </c>
      <c r="N117" s="8">
        <v>1.74</v>
      </c>
    </row>
    <row r="118" spans="13:14" x14ac:dyDescent="0.3">
      <c r="M118" s="8">
        <v>1.9</v>
      </c>
      <c r="N118" s="8">
        <v>3.5</v>
      </c>
    </row>
    <row r="119" spans="13:14" x14ac:dyDescent="0.3">
      <c r="M119" s="8">
        <v>0</v>
      </c>
      <c r="N119" s="8">
        <v>2</v>
      </c>
    </row>
    <row r="120" spans="13:14" x14ac:dyDescent="0.3">
      <c r="M120" s="8">
        <v>1.9</v>
      </c>
      <c r="N120" s="8">
        <v>1.5</v>
      </c>
    </row>
    <row r="121" spans="13:14" x14ac:dyDescent="0.3">
      <c r="M121" s="8">
        <v>1.5</v>
      </c>
      <c r="N121" s="8">
        <v>2.5</v>
      </c>
    </row>
    <row r="122" spans="13:14" x14ac:dyDescent="0.3">
      <c r="M122" s="8">
        <v>3</v>
      </c>
      <c r="N122" s="8">
        <v>3.5</v>
      </c>
    </row>
    <row r="123" spans="13:14" x14ac:dyDescent="0.3">
      <c r="M123" s="8">
        <v>3.5</v>
      </c>
      <c r="N123" s="8">
        <v>2</v>
      </c>
    </row>
    <row r="124" spans="13:14" x14ac:dyDescent="0.3">
      <c r="M124" s="8">
        <v>4</v>
      </c>
      <c r="N124" s="8">
        <v>1</v>
      </c>
    </row>
    <row r="125" spans="13:14" x14ac:dyDescent="0.3">
      <c r="M125" s="8">
        <v>0</v>
      </c>
      <c r="N125" s="8">
        <v>3</v>
      </c>
    </row>
    <row r="126" spans="13:14" x14ac:dyDescent="0.3">
      <c r="M126" s="8">
        <v>3.5</v>
      </c>
      <c r="N126" s="8">
        <v>0</v>
      </c>
    </row>
    <row r="127" spans="13:14" x14ac:dyDescent="0.3">
      <c r="M127" s="8">
        <v>3.5</v>
      </c>
      <c r="N127" s="8">
        <v>0</v>
      </c>
    </row>
    <row r="128" spans="13:14" x14ac:dyDescent="0.3">
      <c r="M128" s="8">
        <v>3</v>
      </c>
      <c r="N128" s="8">
        <v>0</v>
      </c>
    </row>
    <row r="129" spans="13:14" x14ac:dyDescent="0.3">
      <c r="M129" s="8">
        <v>1.5</v>
      </c>
      <c r="N129" s="8">
        <v>0</v>
      </c>
    </row>
    <row r="130" spans="13:14" x14ac:dyDescent="0.3">
      <c r="M130" s="8">
        <v>2.5</v>
      </c>
      <c r="N130" s="8">
        <v>1.74</v>
      </c>
    </row>
    <row r="131" spans="13:14" x14ac:dyDescent="0.3">
      <c r="M131" s="8">
        <v>2.5</v>
      </c>
      <c r="N131" s="8">
        <v>1.74</v>
      </c>
    </row>
    <row r="132" spans="13:14" x14ac:dyDescent="0.3">
      <c r="M132" s="8">
        <v>3</v>
      </c>
      <c r="N132" s="8">
        <v>3</v>
      </c>
    </row>
    <row r="133" spans="13:14" x14ac:dyDescent="0.3">
      <c r="M133" s="8">
        <v>2.5</v>
      </c>
      <c r="N133" s="8">
        <v>1.7</v>
      </c>
    </row>
    <row r="134" spans="13:14" x14ac:dyDescent="0.3">
      <c r="M134" s="8">
        <v>3.5</v>
      </c>
      <c r="N134" s="8">
        <v>0</v>
      </c>
    </row>
    <row r="135" spans="13:14" x14ac:dyDescent="0.3">
      <c r="M135" s="8">
        <v>3</v>
      </c>
      <c r="N135" s="8">
        <v>2</v>
      </c>
    </row>
    <row r="136" spans="13:14" x14ac:dyDescent="0.3">
      <c r="M136" s="8">
        <v>3.5</v>
      </c>
      <c r="N136" s="8">
        <v>2</v>
      </c>
    </row>
    <row r="137" spans="13:14" x14ac:dyDescent="0.3">
      <c r="M137" s="8">
        <v>5</v>
      </c>
      <c r="N137" s="8">
        <v>1.74</v>
      </c>
    </row>
    <row r="138" spans="13:14" x14ac:dyDescent="0.3">
      <c r="M138" s="8">
        <v>3</v>
      </c>
      <c r="N138" s="8">
        <v>2</v>
      </c>
    </row>
    <row r="139" spans="13:14" x14ac:dyDescent="0.3">
      <c r="M139" s="8">
        <v>1</v>
      </c>
      <c r="N139" s="8">
        <v>1.74</v>
      </c>
    </row>
    <row r="140" spans="13:14" x14ac:dyDescent="0.3">
      <c r="M140" s="8">
        <v>4.5</v>
      </c>
      <c r="N140" s="8">
        <v>3.5</v>
      </c>
    </row>
    <row r="141" spans="13:14" x14ac:dyDescent="0.3">
      <c r="M141" s="8">
        <v>3</v>
      </c>
      <c r="N141" s="8">
        <v>4</v>
      </c>
    </row>
    <row r="142" spans="13:14" x14ac:dyDescent="0.3">
      <c r="M142" s="8">
        <v>5.5</v>
      </c>
      <c r="N142" s="8">
        <v>2.5</v>
      </c>
    </row>
    <row r="143" spans="13:14" x14ac:dyDescent="0.3">
      <c r="M143" s="8">
        <v>3.5</v>
      </c>
      <c r="N143" s="8">
        <v>0</v>
      </c>
    </row>
    <row r="144" spans="13:14" x14ac:dyDescent="0.3">
      <c r="M144" s="8">
        <v>4</v>
      </c>
      <c r="N144" s="8">
        <v>3</v>
      </c>
    </row>
    <row r="145" spans="13:14" x14ac:dyDescent="0.3">
      <c r="M145" s="8">
        <v>5</v>
      </c>
      <c r="N145" s="8">
        <v>1.74</v>
      </c>
    </row>
    <row r="146" spans="13:14" x14ac:dyDescent="0.3">
      <c r="M146" s="8">
        <v>4.5</v>
      </c>
      <c r="N146" s="8">
        <v>2</v>
      </c>
    </row>
    <row r="147" spans="13:14" x14ac:dyDescent="0.3">
      <c r="M147" s="8">
        <v>1</v>
      </c>
      <c r="N147" s="8">
        <v>0</v>
      </c>
    </row>
    <row r="148" spans="13:14" x14ac:dyDescent="0.3">
      <c r="M148" s="8">
        <v>2.5</v>
      </c>
      <c r="N148" s="8">
        <v>2</v>
      </c>
    </row>
    <row r="149" spans="13:14" x14ac:dyDescent="0.3">
      <c r="M149" s="8">
        <v>4</v>
      </c>
      <c r="N149" s="8">
        <v>2</v>
      </c>
    </row>
    <row r="150" spans="13:14" x14ac:dyDescent="0.3">
      <c r="M150" s="8">
        <v>2</v>
      </c>
      <c r="N150" s="8">
        <v>0</v>
      </c>
    </row>
    <row r="151" spans="13:14" x14ac:dyDescent="0.3">
      <c r="M151" s="8">
        <v>3</v>
      </c>
      <c r="N151" s="8">
        <v>0</v>
      </c>
    </row>
    <row r="152" spans="13:14" x14ac:dyDescent="0.3">
      <c r="M152" s="8">
        <v>0</v>
      </c>
      <c r="N152" s="8">
        <v>0</v>
      </c>
    </row>
    <row r="153" spans="13:14" x14ac:dyDescent="0.3">
      <c r="M153" s="8">
        <v>2</v>
      </c>
      <c r="N153" s="8">
        <v>2.65</v>
      </c>
    </row>
    <row r="154" spans="13:14" x14ac:dyDescent="0.3">
      <c r="M154" s="8">
        <v>1</v>
      </c>
      <c r="N154" s="8">
        <v>0</v>
      </c>
    </row>
    <row r="155" spans="13:14" x14ac:dyDescent="0.3">
      <c r="M155" s="8">
        <v>4.5</v>
      </c>
      <c r="N155" s="8">
        <v>0</v>
      </c>
    </row>
    <row r="156" spans="13:14" x14ac:dyDescent="0.3">
      <c r="M156" s="8">
        <v>0</v>
      </c>
      <c r="N156" s="8">
        <v>1.74</v>
      </c>
    </row>
    <row r="157" spans="13:14" x14ac:dyDescent="0.3">
      <c r="M157" s="8">
        <v>2.9</v>
      </c>
      <c r="N157" s="8">
        <v>2</v>
      </c>
    </row>
    <row r="158" spans="13:14" x14ac:dyDescent="0.3">
      <c r="M158" s="8">
        <v>5.5</v>
      </c>
      <c r="N158" s="8">
        <v>0</v>
      </c>
    </row>
    <row r="159" spans="13:14" x14ac:dyDescent="0.3">
      <c r="M159" s="8">
        <v>3</v>
      </c>
      <c r="N159" s="8">
        <v>1.7</v>
      </c>
    </row>
    <row r="160" spans="13:14" x14ac:dyDescent="0.3">
      <c r="M160" s="8">
        <v>2.5</v>
      </c>
      <c r="N160" s="8">
        <v>2.65</v>
      </c>
    </row>
    <row r="161" spans="13:14" x14ac:dyDescent="0.3">
      <c r="M161" s="8">
        <v>3.5</v>
      </c>
      <c r="N161" s="8">
        <v>3</v>
      </c>
    </row>
    <row r="162" spans="13:14" x14ac:dyDescent="0.3">
      <c r="M162" s="8">
        <v>4.5</v>
      </c>
      <c r="N162" s="8">
        <v>1.7</v>
      </c>
    </row>
    <row r="163" spans="13:14" x14ac:dyDescent="0.3">
      <c r="M163" s="8">
        <v>3</v>
      </c>
      <c r="N163" s="8">
        <v>1.7</v>
      </c>
    </row>
    <row r="164" spans="13:14" x14ac:dyDescent="0.3">
      <c r="M164" s="8">
        <v>3.5</v>
      </c>
      <c r="N164" s="8">
        <v>1.7</v>
      </c>
    </row>
    <row r="165" spans="13:14" x14ac:dyDescent="0.3">
      <c r="M165" s="8">
        <v>4</v>
      </c>
      <c r="N165" s="8">
        <v>1.7</v>
      </c>
    </row>
    <row r="166" spans="13:14" x14ac:dyDescent="0.3">
      <c r="M166" s="8">
        <v>1.5</v>
      </c>
      <c r="N166" s="8">
        <v>1.7</v>
      </c>
    </row>
    <row r="167" spans="13:14" x14ac:dyDescent="0.3">
      <c r="M167" s="8">
        <v>1.9</v>
      </c>
      <c r="N167" s="8">
        <v>2.65</v>
      </c>
    </row>
    <row r="168" spans="13:14" x14ac:dyDescent="0.3">
      <c r="M168" s="8">
        <v>4.5</v>
      </c>
      <c r="N168" s="8">
        <v>1.7</v>
      </c>
    </row>
    <row r="169" spans="13:14" x14ac:dyDescent="0.3">
      <c r="M169" s="8">
        <v>4</v>
      </c>
      <c r="N169" s="8">
        <v>1.7</v>
      </c>
    </row>
    <row r="170" spans="13:14" x14ac:dyDescent="0.3">
      <c r="M170" s="8">
        <v>4</v>
      </c>
      <c r="N170" s="8">
        <v>1.7</v>
      </c>
    </row>
    <row r="171" spans="13:14" x14ac:dyDescent="0.3">
      <c r="M171" s="8">
        <v>5</v>
      </c>
      <c r="N171" s="8">
        <v>2</v>
      </c>
    </row>
    <row r="172" spans="13:14" x14ac:dyDescent="0.3">
      <c r="M172" s="8">
        <v>4.5</v>
      </c>
      <c r="N172" s="8">
        <v>0</v>
      </c>
    </row>
    <row r="173" spans="13:14" x14ac:dyDescent="0.3">
      <c r="M173" s="8">
        <v>4</v>
      </c>
      <c r="N173" s="8">
        <v>1</v>
      </c>
    </row>
    <row r="174" spans="13:14" x14ac:dyDescent="0.3">
      <c r="M174" s="8">
        <v>4.5</v>
      </c>
      <c r="N174" s="8">
        <v>1.9</v>
      </c>
    </row>
    <row r="175" spans="13:14" x14ac:dyDescent="0.3">
      <c r="M175" s="8">
        <v>4.5</v>
      </c>
      <c r="N175" s="8">
        <v>1.74</v>
      </c>
    </row>
    <row r="176" spans="13:14" x14ac:dyDescent="0.3">
      <c r="M176" s="8">
        <v>4</v>
      </c>
      <c r="N176" s="8">
        <v>2.65</v>
      </c>
    </row>
    <row r="177" spans="13:14" x14ac:dyDescent="0.3">
      <c r="M177" s="8">
        <v>4</v>
      </c>
      <c r="N177" s="8">
        <v>0</v>
      </c>
    </row>
    <row r="178" spans="13:14" x14ac:dyDescent="0.3">
      <c r="M178" s="8">
        <v>4</v>
      </c>
      <c r="N178" s="8">
        <v>0</v>
      </c>
    </row>
    <row r="179" spans="13:14" x14ac:dyDescent="0.3">
      <c r="M179" s="8">
        <v>3</v>
      </c>
      <c r="N179" s="8">
        <v>0</v>
      </c>
    </row>
    <row r="180" spans="13:14" x14ac:dyDescent="0.3">
      <c r="M180" s="8">
        <v>2.5</v>
      </c>
      <c r="N180" s="8">
        <v>2.5</v>
      </c>
    </row>
    <row r="181" spans="13:14" x14ac:dyDescent="0.3">
      <c r="M181" s="8">
        <v>3</v>
      </c>
      <c r="N181" s="8">
        <v>0</v>
      </c>
    </row>
    <row r="182" spans="13:14" x14ac:dyDescent="0.3">
      <c r="M182" s="8">
        <v>1.9</v>
      </c>
      <c r="N182" s="8">
        <v>1.7</v>
      </c>
    </row>
    <row r="183" spans="13:14" x14ac:dyDescent="0.3">
      <c r="M183" s="8">
        <v>4</v>
      </c>
      <c r="N183" s="8">
        <v>1.7</v>
      </c>
    </row>
    <row r="184" spans="13:14" x14ac:dyDescent="0.3">
      <c r="M184" s="8">
        <v>1.9</v>
      </c>
      <c r="N184" s="8">
        <v>0</v>
      </c>
    </row>
    <row r="185" spans="13:14" x14ac:dyDescent="0.3">
      <c r="M185" s="8">
        <v>1.9</v>
      </c>
      <c r="N185" s="8">
        <v>2.65</v>
      </c>
    </row>
    <row r="186" spans="13:14" x14ac:dyDescent="0.3">
      <c r="M186" s="8">
        <v>3</v>
      </c>
      <c r="N186" s="8">
        <v>2</v>
      </c>
    </row>
    <row r="187" spans="13:14" x14ac:dyDescent="0.3">
      <c r="M187" s="8">
        <v>3.5</v>
      </c>
      <c r="N187" s="8">
        <v>2</v>
      </c>
    </row>
    <row r="188" spans="13:14" x14ac:dyDescent="0.3">
      <c r="M188" s="8">
        <v>3</v>
      </c>
      <c r="N188" s="8">
        <v>2</v>
      </c>
    </row>
    <row r="189" spans="13:14" x14ac:dyDescent="0.3">
      <c r="M189" s="8">
        <v>6</v>
      </c>
      <c r="N189" s="8">
        <v>2</v>
      </c>
    </row>
    <row r="190" spans="13:14" x14ac:dyDescent="0.3">
      <c r="M190" s="8">
        <v>3</v>
      </c>
      <c r="N190" s="8">
        <v>2</v>
      </c>
    </row>
    <row r="191" spans="13:14" x14ac:dyDescent="0.3">
      <c r="M191" s="8">
        <v>2</v>
      </c>
      <c r="N191" s="8">
        <v>1.7</v>
      </c>
    </row>
    <row r="192" spans="13:14" x14ac:dyDescent="0.3">
      <c r="M192" s="8">
        <v>4</v>
      </c>
      <c r="N192" s="8">
        <v>2</v>
      </c>
    </row>
    <row r="193" spans="13:14" x14ac:dyDescent="0.3">
      <c r="M193" s="8">
        <v>3.5</v>
      </c>
      <c r="N193" s="8">
        <v>0</v>
      </c>
    </row>
    <row r="194" spans="13:14" x14ac:dyDescent="0.3">
      <c r="M194" s="8">
        <v>1</v>
      </c>
      <c r="N194" s="8">
        <v>1.7</v>
      </c>
    </row>
    <row r="195" spans="13:14" x14ac:dyDescent="0.3">
      <c r="M195" s="8">
        <v>1</v>
      </c>
      <c r="N195" s="8">
        <v>1.7</v>
      </c>
    </row>
    <row r="196" spans="13:14" x14ac:dyDescent="0.3">
      <c r="M196" s="8">
        <v>2.5</v>
      </c>
      <c r="N196" s="8">
        <v>1.7</v>
      </c>
    </row>
    <row r="197" spans="13:14" x14ac:dyDescent="0.3">
      <c r="M197" s="8">
        <v>2.5</v>
      </c>
      <c r="N197" s="8">
        <v>1.7</v>
      </c>
    </row>
    <row r="198" spans="13:14" x14ac:dyDescent="0.3">
      <c r="M198" s="8">
        <v>1</v>
      </c>
      <c r="N198" s="8">
        <v>2</v>
      </c>
    </row>
    <row r="199" spans="13:14" x14ac:dyDescent="0.3">
      <c r="M199" s="8">
        <v>3.5</v>
      </c>
      <c r="N199" s="8">
        <v>0</v>
      </c>
    </row>
    <row r="200" spans="13:14" x14ac:dyDescent="0.3">
      <c r="M200" s="8">
        <v>2</v>
      </c>
    </row>
    <row r="201" spans="13:14" x14ac:dyDescent="0.3">
      <c r="M201" s="8">
        <v>3.5</v>
      </c>
    </row>
    <row r="202" spans="13:14" x14ac:dyDescent="0.3">
      <c r="M202" s="8">
        <v>2</v>
      </c>
    </row>
    <row r="203" spans="13:14" x14ac:dyDescent="0.3">
      <c r="M203" s="8">
        <v>3</v>
      </c>
    </row>
    <row r="204" spans="13:14" x14ac:dyDescent="0.3">
      <c r="M204" s="8">
        <v>1</v>
      </c>
    </row>
    <row r="205" spans="13:14" x14ac:dyDescent="0.3">
      <c r="M205" s="8">
        <v>2.5</v>
      </c>
    </row>
    <row r="206" spans="13:14" x14ac:dyDescent="0.3">
      <c r="M206" s="8">
        <v>1</v>
      </c>
    </row>
    <row r="207" spans="13:14" x14ac:dyDescent="0.3">
      <c r="M207" s="8">
        <v>2.5</v>
      </c>
    </row>
    <row r="208" spans="13:14" x14ac:dyDescent="0.3">
      <c r="M208" s="8">
        <v>3</v>
      </c>
    </row>
    <row r="209" spans="13:13" x14ac:dyDescent="0.3">
      <c r="M209" s="8">
        <v>2.5</v>
      </c>
    </row>
    <row r="210" spans="13:13" x14ac:dyDescent="0.3">
      <c r="M210" s="8">
        <v>3.5</v>
      </c>
    </row>
    <row r="211" spans="13:13" x14ac:dyDescent="0.3">
      <c r="M211" s="8">
        <v>2</v>
      </c>
    </row>
    <row r="212" spans="13:13" x14ac:dyDescent="0.3">
      <c r="M212" s="8">
        <v>1</v>
      </c>
    </row>
    <row r="213" spans="13:13" x14ac:dyDescent="0.3">
      <c r="M213" s="8">
        <v>3</v>
      </c>
    </row>
    <row r="214" spans="13:13" x14ac:dyDescent="0.3">
      <c r="M214" s="8">
        <v>3</v>
      </c>
    </row>
    <row r="215" spans="13:13" x14ac:dyDescent="0.3">
      <c r="M215" s="8">
        <v>3.5</v>
      </c>
    </row>
    <row r="216" spans="13:13" x14ac:dyDescent="0.3">
      <c r="M216" s="8">
        <v>3</v>
      </c>
    </row>
    <row r="217" spans="13:13" x14ac:dyDescent="0.3">
      <c r="M217" s="8">
        <v>4</v>
      </c>
    </row>
    <row r="218" spans="13:13" x14ac:dyDescent="0.3">
      <c r="M218" s="8">
        <v>1</v>
      </c>
    </row>
    <row r="219" spans="13:13" x14ac:dyDescent="0.3">
      <c r="M219" s="8">
        <v>3</v>
      </c>
    </row>
    <row r="220" spans="13:13" x14ac:dyDescent="0.3">
      <c r="M220" s="8">
        <v>4</v>
      </c>
    </row>
    <row r="221" spans="13:13" x14ac:dyDescent="0.3">
      <c r="M221" s="8">
        <v>3.5</v>
      </c>
    </row>
    <row r="222" spans="13:13" x14ac:dyDescent="0.3">
      <c r="M222" s="8">
        <v>2</v>
      </c>
    </row>
    <row r="223" spans="13:13" x14ac:dyDescent="0.3">
      <c r="M223" s="8">
        <v>2.5</v>
      </c>
    </row>
    <row r="224" spans="13:13" x14ac:dyDescent="0.3">
      <c r="M224" s="8">
        <v>4.5</v>
      </c>
    </row>
    <row r="225" spans="13:13" x14ac:dyDescent="0.3">
      <c r="M225" s="8">
        <v>2.5</v>
      </c>
    </row>
    <row r="226" spans="13:13" x14ac:dyDescent="0.3">
      <c r="M226" s="8">
        <v>4.5</v>
      </c>
    </row>
    <row r="227" spans="13:13" x14ac:dyDescent="0.3">
      <c r="M227" s="8">
        <v>4.5</v>
      </c>
    </row>
    <row r="228" spans="13:13" x14ac:dyDescent="0.3">
      <c r="M228" s="8">
        <v>2.5</v>
      </c>
    </row>
    <row r="229" spans="13:13" x14ac:dyDescent="0.3">
      <c r="M229" s="8">
        <v>2</v>
      </c>
    </row>
    <row r="230" spans="13:13" x14ac:dyDescent="0.3">
      <c r="M230" s="8">
        <v>2</v>
      </c>
    </row>
    <row r="231" spans="13:13" x14ac:dyDescent="0.3">
      <c r="M231" s="8">
        <v>0</v>
      </c>
    </row>
    <row r="232" spans="13:13" x14ac:dyDescent="0.3">
      <c r="M232" s="8">
        <v>3</v>
      </c>
    </row>
    <row r="233" spans="13:13" x14ac:dyDescent="0.3">
      <c r="M233" s="8">
        <v>2</v>
      </c>
    </row>
    <row r="234" spans="13:13" x14ac:dyDescent="0.3">
      <c r="M234" s="8">
        <v>1</v>
      </c>
    </row>
    <row r="235" spans="13:13" x14ac:dyDescent="0.3">
      <c r="M235" s="8">
        <v>3.5</v>
      </c>
    </row>
    <row r="236" spans="13:13" x14ac:dyDescent="0.3">
      <c r="M236" s="8">
        <v>3</v>
      </c>
    </row>
    <row r="237" spans="13:13" x14ac:dyDescent="0.3">
      <c r="M237" s="8">
        <v>3</v>
      </c>
    </row>
    <row r="238" spans="13:13" x14ac:dyDescent="0.3">
      <c r="M238" s="8">
        <v>3</v>
      </c>
    </row>
    <row r="239" spans="13:13" x14ac:dyDescent="0.3">
      <c r="M239" s="8">
        <v>4.5</v>
      </c>
    </row>
    <row r="240" spans="13:13" x14ac:dyDescent="0.3">
      <c r="M240" s="8">
        <v>3.5</v>
      </c>
    </row>
    <row r="241" spans="13:13" x14ac:dyDescent="0.3">
      <c r="M241" s="8">
        <v>4</v>
      </c>
    </row>
    <row r="242" spans="13:13" x14ac:dyDescent="0.3">
      <c r="M242" s="8">
        <v>4</v>
      </c>
    </row>
    <row r="243" spans="13:13" x14ac:dyDescent="0.3">
      <c r="M243" s="8">
        <v>3</v>
      </c>
    </row>
    <row r="244" spans="13:13" x14ac:dyDescent="0.3">
      <c r="M244" s="8">
        <v>4</v>
      </c>
    </row>
    <row r="245" spans="13:13" x14ac:dyDescent="0.3">
      <c r="M245" s="8">
        <v>1</v>
      </c>
    </row>
    <row r="246" spans="13:13" x14ac:dyDescent="0.3">
      <c r="M246" s="8">
        <v>4</v>
      </c>
    </row>
    <row r="247" spans="13:13" x14ac:dyDescent="0.3">
      <c r="M247" s="8">
        <v>4.5</v>
      </c>
    </row>
    <row r="248" spans="13:13" x14ac:dyDescent="0.3">
      <c r="M248" s="8">
        <v>1</v>
      </c>
    </row>
    <row r="249" spans="13:13" x14ac:dyDescent="0.3">
      <c r="M249" s="8">
        <v>3</v>
      </c>
    </row>
    <row r="250" spans="13:13" x14ac:dyDescent="0.3">
      <c r="M250" s="8">
        <v>2</v>
      </c>
    </row>
    <row r="251" spans="13:13" x14ac:dyDescent="0.3">
      <c r="M251" s="8">
        <v>2</v>
      </c>
    </row>
    <row r="252" spans="13:13" x14ac:dyDescent="0.3">
      <c r="M252" s="8">
        <v>3.5</v>
      </c>
    </row>
    <row r="253" spans="13:13" x14ac:dyDescent="0.3">
      <c r="M253" s="8">
        <v>4.5</v>
      </c>
    </row>
    <row r="254" spans="13:13" x14ac:dyDescent="0.3">
      <c r="M254" s="8">
        <v>3</v>
      </c>
    </row>
    <row r="255" spans="13:13" x14ac:dyDescent="0.3">
      <c r="M255" s="8">
        <v>2.5</v>
      </c>
    </row>
    <row r="256" spans="13:13" x14ac:dyDescent="0.3">
      <c r="M256" s="8">
        <v>2</v>
      </c>
    </row>
    <row r="257" spans="13:13" x14ac:dyDescent="0.3">
      <c r="M257" s="8">
        <v>2.5</v>
      </c>
    </row>
    <row r="258" spans="13:13" x14ac:dyDescent="0.3">
      <c r="M258" s="8">
        <v>4.5</v>
      </c>
    </row>
    <row r="259" spans="13:13" x14ac:dyDescent="0.3">
      <c r="M259" s="8">
        <v>0</v>
      </c>
    </row>
    <row r="260" spans="13:13" x14ac:dyDescent="0.3">
      <c r="M260" s="8">
        <v>1.5</v>
      </c>
    </row>
    <row r="261" spans="13:13" x14ac:dyDescent="0.3">
      <c r="M261" s="8">
        <v>2.8</v>
      </c>
    </row>
    <row r="262" spans="13:13" x14ac:dyDescent="0.3">
      <c r="M262" s="8">
        <v>1.9</v>
      </c>
    </row>
    <row r="263" spans="13:13" x14ac:dyDescent="0.3">
      <c r="M263" s="8">
        <v>1.9</v>
      </c>
    </row>
    <row r="264" spans="13:13" x14ac:dyDescent="0.3">
      <c r="M264" s="8">
        <v>1.9</v>
      </c>
    </row>
    <row r="265" spans="13:13" x14ac:dyDescent="0.3">
      <c r="M265" s="8">
        <v>1.9</v>
      </c>
    </row>
    <row r="266" spans="13:13" x14ac:dyDescent="0.3">
      <c r="M266" s="8">
        <v>2.5</v>
      </c>
    </row>
    <row r="267" spans="13:13" x14ac:dyDescent="0.3">
      <c r="M267" s="8">
        <v>0</v>
      </c>
    </row>
    <row r="268" spans="13:13" x14ac:dyDescent="0.3">
      <c r="M268" s="8">
        <v>2</v>
      </c>
    </row>
    <row r="269" spans="13:13" x14ac:dyDescent="0.3">
      <c r="M269" s="8">
        <v>4</v>
      </c>
    </row>
    <row r="270" spans="13:13" x14ac:dyDescent="0.3">
      <c r="M270" s="8">
        <v>3.5</v>
      </c>
    </row>
    <row r="271" spans="13:13" x14ac:dyDescent="0.3">
      <c r="M271" s="8">
        <v>0.5</v>
      </c>
    </row>
    <row r="272" spans="13:13" x14ac:dyDescent="0.3">
      <c r="M272" s="8">
        <v>1.9</v>
      </c>
    </row>
    <row r="273" spans="13:13" x14ac:dyDescent="0.3">
      <c r="M273" s="8">
        <v>1.9</v>
      </c>
    </row>
    <row r="274" spans="13:13" x14ac:dyDescent="0.3">
      <c r="M274" s="8">
        <v>3</v>
      </c>
    </row>
    <row r="275" spans="13:13" x14ac:dyDescent="0.3">
      <c r="M275" s="8">
        <v>3</v>
      </c>
    </row>
    <row r="276" spans="13:13" x14ac:dyDescent="0.3">
      <c r="M276" s="8">
        <v>2</v>
      </c>
    </row>
    <row r="277" spans="13:13" x14ac:dyDescent="0.3">
      <c r="M277" s="8">
        <v>3</v>
      </c>
    </row>
    <row r="278" spans="13:13" x14ac:dyDescent="0.3">
      <c r="M278" s="8">
        <v>2.5</v>
      </c>
    </row>
    <row r="279" spans="13:13" x14ac:dyDescent="0.3">
      <c r="M279" s="8">
        <v>2.8</v>
      </c>
    </row>
    <row r="280" spans="13:13" x14ac:dyDescent="0.3">
      <c r="M280" s="8">
        <v>1.9</v>
      </c>
    </row>
    <row r="281" spans="13:13" x14ac:dyDescent="0.3">
      <c r="M281" s="8">
        <v>1.9</v>
      </c>
    </row>
    <row r="282" spans="13:13" x14ac:dyDescent="0.3">
      <c r="M282" s="8">
        <v>3</v>
      </c>
    </row>
    <row r="283" spans="13:13" x14ac:dyDescent="0.3">
      <c r="M283" s="8">
        <v>1.9</v>
      </c>
    </row>
    <row r="284" spans="13:13" x14ac:dyDescent="0.3">
      <c r="M284" s="8">
        <v>2</v>
      </c>
    </row>
    <row r="285" spans="13:13" x14ac:dyDescent="0.3">
      <c r="M285" s="8">
        <v>2</v>
      </c>
    </row>
    <row r="286" spans="13:13" x14ac:dyDescent="0.3">
      <c r="M286" s="8">
        <v>0</v>
      </c>
    </row>
    <row r="287" spans="13:13" x14ac:dyDescent="0.3">
      <c r="M287" s="8">
        <v>4</v>
      </c>
    </row>
    <row r="288" spans="13:13" x14ac:dyDescent="0.3">
      <c r="M288" s="8">
        <v>1</v>
      </c>
    </row>
    <row r="289" spans="13:13" x14ac:dyDescent="0.3">
      <c r="M289" s="8">
        <v>1</v>
      </c>
    </row>
    <row r="290" spans="13:13" x14ac:dyDescent="0.3">
      <c r="M290" s="8">
        <v>1</v>
      </c>
    </row>
    <row r="291" spans="13:13" x14ac:dyDescent="0.3">
      <c r="M291" s="8">
        <v>2.5</v>
      </c>
    </row>
    <row r="292" spans="13:13" x14ac:dyDescent="0.3">
      <c r="M292" s="8">
        <v>3</v>
      </c>
    </row>
    <row r="293" spans="13:13" x14ac:dyDescent="0.3">
      <c r="M293" s="8">
        <v>2</v>
      </c>
    </row>
    <row r="294" spans="13:13" x14ac:dyDescent="0.3">
      <c r="M294" s="8">
        <v>2</v>
      </c>
    </row>
    <row r="295" spans="13:13" x14ac:dyDescent="0.3">
      <c r="M295" s="8">
        <v>2</v>
      </c>
    </row>
    <row r="296" spans="13:13" x14ac:dyDescent="0.3">
      <c r="M296" s="8">
        <v>3.5</v>
      </c>
    </row>
    <row r="297" spans="13:13" x14ac:dyDescent="0.3">
      <c r="M297" s="8">
        <v>1.5</v>
      </c>
    </row>
    <row r="298" spans="13:13" x14ac:dyDescent="0.3">
      <c r="M298" s="8">
        <v>2</v>
      </c>
    </row>
    <row r="299" spans="13:13" x14ac:dyDescent="0.3">
      <c r="M299" s="8">
        <v>1.5</v>
      </c>
    </row>
    <row r="300" spans="13:13" x14ac:dyDescent="0.3">
      <c r="M300" s="8">
        <v>2</v>
      </c>
    </row>
    <row r="301" spans="13:13" x14ac:dyDescent="0.3">
      <c r="M301" s="8">
        <v>2</v>
      </c>
    </row>
    <row r="302" spans="13:13" x14ac:dyDescent="0.3">
      <c r="M302" s="8">
        <v>2</v>
      </c>
    </row>
    <row r="303" spans="13:13" x14ac:dyDescent="0.3">
      <c r="M303" s="8">
        <v>2</v>
      </c>
    </row>
    <row r="304" spans="13:13" x14ac:dyDescent="0.3">
      <c r="M304" s="8">
        <v>2</v>
      </c>
    </row>
    <row r="305" spans="13:13" x14ac:dyDescent="0.3">
      <c r="M305" s="8">
        <v>3</v>
      </c>
    </row>
    <row r="306" spans="13:13" x14ac:dyDescent="0.3">
      <c r="M306" s="8">
        <v>2</v>
      </c>
    </row>
    <row r="307" spans="13:13" x14ac:dyDescent="0.3">
      <c r="M307" s="8">
        <v>3</v>
      </c>
    </row>
    <row r="308" spans="13:13" x14ac:dyDescent="0.3">
      <c r="M308" s="8">
        <v>1</v>
      </c>
    </row>
    <row r="309" spans="13:13" x14ac:dyDescent="0.3">
      <c r="M309" s="8">
        <v>2</v>
      </c>
    </row>
    <row r="310" spans="13:13" x14ac:dyDescent="0.3">
      <c r="M310" s="8">
        <v>2.5</v>
      </c>
    </row>
    <row r="311" spans="13:13" x14ac:dyDescent="0.3">
      <c r="M311" s="8">
        <v>0</v>
      </c>
    </row>
    <row r="312" spans="13:13" x14ac:dyDescent="0.3">
      <c r="M312" s="8">
        <v>3.5</v>
      </c>
    </row>
    <row r="313" spans="13:13" x14ac:dyDescent="0.3">
      <c r="M313" s="8">
        <v>3.5</v>
      </c>
    </row>
    <row r="314" spans="13:13" x14ac:dyDescent="0.3">
      <c r="M314" s="8">
        <v>2.5</v>
      </c>
    </row>
    <row r="315" spans="13:13" x14ac:dyDescent="0.3">
      <c r="M315" s="8">
        <v>3.5</v>
      </c>
    </row>
    <row r="316" spans="13:13" x14ac:dyDescent="0.3">
      <c r="M316" s="8">
        <v>2</v>
      </c>
    </row>
    <row r="317" spans="13:13" x14ac:dyDescent="0.3">
      <c r="M317" s="8">
        <v>2</v>
      </c>
    </row>
    <row r="318" spans="13:13" x14ac:dyDescent="0.3">
      <c r="M318" s="8">
        <v>3</v>
      </c>
    </row>
    <row r="319" spans="13:13" x14ac:dyDescent="0.3">
      <c r="M319" s="8">
        <v>2</v>
      </c>
    </row>
    <row r="320" spans="13:13" x14ac:dyDescent="0.3">
      <c r="M320" s="8">
        <v>2</v>
      </c>
    </row>
    <row r="321" spans="13:13" x14ac:dyDescent="0.3">
      <c r="M321" s="8">
        <v>4</v>
      </c>
    </row>
    <row r="322" spans="13:13" x14ac:dyDescent="0.3">
      <c r="M322" s="8">
        <v>2</v>
      </c>
    </row>
    <row r="323" spans="13:13" x14ac:dyDescent="0.3">
      <c r="M323" s="8">
        <v>2.5</v>
      </c>
    </row>
    <row r="324" spans="13:13" x14ac:dyDescent="0.3">
      <c r="M324" s="8">
        <v>1</v>
      </c>
    </row>
    <row r="325" spans="13:13" x14ac:dyDescent="0.3">
      <c r="M325" s="8">
        <v>2</v>
      </c>
    </row>
    <row r="326" spans="13:13" x14ac:dyDescent="0.3">
      <c r="M326" s="8">
        <v>4</v>
      </c>
    </row>
    <row r="327" spans="13:13" x14ac:dyDescent="0.3">
      <c r="M327" s="8">
        <v>3.5</v>
      </c>
    </row>
    <row r="328" spans="13:13" x14ac:dyDescent="0.3">
      <c r="M328" s="8">
        <v>1.5</v>
      </c>
    </row>
    <row r="329" spans="13:13" x14ac:dyDescent="0.3">
      <c r="M329" s="8">
        <v>2</v>
      </c>
    </row>
    <row r="330" spans="13:13" x14ac:dyDescent="0.3">
      <c r="M330" s="8">
        <v>2</v>
      </c>
    </row>
    <row r="331" spans="13:13" x14ac:dyDescent="0.3">
      <c r="M331" s="8">
        <v>2</v>
      </c>
    </row>
    <row r="332" spans="13:13" x14ac:dyDescent="0.3">
      <c r="M332" s="8">
        <v>1</v>
      </c>
    </row>
    <row r="333" spans="13:13" x14ac:dyDescent="0.3">
      <c r="M333" s="8">
        <v>3</v>
      </c>
    </row>
    <row r="334" spans="13:13" x14ac:dyDescent="0.3">
      <c r="M334" s="8">
        <v>3.5</v>
      </c>
    </row>
    <row r="335" spans="13:13" x14ac:dyDescent="0.3">
      <c r="M335" s="8">
        <v>2</v>
      </c>
    </row>
    <row r="336" spans="13:13" x14ac:dyDescent="0.3">
      <c r="M336" s="8">
        <v>3.5</v>
      </c>
    </row>
    <row r="337" spans="13:13" x14ac:dyDescent="0.3">
      <c r="M337" s="8">
        <v>2.5</v>
      </c>
    </row>
    <row r="338" spans="13:13" x14ac:dyDescent="0.3">
      <c r="M338" s="8">
        <v>2.5</v>
      </c>
    </row>
    <row r="339" spans="13:13" x14ac:dyDescent="0.3">
      <c r="M339" s="8">
        <v>2.5</v>
      </c>
    </row>
    <row r="340" spans="13:13" x14ac:dyDescent="0.3">
      <c r="M340" s="8">
        <v>1.5</v>
      </c>
    </row>
    <row r="341" spans="13:13" x14ac:dyDescent="0.3">
      <c r="M341" s="8">
        <v>1.5</v>
      </c>
    </row>
    <row r="342" spans="13:13" x14ac:dyDescent="0.3">
      <c r="M342" s="8">
        <v>1</v>
      </c>
    </row>
    <row r="343" spans="13:13" x14ac:dyDescent="0.3">
      <c r="M343" s="8">
        <v>1</v>
      </c>
    </row>
    <row r="344" spans="13:13" x14ac:dyDescent="0.3">
      <c r="M344" s="8">
        <v>3</v>
      </c>
    </row>
    <row r="345" spans="13:13" x14ac:dyDescent="0.3">
      <c r="M345" s="8">
        <v>2.5</v>
      </c>
    </row>
    <row r="346" spans="13:13" x14ac:dyDescent="0.3">
      <c r="M346" s="8">
        <v>3.5</v>
      </c>
    </row>
    <row r="347" spans="13:13" x14ac:dyDescent="0.3">
      <c r="M347" s="8">
        <v>2</v>
      </c>
    </row>
    <row r="348" spans="13:13" x14ac:dyDescent="0.3">
      <c r="M348" s="8">
        <v>2</v>
      </c>
    </row>
    <row r="349" spans="13:13" x14ac:dyDescent="0.3">
      <c r="M349" s="8">
        <v>2</v>
      </c>
    </row>
    <row r="350" spans="13:13" x14ac:dyDescent="0.3">
      <c r="M350" s="8">
        <v>0</v>
      </c>
    </row>
    <row r="351" spans="13:13" x14ac:dyDescent="0.3">
      <c r="M351" s="8">
        <v>2</v>
      </c>
    </row>
    <row r="352" spans="13:13" x14ac:dyDescent="0.3">
      <c r="M352" s="8">
        <v>3.5</v>
      </c>
    </row>
    <row r="353" spans="13:13" x14ac:dyDescent="0.3">
      <c r="M353" s="8">
        <v>2</v>
      </c>
    </row>
    <row r="354" spans="13:13" x14ac:dyDescent="0.3">
      <c r="M354" s="8">
        <v>3</v>
      </c>
    </row>
    <row r="355" spans="13:13" x14ac:dyDescent="0.3">
      <c r="M355" s="8">
        <v>2</v>
      </c>
    </row>
    <row r="356" spans="13:13" x14ac:dyDescent="0.3">
      <c r="M356" s="8">
        <v>1.5</v>
      </c>
    </row>
    <row r="357" spans="13:13" x14ac:dyDescent="0.3">
      <c r="M357" s="8">
        <v>0</v>
      </c>
    </row>
    <row r="358" spans="13:13" x14ac:dyDescent="0.3">
      <c r="M358" s="8">
        <v>1.5</v>
      </c>
    </row>
    <row r="359" spans="13:13" x14ac:dyDescent="0.3">
      <c r="M359" s="8">
        <v>1.5</v>
      </c>
    </row>
    <row r="360" spans="13:13" x14ac:dyDescent="0.3">
      <c r="M360" s="8">
        <v>2</v>
      </c>
    </row>
    <row r="361" spans="13:13" x14ac:dyDescent="0.3">
      <c r="M361" s="8">
        <v>2</v>
      </c>
    </row>
    <row r="362" spans="13:13" x14ac:dyDescent="0.3">
      <c r="M362" s="8">
        <v>2</v>
      </c>
    </row>
    <row r="363" spans="13:13" x14ac:dyDescent="0.3">
      <c r="M363" s="8">
        <v>2.5</v>
      </c>
    </row>
    <row r="364" spans="13:13" x14ac:dyDescent="0.3">
      <c r="M364" s="8">
        <v>2</v>
      </c>
    </row>
    <row r="365" spans="13:13" x14ac:dyDescent="0.3">
      <c r="M365" s="8">
        <v>2</v>
      </c>
    </row>
    <row r="366" spans="13:13" x14ac:dyDescent="0.3">
      <c r="M366" s="8">
        <v>2</v>
      </c>
    </row>
    <row r="367" spans="13:13" x14ac:dyDescent="0.3">
      <c r="M367" s="8">
        <v>3</v>
      </c>
    </row>
    <row r="368" spans="13:13" x14ac:dyDescent="0.3">
      <c r="M368" s="8">
        <v>0</v>
      </c>
    </row>
    <row r="369" spans="13:13" x14ac:dyDescent="0.3">
      <c r="M369" s="8">
        <v>2.5</v>
      </c>
    </row>
    <row r="370" spans="13:13" x14ac:dyDescent="0.3">
      <c r="M370" s="8">
        <v>2</v>
      </c>
    </row>
    <row r="371" spans="13:13" x14ac:dyDescent="0.3">
      <c r="M371" s="8">
        <v>2.5</v>
      </c>
    </row>
    <row r="372" spans="13:13" x14ac:dyDescent="0.3">
      <c r="M372" s="8">
        <v>1.5</v>
      </c>
    </row>
    <row r="373" spans="13:13" x14ac:dyDescent="0.3">
      <c r="M373" s="8">
        <v>3</v>
      </c>
    </row>
    <row r="374" spans="13:13" x14ac:dyDescent="0.3">
      <c r="M374" s="8">
        <v>2.5</v>
      </c>
    </row>
    <row r="375" spans="13:13" x14ac:dyDescent="0.3">
      <c r="M375" s="8">
        <v>3</v>
      </c>
    </row>
    <row r="376" spans="13:13" x14ac:dyDescent="0.3">
      <c r="M376" s="8">
        <v>3.5</v>
      </c>
    </row>
    <row r="377" spans="13:13" x14ac:dyDescent="0.3">
      <c r="M377" s="8">
        <v>2.5</v>
      </c>
    </row>
    <row r="378" spans="13:13" x14ac:dyDescent="0.3">
      <c r="M378" s="8">
        <v>3</v>
      </c>
    </row>
    <row r="379" spans="13:13" x14ac:dyDescent="0.3">
      <c r="M379" s="8">
        <v>3</v>
      </c>
    </row>
    <row r="380" spans="13:13" x14ac:dyDescent="0.3">
      <c r="M380" s="8">
        <v>2</v>
      </c>
    </row>
  </sheetData>
  <hyperlinks>
    <hyperlink ref="H22" r:id="rId1" xr:uid="{65515A1E-1229-44BF-9DE4-562C9DD07271}"/>
    <hyperlink ref="H24" r:id="rId2" xr:uid="{772BEB52-0259-40F0-A3D6-D27373548D3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5F83-0038-481F-BC56-296F991857FF}">
  <dimension ref="B1:V82"/>
  <sheetViews>
    <sheetView tabSelected="1" topLeftCell="G1" zoomScaleNormal="100" workbookViewId="0">
      <selection activeCell="O13" sqref="O13"/>
    </sheetView>
  </sheetViews>
  <sheetFormatPr defaultRowHeight="14.4" x14ac:dyDescent="0.3"/>
  <cols>
    <col min="1" max="1" width="5.6640625" style="8" customWidth="1"/>
    <col min="2" max="2" width="13.6640625" style="8" customWidth="1"/>
    <col min="3" max="3" width="7.44140625" style="8" customWidth="1"/>
    <col min="4" max="4" width="9.77734375" style="8" customWidth="1"/>
    <col min="5" max="5" width="10.77734375" style="8" bestFit="1" customWidth="1"/>
    <col min="6" max="6" width="14.88671875" style="8" bestFit="1" customWidth="1"/>
    <col min="7" max="7" width="12.6640625" style="8" bestFit="1" customWidth="1"/>
    <col min="8" max="9" width="10.21875" style="8" bestFit="1" customWidth="1"/>
    <col min="10" max="10" width="9.21875" style="8" bestFit="1" customWidth="1"/>
    <col min="11" max="11" width="13.109375" style="13" customWidth="1"/>
    <col min="12" max="12" width="8.33203125" style="8" customWidth="1"/>
    <col min="13" max="13" width="13.44140625" style="8" customWidth="1"/>
    <col min="14" max="14" width="8.88671875" style="8"/>
    <col min="15" max="15" width="9.6640625" style="8" bestFit="1" customWidth="1"/>
    <col min="16" max="16" width="15.33203125" style="8" customWidth="1"/>
    <col min="17" max="17" width="20.109375" style="13" bestFit="1" customWidth="1"/>
    <col min="18" max="18" width="21.109375" style="8" bestFit="1" customWidth="1"/>
    <col min="19" max="19" width="24.77734375" style="8" bestFit="1" customWidth="1"/>
    <col min="20" max="16384" width="8.88671875" style="8"/>
  </cols>
  <sheetData>
    <row r="1" spans="2:22" x14ac:dyDescent="0.3">
      <c r="K1" s="8"/>
      <c r="Q1" s="8"/>
    </row>
    <row r="2" spans="2:22" x14ac:dyDescent="0.3">
      <c r="K2" s="8"/>
      <c r="Q2" s="8"/>
    </row>
    <row r="3" spans="2:22" x14ac:dyDescent="0.3">
      <c r="K3" s="8"/>
      <c r="Q3" s="8"/>
    </row>
    <row r="4" spans="2:22" x14ac:dyDescent="0.3">
      <c r="K4" s="8"/>
      <c r="Q4" s="8"/>
    </row>
    <row r="5" spans="2:22" x14ac:dyDescent="0.3">
      <c r="B5" s="8" t="s">
        <v>115</v>
      </c>
      <c r="C5" s="8" t="s">
        <v>114</v>
      </c>
      <c r="D5" s="8" t="s">
        <v>484</v>
      </c>
      <c r="E5" s="8" t="s">
        <v>483</v>
      </c>
      <c r="F5" s="8" t="s">
        <v>140</v>
      </c>
      <c r="G5" s="8" t="s">
        <v>146</v>
      </c>
      <c r="H5" s="8" t="s">
        <v>116</v>
      </c>
      <c r="I5" s="8" t="s">
        <v>117</v>
      </c>
      <c r="J5" s="8" t="s">
        <v>121</v>
      </c>
      <c r="K5" s="8" t="s">
        <v>122</v>
      </c>
      <c r="L5" s="8" t="s">
        <v>142</v>
      </c>
      <c r="M5" s="8" t="s">
        <v>120</v>
      </c>
      <c r="P5" s="8" t="s">
        <v>115</v>
      </c>
      <c r="Q5" s="8" t="s">
        <v>114</v>
      </c>
      <c r="R5" s="8" t="s">
        <v>189</v>
      </c>
      <c r="S5" s="8" t="s">
        <v>188</v>
      </c>
      <c r="T5" s="8" t="s">
        <v>190</v>
      </c>
      <c r="U5" s="8" t="s">
        <v>142</v>
      </c>
      <c r="V5" s="8" t="s">
        <v>120</v>
      </c>
    </row>
    <row r="6" spans="2:22" x14ac:dyDescent="0.3">
      <c r="B6" s="8" t="s">
        <v>127</v>
      </c>
      <c r="C6" s="8" t="s">
        <v>180</v>
      </c>
      <c r="D6" s="8" t="s">
        <v>311</v>
      </c>
      <c r="E6" s="8" t="s">
        <v>138</v>
      </c>
      <c r="F6" s="10">
        <v>1491</v>
      </c>
      <c r="G6" s="10">
        <f>1491*0.29</f>
        <v>432.39</v>
      </c>
      <c r="H6" s="10">
        <f>1491*0.393</f>
        <v>585.96300000000008</v>
      </c>
      <c r="I6" s="10">
        <f>1491*0.178</f>
        <v>265.39799999999997</v>
      </c>
      <c r="J6" s="10">
        <f>Table2[[#This Row],[Habitantes]]-G6-H6-I6</f>
        <v>207.24900000000008</v>
      </c>
      <c r="K6" s="13">
        <v>0.434</v>
      </c>
      <c r="L6" s="8">
        <v>31850</v>
      </c>
      <c r="M6" s="11">
        <f>Table2[[#This Row],[Habitantes]]/Table2[[#This Row],[Extensión (km^2)]]</f>
        <v>3435.483870967742</v>
      </c>
      <c r="N6" s="11"/>
      <c r="Q6" s="8" t="s">
        <v>137</v>
      </c>
      <c r="R6" s="8">
        <f>SUMIF(Table2[Zona],"Morada",Table2[&lt;19])+SUMIF(Table2[Zona],"Morada",Table2[20-49])+SUMIF(Table2[Zona],"Morada",Table2[50-64])+SUMIF(Table2[Zona],"Morada",Table2[&gt;65])</f>
        <v>23779</v>
      </c>
      <c r="S6" s="10">
        <f>SUMIF(Table2[Zona],"Morada",Table2[&lt;19])/5+SUMIF(Table2[Zona],"Morada",Table2[20-49])+SUMIF(Table2[Zona],"Morada",Table2[50-64])/3+SUMIF(Table2[Zona],"Morada",Table2[&gt;65])/10</f>
        <v>12116.884099999999</v>
      </c>
      <c r="T6" s="15">
        <f>Table24[[#This Row],[Público objetivo]]/Table24[[#This Row],[Público Total]]</f>
        <v>0.50956239118549973</v>
      </c>
      <c r="U6" s="10" cm="1">
        <f t="array" ref="U6">SUMPRODUCT(--(Table2[Zona]="Morada"),Table2[Habitantes],Table2[Renta Mediana (2018, €)])/Table24[[#This Row],[Público Total]]</f>
        <v>36750</v>
      </c>
    </row>
    <row r="7" spans="2:22" x14ac:dyDescent="0.3">
      <c r="B7" s="8" t="s">
        <v>127</v>
      </c>
      <c r="C7" s="8" t="s">
        <v>180</v>
      </c>
      <c r="D7" s="8" t="s">
        <v>311</v>
      </c>
      <c r="E7" s="8" t="s">
        <v>159</v>
      </c>
      <c r="F7" s="10">
        <v>1406</v>
      </c>
      <c r="G7" s="10">
        <f>1406*0.25</f>
        <v>351.5</v>
      </c>
      <c r="H7" s="10">
        <f>1406*0.371</f>
        <v>521.62599999999998</v>
      </c>
      <c r="I7" s="10">
        <f>1406*0.255</f>
        <v>358.53000000000003</v>
      </c>
      <c r="J7" s="10">
        <f>Table2[[#This Row],[Habitantes]]-G7-H7-I7</f>
        <v>174.34399999999999</v>
      </c>
      <c r="K7" s="13">
        <v>0.32800000000000001</v>
      </c>
      <c r="L7" s="8">
        <v>26950</v>
      </c>
      <c r="M7" s="11">
        <f>Table2[[#This Row],[Habitantes]]/Table2[[#This Row],[Extensión (km^2)]]</f>
        <v>4286.585365853658</v>
      </c>
      <c r="N7" s="11"/>
      <c r="Q7" s="8" t="s">
        <v>133</v>
      </c>
      <c r="R7" s="8">
        <f>SUMIF(Table2[Zona],"Verde",Table2[&lt;19])+SUMIF(Table2[Zona],"Verde",Table2[20-49])+SUMIF(Table2[Zona],"Verde",Table2[50-64])+SUMIF(Table2[Zona],"Verde",Table2[&gt;65])</f>
        <v>72447.999999999985</v>
      </c>
      <c r="S7" s="10">
        <f>SUMIF(Table2[Zona],"Verde",Table2[&lt;19])/5+SUMIF(Table2[Zona],"Verde",Table2[20-49])+SUMIF(Table2[Zona],"Verde",Table2[50-64])/3+SUMIF(Table2[Zona],"Verde",Table2[&gt;65])/10</f>
        <v>37488.787033333327</v>
      </c>
      <c r="T7" s="15">
        <f>Table24[[#This Row],[Público objetivo]]/Table24[[#This Row],[Público Total]]</f>
        <v>0.51745785989031212</v>
      </c>
      <c r="U7" s="10" cm="1">
        <f t="array" ref="U7">SUMPRODUCT(--(Table2[Zona]="Verde"),Table2[Habitantes],Table2[Renta Mediana (2018, €)])/Table24[[#This Row],[Público Total]]</f>
        <v>32275.104212676684</v>
      </c>
    </row>
    <row r="8" spans="2:22" x14ac:dyDescent="0.3">
      <c r="B8" s="8" t="s">
        <v>127</v>
      </c>
      <c r="C8" s="8" t="s">
        <v>180</v>
      </c>
      <c r="D8" s="8" t="s">
        <v>311</v>
      </c>
      <c r="E8" s="8" t="s">
        <v>154</v>
      </c>
      <c r="F8" s="10">
        <v>1266</v>
      </c>
      <c r="G8" s="10">
        <f>1266*0.235</f>
        <v>297.51</v>
      </c>
      <c r="H8" s="10">
        <f>1266*0.378</f>
        <v>478.548</v>
      </c>
      <c r="I8" s="10">
        <f>1266*0.241</f>
        <v>305.10599999999999</v>
      </c>
      <c r="J8" s="10">
        <f>Table2[[#This Row],[Habitantes]]-G8-H8-I8</f>
        <v>184.83600000000001</v>
      </c>
      <c r="K8" s="13">
        <v>0.184</v>
      </c>
      <c r="L8" s="8">
        <v>27650</v>
      </c>
      <c r="M8" s="11">
        <f>Table2[[#This Row],[Habitantes]]/Table2[[#This Row],[Extensión (km^2)]]</f>
        <v>6880.434782608696</v>
      </c>
      <c r="N8" s="11"/>
      <c r="Q8" s="8" t="s">
        <v>180</v>
      </c>
      <c r="R8" s="8">
        <f>SUMIF(Table2[Zona],"Azul",Table2[&lt;19])+SUMIF(Table2[Zona],"Azul",Table2[20-49])+SUMIF(Table2[Zona],"Azul",Table2[50-64])+SUMIF(Table2[Zona],"Azul",Table2[&gt;65])</f>
        <v>39384.999999999993</v>
      </c>
      <c r="S8" s="10">
        <f>SUMIF(Table2[Zona],"Azul",Table2[&lt;19])/5+SUMIF(Table2[Zona],"Azul",Table2[20-49])+SUMIF(Table2[Zona],"Azul",Table2[50-64])/3+SUMIF(Table2[Zona],"Azul",Table2[&gt;65])/10</f>
        <v>20421.100033333329</v>
      </c>
      <c r="T8" s="15">
        <f>Table24[[#This Row],[Público objetivo]]/Table24[[#This Row],[Público Total]]</f>
        <v>0.51849942956286232</v>
      </c>
      <c r="U8" s="10" cm="1">
        <f t="array" ref="U8">SUMPRODUCT(--(Table2[Zona]="Azul"),Table2[Habitantes],Table2[Renta Mediana (2018, €)])/Table24[[#This Row],[Público Total]]</f>
        <v>30133.236003554659</v>
      </c>
    </row>
    <row r="9" spans="2:22" x14ac:dyDescent="0.3">
      <c r="B9" s="8" t="s">
        <v>127</v>
      </c>
      <c r="C9" s="8" t="s">
        <v>180</v>
      </c>
      <c r="D9" s="8" t="s">
        <v>311</v>
      </c>
      <c r="E9" s="8" t="s">
        <v>136</v>
      </c>
      <c r="F9" s="10">
        <v>1509</v>
      </c>
      <c r="G9" s="10">
        <f>1509*0.258</f>
        <v>389.322</v>
      </c>
      <c r="H9" s="10">
        <f>1509*0.356</f>
        <v>537.20399999999995</v>
      </c>
      <c r="I9" s="10">
        <f>1509*0.272</f>
        <v>410.44800000000004</v>
      </c>
      <c r="J9" s="10">
        <f>Table2[[#This Row],[Habitantes]]-G9-H9-I9</f>
        <v>172.0259999999999</v>
      </c>
      <c r="K9" s="13">
        <v>0.24299999999999999</v>
      </c>
      <c r="L9" s="8">
        <v>33250</v>
      </c>
      <c r="M9" s="11">
        <f>Table2[[#This Row],[Habitantes]]/Table2[[#This Row],[Extensión (km^2)]]</f>
        <v>6209.8765432098771</v>
      </c>
      <c r="N9" s="11"/>
      <c r="Q9" s="8"/>
      <c r="S9" s="10"/>
      <c r="T9" s="15"/>
      <c r="U9" s="10"/>
    </row>
    <row r="10" spans="2:22" x14ac:dyDescent="0.3">
      <c r="B10" s="8" t="s">
        <v>127</v>
      </c>
      <c r="C10" s="8" t="s">
        <v>180</v>
      </c>
      <c r="D10" s="8" t="s">
        <v>311</v>
      </c>
      <c r="E10" s="8" t="s">
        <v>181</v>
      </c>
      <c r="F10" s="10">
        <v>1341</v>
      </c>
      <c r="G10" s="10">
        <f>1341*0.221</f>
        <v>296.36099999999999</v>
      </c>
      <c r="H10" s="10">
        <f>1341*0.351</f>
        <v>470.69099999999997</v>
      </c>
      <c r="I10" s="10">
        <f>1341*0.253</f>
        <v>339.27300000000002</v>
      </c>
      <c r="J10" s="10">
        <f>Table2[[#This Row],[Habitantes]]-G10-H10-I10</f>
        <v>234.67500000000007</v>
      </c>
      <c r="K10" s="13">
        <v>0.61299999999999999</v>
      </c>
      <c r="L10" s="8">
        <v>31850</v>
      </c>
      <c r="M10" s="11">
        <f>Table2[[#This Row],[Habitantes]]/Table2[[#This Row],[Extensión (km^2)]]</f>
        <v>2187.6019575856444</v>
      </c>
      <c r="N10" s="11"/>
      <c r="Q10" s="8"/>
      <c r="S10" s="10"/>
      <c r="T10" s="13"/>
      <c r="U10" s="10"/>
    </row>
    <row r="11" spans="2:22" x14ac:dyDescent="0.3">
      <c r="B11" s="8" t="s">
        <v>127</v>
      </c>
      <c r="C11" s="8" t="s">
        <v>180</v>
      </c>
      <c r="D11" s="8" t="s">
        <v>311</v>
      </c>
      <c r="E11" s="8" t="s">
        <v>156</v>
      </c>
      <c r="F11" s="10">
        <v>2320</v>
      </c>
      <c r="G11" s="10">
        <f>2320*0.251</f>
        <v>582.32000000000005</v>
      </c>
      <c r="H11" s="10">
        <f>2320*0.356</f>
        <v>825.92</v>
      </c>
      <c r="I11" s="10">
        <f>2320*0.288</f>
        <v>668.16</v>
      </c>
      <c r="J11" s="10">
        <f>Table2[[#This Row],[Habitantes]]-G11-H11-I11</f>
        <v>243.59999999999991</v>
      </c>
      <c r="K11" s="13">
        <v>0.55400000000000005</v>
      </c>
      <c r="L11" s="8">
        <v>31850</v>
      </c>
      <c r="M11" s="11">
        <f>Table2[[#This Row],[Habitantes]]/Table2[[#This Row],[Extensión (km^2)]]</f>
        <v>4187.7256317689526</v>
      </c>
      <c r="N11" s="11"/>
      <c r="Q11" s="8"/>
      <c r="R11" s="8">
        <f>R6+R7+R8</f>
        <v>135611.99999999997</v>
      </c>
      <c r="S11" s="10">
        <f>S6+S7+S8</f>
        <v>70026.771166666644</v>
      </c>
      <c r="T11" s="13"/>
      <c r="U11" s="10"/>
    </row>
    <row r="12" spans="2:22" x14ac:dyDescent="0.3">
      <c r="B12" s="8" t="s">
        <v>127</v>
      </c>
      <c r="C12" s="8" t="s">
        <v>180</v>
      </c>
      <c r="D12" s="8" t="s">
        <v>311</v>
      </c>
      <c r="E12" s="8" t="s">
        <v>152</v>
      </c>
      <c r="F12" s="10">
        <v>972</v>
      </c>
      <c r="G12" s="10">
        <f>972*0.187</f>
        <v>181.76400000000001</v>
      </c>
      <c r="H12" s="10">
        <f>972*0.361</f>
        <v>350.892</v>
      </c>
      <c r="I12" s="10">
        <f>972*0.226</f>
        <v>219.672</v>
      </c>
      <c r="J12" s="10">
        <f>Table2[[#This Row],[Habitantes]]-G12-H12-I12</f>
        <v>219.672</v>
      </c>
      <c r="K12" s="13">
        <v>0.47599999999999998</v>
      </c>
      <c r="L12" s="8">
        <v>29750</v>
      </c>
      <c r="M12" s="11">
        <f>Table2[[#This Row],[Habitantes]]/Table2[[#This Row],[Extensión (km^2)]]</f>
        <v>2042.0168067226891</v>
      </c>
      <c r="N12" s="11"/>
      <c r="Q12" s="8"/>
      <c r="S12" s="10"/>
      <c r="T12" s="13"/>
      <c r="U12" s="10"/>
    </row>
    <row r="13" spans="2:22" x14ac:dyDescent="0.3">
      <c r="B13" s="8" t="s">
        <v>127</v>
      </c>
      <c r="C13" s="8" t="s">
        <v>180</v>
      </c>
      <c r="D13" s="8" t="s">
        <v>311</v>
      </c>
      <c r="E13" s="8" t="s">
        <v>182</v>
      </c>
      <c r="F13" s="10">
        <v>2757</v>
      </c>
      <c r="G13" s="10">
        <f>2757*0.363</f>
        <v>1000.7909999999999</v>
      </c>
      <c r="H13" s="10">
        <f>2757*0.359</f>
        <v>989.76299999999992</v>
      </c>
      <c r="I13" s="10">
        <f>2757*0.223</f>
        <v>614.81100000000004</v>
      </c>
      <c r="J13" s="10">
        <f>Table2[[#This Row],[Habitantes]]-G13-H13-I13</f>
        <v>151.6350000000001</v>
      </c>
      <c r="K13" s="13">
        <v>1.1000000000000001</v>
      </c>
      <c r="L13" s="8">
        <v>36750</v>
      </c>
      <c r="M13" s="11">
        <f>Table2[[#This Row],[Habitantes]]/Table2[[#This Row],[Extensión (km^2)]]</f>
        <v>2506.363636363636</v>
      </c>
      <c r="N13" s="11"/>
      <c r="Q13" s="8"/>
      <c r="S13" s="10"/>
      <c r="T13" s="13"/>
      <c r="U13" s="10"/>
    </row>
    <row r="14" spans="2:22" x14ac:dyDescent="0.3">
      <c r="B14" s="8" t="s">
        <v>127</v>
      </c>
      <c r="C14" s="8" t="s">
        <v>180</v>
      </c>
      <c r="D14" s="8" t="s">
        <v>311</v>
      </c>
      <c r="E14" s="8" t="s">
        <v>155</v>
      </c>
      <c r="F14" s="10">
        <f>2715</f>
        <v>2715</v>
      </c>
      <c r="G14" s="10">
        <f>2715*0.249</f>
        <v>676.03499999999997</v>
      </c>
      <c r="H14" s="10">
        <f>2715*0.33</f>
        <v>895.95</v>
      </c>
      <c r="I14" s="10">
        <f>2715*0.214</f>
        <v>581.01</v>
      </c>
      <c r="J14" s="10">
        <f>Table2[[#This Row],[Habitantes]]-G14-H14-I14</f>
        <v>562.00500000000011</v>
      </c>
      <c r="K14" s="13">
        <v>2.56</v>
      </c>
      <c r="L14" s="8">
        <v>31150</v>
      </c>
      <c r="M14" s="11">
        <f>Table2[[#This Row],[Habitantes]]/Table2[[#This Row],[Extensión (km^2)]]</f>
        <v>1060.546875</v>
      </c>
      <c r="N14" s="11"/>
      <c r="Q14" s="8"/>
      <c r="S14" s="11"/>
      <c r="T14" s="13"/>
      <c r="U14" s="10"/>
    </row>
    <row r="15" spans="2:22" x14ac:dyDescent="0.3">
      <c r="B15" s="8" t="s">
        <v>127</v>
      </c>
      <c r="C15" s="8" t="s">
        <v>180</v>
      </c>
      <c r="D15" s="8" t="s">
        <v>311</v>
      </c>
      <c r="E15" s="8" t="s">
        <v>183</v>
      </c>
      <c r="F15" s="10">
        <v>1127</v>
      </c>
      <c r="G15" s="10">
        <f>1127*0.215</f>
        <v>242.30500000000001</v>
      </c>
      <c r="H15" s="10">
        <f>1127*0.367</f>
        <v>413.60899999999998</v>
      </c>
      <c r="I15" s="10">
        <f>1127*0.23</f>
        <v>259.21000000000004</v>
      </c>
      <c r="J15" s="10">
        <f>Table2[[#This Row],[Habitantes]]-G15-H15-I15</f>
        <v>211.87599999999992</v>
      </c>
      <c r="K15" s="13">
        <v>1.33</v>
      </c>
      <c r="L15" s="8">
        <v>33250</v>
      </c>
      <c r="M15" s="11">
        <f>Table2[[#This Row],[Habitantes]]/Table2[[#This Row],[Extensión (km^2)]]</f>
        <v>847.36842105263156</v>
      </c>
      <c r="N15" s="11"/>
      <c r="Q15" s="8"/>
      <c r="S15" s="11"/>
      <c r="T15" s="13"/>
      <c r="U15" s="10"/>
    </row>
    <row r="16" spans="2:22" x14ac:dyDescent="0.3">
      <c r="B16" s="8" t="s">
        <v>127</v>
      </c>
      <c r="C16" s="8" t="s">
        <v>180</v>
      </c>
      <c r="D16" s="8" t="s">
        <v>311</v>
      </c>
      <c r="E16" s="8" t="s">
        <v>184</v>
      </c>
      <c r="F16" s="10">
        <v>1754</v>
      </c>
      <c r="G16" s="10">
        <f>1754*0.255</f>
        <v>447.27</v>
      </c>
      <c r="H16" s="10">
        <f>1754*0.356</f>
        <v>624.42399999999998</v>
      </c>
      <c r="I16" s="10">
        <f>1754*0.233</f>
        <v>408.68200000000002</v>
      </c>
      <c r="J16" s="10">
        <f>Table2[[#This Row],[Habitantes]]-G16-H16-I16</f>
        <v>273.62400000000002</v>
      </c>
      <c r="K16" s="13">
        <v>1.0900000000000001</v>
      </c>
      <c r="L16" s="8">
        <v>36050</v>
      </c>
      <c r="M16" s="11">
        <f>Table2[[#This Row],[Habitantes]]/Table2[[#This Row],[Extensión (km^2)]]</f>
        <v>1609.1743119266055</v>
      </c>
      <c r="N16" s="11"/>
      <c r="Q16" s="8"/>
      <c r="S16" s="11"/>
      <c r="T16" s="13"/>
      <c r="U16" s="10"/>
    </row>
    <row r="17" spans="2:21" x14ac:dyDescent="0.3">
      <c r="B17" s="8" t="s">
        <v>127</v>
      </c>
      <c r="C17" s="8" t="s">
        <v>180</v>
      </c>
      <c r="D17" s="8" t="s">
        <v>311</v>
      </c>
      <c r="E17" s="8" t="s">
        <v>185</v>
      </c>
      <c r="F17" s="10">
        <v>2303</v>
      </c>
      <c r="G17" s="10">
        <f>2303*0.244</f>
        <v>561.93200000000002</v>
      </c>
      <c r="H17" s="10">
        <f>2303*0.368</f>
        <v>847.50400000000002</v>
      </c>
      <c r="I17" s="10">
        <f>2303*0.282</f>
        <v>649.44599999999991</v>
      </c>
      <c r="J17" s="10">
        <f>Table2[[#This Row],[Habitantes]]-G17-H17-I17</f>
        <v>244.11800000000005</v>
      </c>
      <c r="K17" s="13">
        <v>0.61899999999999999</v>
      </c>
      <c r="L17" s="8">
        <v>28350</v>
      </c>
      <c r="M17" s="11">
        <f>Table2[[#This Row],[Habitantes]]/Table2[[#This Row],[Extensión (km^2)]]</f>
        <v>3720.5169628432955</v>
      </c>
      <c r="N17" s="11"/>
      <c r="Q17" s="8"/>
      <c r="S17" s="11"/>
      <c r="T17" s="13"/>
      <c r="U17" s="10"/>
    </row>
    <row r="18" spans="2:21" x14ac:dyDescent="0.3">
      <c r="B18" s="8" t="s">
        <v>127</v>
      </c>
      <c r="C18" s="8" t="s">
        <v>180</v>
      </c>
      <c r="D18" s="8" t="s">
        <v>311</v>
      </c>
      <c r="E18" s="8" t="s">
        <v>186</v>
      </c>
      <c r="F18" s="10">
        <v>2730</v>
      </c>
      <c r="G18" s="10">
        <f>2730*0.256</f>
        <v>698.88</v>
      </c>
      <c r="H18" s="10">
        <f>2730*0.354</f>
        <v>966.42</v>
      </c>
      <c r="I18" s="10">
        <f>2730*0.235</f>
        <v>641.54999999999995</v>
      </c>
      <c r="J18" s="10">
        <f>Table2[[#This Row],[Habitantes]]-G18-H18-I18</f>
        <v>423.14999999999986</v>
      </c>
      <c r="K18" s="13">
        <v>0.57399999999999995</v>
      </c>
      <c r="L18" s="8">
        <v>31150</v>
      </c>
      <c r="M18" s="11">
        <f>Table2[[#This Row],[Habitantes]]/Table2[[#This Row],[Extensión (km^2)]]</f>
        <v>4756.0975609756106</v>
      </c>
      <c r="N18" s="11"/>
      <c r="Q18" s="8"/>
      <c r="S18" s="11"/>
      <c r="T18" s="13"/>
      <c r="U18" s="10"/>
    </row>
    <row r="19" spans="2:21" x14ac:dyDescent="0.3">
      <c r="B19" s="8" t="s">
        <v>127</v>
      </c>
      <c r="C19" s="8" t="s">
        <v>180</v>
      </c>
      <c r="D19" s="8" t="s">
        <v>311</v>
      </c>
      <c r="E19" s="8" t="s">
        <v>187</v>
      </c>
      <c r="F19" s="10">
        <f>2027</f>
        <v>2027</v>
      </c>
      <c r="G19" s="10">
        <f>2027*0.288</f>
        <v>583.77599999999995</v>
      </c>
      <c r="H19" s="10">
        <f>2027*0.362</f>
        <v>733.774</v>
      </c>
      <c r="I19" s="10">
        <f>2027*0.213</f>
        <v>431.75099999999998</v>
      </c>
      <c r="J19" s="10">
        <f>Table2[[#This Row],[Habitantes]]-G19-H19-I19</f>
        <v>277.69900000000018</v>
      </c>
      <c r="K19" s="13">
        <v>0.23499999999999999</v>
      </c>
      <c r="L19" s="8">
        <v>27650</v>
      </c>
      <c r="M19" s="11">
        <f>Table2[[#This Row],[Habitantes]]/Table2[[#This Row],[Extensión (km^2)]]</f>
        <v>8625.5319148936178</v>
      </c>
      <c r="N19" s="11"/>
      <c r="Q19" s="8"/>
      <c r="S19" s="11"/>
      <c r="T19" s="13"/>
      <c r="U19" s="10"/>
    </row>
    <row r="20" spans="2:21" x14ac:dyDescent="0.3">
      <c r="B20" s="8" t="s">
        <v>134</v>
      </c>
      <c r="C20" s="8" t="s">
        <v>137</v>
      </c>
      <c r="D20" s="8" t="s">
        <v>295</v>
      </c>
      <c r="E20" s="8" t="s">
        <v>135</v>
      </c>
      <c r="F20" s="10">
        <v>2250</v>
      </c>
      <c r="G20" s="10">
        <f>F20*0.292</f>
        <v>657</v>
      </c>
      <c r="H20" s="10">
        <f>F20*0.376</f>
        <v>846</v>
      </c>
      <c r="I20" s="10">
        <f>F20*0.182</f>
        <v>409.5</v>
      </c>
      <c r="J20" s="10">
        <f>Table2[[#This Row],[Habitantes]]-G20-H20-I20</f>
        <v>337.5</v>
      </c>
      <c r="K20" s="13">
        <v>0.45300000000000001</v>
      </c>
      <c r="L20" s="10">
        <v>36750</v>
      </c>
      <c r="M20" s="11">
        <f>Table2[[#This Row],[Habitantes]]/Table2[[#This Row],[Extensión (km^2)]]</f>
        <v>4966.8874172185433</v>
      </c>
      <c r="N20" s="11"/>
      <c r="Q20" s="8"/>
      <c r="S20" s="11"/>
      <c r="T20" s="13"/>
      <c r="U20" s="10"/>
    </row>
    <row r="21" spans="2:21" x14ac:dyDescent="0.3">
      <c r="B21" s="8" t="s">
        <v>134</v>
      </c>
      <c r="C21" s="8" t="s">
        <v>137</v>
      </c>
      <c r="D21" s="8" t="s">
        <v>295</v>
      </c>
      <c r="E21" s="8" t="s">
        <v>136</v>
      </c>
      <c r="F21" s="10">
        <v>2329</v>
      </c>
      <c r="G21" s="10">
        <f>2329*0.313</f>
        <v>728.97699999999998</v>
      </c>
      <c r="H21" s="10">
        <f>2329*0.381</f>
        <v>887.34900000000005</v>
      </c>
      <c r="I21" s="10">
        <f>2329*0.188</f>
        <v>437.85199999999998</v>
      </c>
      <c r="J21" s="10">
        <f>Table2[[#This Row],[Habitantes]]-G21-H21-I21</f>
        <v>274.82200000000012</v>
      </c>
      <c r="K21" s="13">
        <v>0.30399999999999999</v>
      </c>
      <c r="L21" s="10">
        <v>36750</v>
      </c>
      <c r="M21" s="11">
        <f>Table2[[#This Row],[Habitantes]]/Table2[[#This Row],[Extensión (km^2)]]</f>
        <v>7661.1842105263158</v>
      </c>
      <c r="N21" s="11"/>
      <c r="Q21" s="8"/>
      <c r="S21" s="11"/>
      <c r="T21" s="13"/>
      <c r="U21" s="10"/>
    </row>
    <row r="22" spans="2:21" x14ac:dyDescent="0.3">
      <c r="B22" s="8" t="s">
        <v>134</v>
      </c>
      <c r="C22" s="8" t="s">
        <v>137</v>
      </c>
      <c r="D22" s="8" t="s">
        <v>295</v>
      </c>
      <c r="E22" s="8" t="s">
        <v>138</v>
      </c>
      <c r="F22" s="10">
        <v>2876</v>
      </c>
      <c r="G22" s="10">
        <f>2876*0.285</f>
        <v>819.66</v>
      </c>
      <c r="H22" s="10">
        <f>2876*0.372</f>
        <v>1069.8720000000001</v>
      </c>
      <c r="I22" s="10">
        <f>2876*0.178</f>
        <v>511.928</v>
      </c>
      <c r="J22" s="10">
        <f>Table2[[#This Row],[Habitantes]]-G22-H22-I22</f>
        <v>474.54000000000008</v>
      </c>
      <c r="K22" s="13">
        <v>0.314</v>
      </c>
      <c r="L22" s="10">
        <v>36750</v>
      </c>
      <c r="M22" s="11">
        <f>Table2[[#This Row],[Habitantes]]/Table2[[#This Row],[Extensión (km^2)]]</f>
        <v>9159.2356687898082</v>
      </c>
      <c r="N22" s="11"/>
      <c r="Q22" s="8"/>
      <c r="S22" s="11"/>
      <c r="T22" s="13"/>
      <c r="U22" s="10"/>
    </row>
    <row r="23" spans="2:21" x14ac:dyDescent="0.3">
      <c r="B23" s="8" t="s">
        <v>134</v>
      </c>
      <c r="C23" s="8" t="s">
        <v>137</v>
      </c>
      <c r="D23" s="8" t="s">
        <v>295</v>
      </c>
      <c r="E23" s="8" t="s">
        <v>139</v>
      </c>
      <c r="F23" s="10">
        <v>1977</v>
      </c>
      <c r="G23" s="10">
        <f>1977*0.242</f>
        <v>478.43399999999997</v>
      </c>
      <c r="H23" s="10">
        <f>1977*0.37</f>
        <v>731.49</v>
      </c>
      <c r="I23" s="10">
        <f>1977*0.197</f>
        <v>389.46899999999999</v>
      </c>
      <c r="J23" s="10">
        <f>Table2[[#This Row],[Habitantes]]-G23-H23-I23</f>
        <v>377.60700000000003</v>
      </c>
      <c r="K23" s="13">
        <v>1.57</v>
      </c>
      <c r="L23" s="10">
        <v>36750</v>
      </c>
      <c r="M23" s="11">
        <f>Table2[[#This Row],[Habitantes]]/Table2[[#This Row],[Extensión (km^2)]]</f>
        <v>1259.2356687898089</v>
      </c>
      <c r="N23" s="11"/>
      <c r="Q23" s="8"/>
      <c r="S23" s="11"/>
      <c r="T23" s="13"/>
      <c r="U23" s="10"/>
    </row>
    <row r="24" spans="2:21" x14ac:dyDescent="0.3">
      <c r="B24" s="8" t="s">
        <v>134</v>
      </c>
      <c r="C24" s="8" t="s">
        <v>137</v>
      </c>
      <c r="D24" s="8" t="s">
        <v>295</v>
      </c>
      <c r="E24" s="8" t="s">
        <v>141</v>
      </c>
      <c r="F24" s="10">
        <v>3255</v>
      </c>
      <c r="G24" s="10">
        <f>3255*0.382</f>
        <v>1243.4100000000001</v>
      </c>
      <c r="H24" s="10">
        <f>3255*0.366</f>
        <v>1191.33</v>
      </c>
      <c r="I24" s="10">
        <f>3255*0.189</f>
        <v>615.19500000000005</v>
      </c>
      <c r="J24" s="10">
        <f>Table2[[#This Row],[Habitantes]]-G24-H24-I24</f>
        <v>205.06499999999994</v>
      </c>
      <c r="K24" s="13">
        <v>0.46200000000000002</v>
      </c>
      <c r="L24" s="10">
        <v>36750</v>
      </c>
      <c r="M24" s="11">
        <f>Table2[[#This Row],[Habitantes]]/Table2[[#This Row],[Extensión (km^2)]]</f>
        <v>7045.454545454545</v>
      </c>
      <c r="N24" s="11"/>
      <c r="Q24" s="8"/>
      <c r="S24" s="11"/>
      <c r="T24" s="13"/>
      <c r="U24" s="10"/>
    </row>
    <row r="25" spans="2:21" x14ac:dyDescent="0.3">
      <c r="B25" s="8" t="s">
        <v>134</v>
      </c>
      <c r="C25" s="8" t="s">
        <v>137</v>
      </c>
      <c r="D25" s="8" t="s">
        <v>295</v>
      </c>
      <c r="E25" s="8" t="s">
        <v>144</v>
      </c>
      <c r="F25" s="10">
        <v>2545</v>
      </c>
      <c r="G25" s="10">
        <f>2545*0.37</f>
        <v>941.65</v>
      </c>
      <c r="H25" s="10">
        <f>2545*0.367</f>
        <v>934.01499999999999</v>
      </c>
      <c r="I25" s="10">
        <f>2545*0.23</f>
        <v>585.35</v>
      </c>
      <c r="J25" s="10">
        <f>Table2[[#This Row],[Habitantes]]-G25-H25-I25</f>
        <v>83.9849999999999</v>
      </c>
      <c r="K25" s="13">
        <v>0.56200000000000006</v>
      </c>
      <c r="L25" s="10">
        <v>36750</v>
      </c>
      <c r="M25" s="11">
        <f>Table2[[#This Row],[Habitantes]]/Table2[[#This Row],[Extensión (km^2)]]</f>
        <v>4528.4697508896788</v>
      </c>
      <c r="N25" s="11"/>
      <c r="Q25" s="8"/>
      <c r="S25" s="11"/>
      <c r="T25" s="13"/>
      <c r="U25" s="10"/>
    </row>
    <row r="26" spans="2:21" x14ac:dyDescent="0.3">
      <c r="B26" s="8" t="s">
        <v>134</v>
      </c>
      <c r="C26" s="8" t="s">
        <v>137</v>
      </c>
      <c r="D26" s="8" t="s">
        <v>295</v>
      </c>
      <c r="E26" s="8" t="s">
        <v>143</v>
      </c>
      <c r="F26" s="10">
        <v>1815</v>
      </c>
      <c r="G26" s="10">
        <f>1815*0.381</f>
        <v>691.51499999999999</v>
      </c>
      <c r="H26" s="10">
        <f>1815*0.375</f>
        <v>680.625</v>
      </c>
      <c r="I26" s="10">
        <f>1815*0.199</f>
        <v>361.185</v>
      </c>
      <c r="J26" s="10">
        <f>Table2[[#This Row],[Habitantes]]-G26-H26-I26</f>
        <v>81.675000000000125</v>
      </c>
      <c r="K26" s="13">
        <v>0.52800000000000002</v>
      </c>
      <c r="L26" s="10">
        <v>36750</v>
      </c>
      <c r="M26" s="11">
        <f>Table2[[#This Row],[Habitantes]]/Table2[[#This Row],[Extensión (km^2)]]</f>
        <v>3437.5</v>
      </c>
      <c r="N26" s="11"/>
      <c r="Q26" s="8"/>
      <c r="S26" s="11"/>
      <c r="T26" s="13"/>
      <c r="U26" s="10"/>
    </row>
    <row r="27" spans="2:21" x14ac:dyDescent="0.3">
      <c r="B27" s="8" t="s">
        <v>134</v>
      </c>
      <c r="C27" s="8" t="s">
        <v>137</v>
      </c>
      <c r="D27" s="8" t="s">
        <v>295</v>
      </c>
      <c r="E27" s="8" t="s">
        <v>145</v>
      </c>
      <c r="F27" s="10">
        <v>1455</v>
      </c>
      <c r="G27" s="10">
        <f>1455*0.282</f>
        <v>410.30999999999995</v>
      </c>
      <c r="H27" s="10">
        <f>1455*0.367</f>
        <v>533.98500000000001</v>
      </c>
      <c r="I27" s="10">
        <f>1455*0.191</f>
        <v>277.90500000000003</v>
      </c>
      <c r="J27" s="10">
        <f>Table2[[#This Row],[Habitantes]]-G27-H27-I27</f>
        <v>232.8</v>
      </c>
      <c r="K27" s="13">
        <v>0.14699999999999999</v>
      </c>
      <c r="L27" s="8">
        <v>36750</v>
      </c>
      <c r="M27" s="11">
        <f>Table2[[#This Row],[Habitantes]]/Table2[[#This Row],[Extensión (km^2)]]</f>
        <v>9897.9591836734708</v>
      </c>
      <c r="N27" s="11"/>
      <c r="Q27" s="8"/>
      <c r="S27" s="11"/>
      <c r="T27" s="13"/>
      <c r="U27" s="10"/>
    </row>
    <row r="28" spans="2:21" x14ac:dyDescent="0.3">
      <c r="B28" s="8" t="s">
        <v>134</v>
      </c>
      <c r="C28" s="8" t="s">
        <v>137</v>
      </c>
      <c r="D28" s="8" t="s">
        <v>295</v>
      </c>
      <c r="E28" s="8" t="s">
        <v>147</v>
      </c>
      <c r="F28" s="10">
        <v>920</v>
      </c>
      <c r="G28" s="10">
        <f>920*0.243</f>
        <v>223.56</v>
      </c>
      <c r="H28" s="10">
        <f>920*0.362</f>
        <v>333.03999999999996</v>
      </c>
      <c r="I28" s="10">
        <f>920*0.207</f>
        <v>190.44</v>
      </c>
      <c r="J28" s="10">
        <f>Table2[[#This Row],[Habitantes]]-G28-H28-I28</f>
        <v>172.96000000000009</v>
      </c>
      <c r="K28" s="13">
        <v>2.12</v>
      </c>
      <c r="L28" s="8">
        <v>36750</v>
      </c>
      <c r="M28" s="11">
        <f>Table2[[#This Row],[Habitantes]]/Table2[[#This Row],[Extensión (km^2)]]</f>
        <v>433.96226415094338</v>
      </c>
      <c r="N28" s="11"/>
      <c r="Q28" s="8"/>
      <c r="S28" s="11"/>
      <c r="T28" s="13"/>
      <c r="U28" s="10"/>
    </row>
    <row r="29" spans="2:21" x14ac:dyDescent="0.3">
      <c r="B29" s="8" t="s">
        <v>134</v>
      </c>
      <c r="C29" s="8" t="s">
        <v>137</v>
      </c>
      <c r="D29" s="8" t="s">
        <v>295</v>
      </c>
      <c r="E29" s="8" t="s">
        <v>148</v>
      </c>
      <c r="F29" s="10">
        <v>2213</v>
      </c>
      <c r="G29" s="10">
        <f>2213*0.266</f>
        <v>588.65800000000002</v>
      </c>
      <c r="H29" s="10">
        <f>2213*0.35</f>
        <v>774.55</v>
      </c>
      <c r="I29" s="10">
        <f>2213*0.179</f>
        <v>396.12700000000001</v>
      </c>
      <c r="J29" s="10">
        <f>Table2[[#This Row],[Habitantes]]-G29-H29-I29</f>
        <v>453.66500000000013</v>
      </c>
      <c r="K29" s="13">
        <v>0.35</v>
      </c>
      <c r="L29" s="8">
        <v>36750</v>
      </c>
      <c r="M29" s="11">
        <f>Table2[[#This Row],[Habitantes]]/Table2[[#This Row],[Extensión (km^2)]]</f>
        <v>6322.8571428571431</v>
      </c>
      <c r="N29" s="11"/>
      <c r="Q29" s="8"/>
      <c r="S29" s="11"/>
      <c r="T29" s="13"/>
      <c r="U29" s="10"/>
    </row>
    <row r="30" spans="2:21" x14ac:dyDescent="0.3">
      <c r="B30" s="8" t="s">
        <v>134</v>
      </c>
      <c r="C30" s="8" t="s">
        <v>137</v>
      </c>
      <c r="D30" s="8" t="s">
        <v>295</v>
      </c>
      <c r="E30" s="8" t="s">
        <v>149</v>
      </c>
      <c r="F30" s="10">
        <v>2144</v>
      </c>
      <c r="G30" s="10">
        <f>2144*0.245</f>
        <v>525.28</v>
      </c>
      <c r="H30" s="10">
        <f>2144*0.392</f>
        <v>840.44799999999998</v>
      </c>
      <c r="I30" s="10">
        <f>2144*0.187</f>
        <v>400.928</v>
      </c>
      <c r="J30" s="10">
        <f>Table2[[#This Row],[Habitantes]]-G30-H30-I30</f>
        <v>377.34400000000005</v>
      </c>
      <c r="K30" s="13">
        <v>3</v>
      </c>
      <c r="L30" s="8">
        <v>36750</v>
      </c>
      <c r="M30" s="11">
        <f>Table2[[#This Row],[Habitantes]]/Table2[[#This Row],[Extensión (km^2)]]</f>
        <v>714.66666666666663</v>
      </c>
      <c r="N30" s="11"/>
      <c r="Q30" s="8"/>
      <c r="S30" s="11"/>
      <c r="T30" s="13"/>
      <c r="U30" s="10"/>
    </row>
    <row r="31" spans="2:21" x14ac:dyDescent="0.3">
      <c r="B31" s="8" t="s">
        <v>127</v>
      </c>
      <c r="C31" s="8" t="s">
        <v>133</v>
      </c>
      <c r="D31" s="8" t="s">
        <v>308</v>
      </c>
      <c r="E31" s="8" t="s">
        <v>160</v>
      </c>
      <c r="F31" s="10">
        <v>1984</v>
      </c>
      <c r="G31" s="10">
        <f>1984*0.202</f>
        <v>400.76800000000003</v>
      </c>
      <c r="H31" s="10">
        <f>1984*0.389</f>
        <v>771.77600000000007</v>
      </c>
      <c r="I31" s="10">
        <f>1984*0.232</f>
        <v>460.28800000000001</v>
      </c>
      <c r="J31" s="10">
        <f>Table2[[#This Row],[Habitantes]]-G31-H31-I31</f>
        <v>351.16799999999989</v>
      </c>
      <c r="K31" s="13">
        <v>0.17399999999999999</v>
      </c>
      <c r="L31" s="8">
        <v>26950</v>
      </c>
      <c r="M31" s="11">
        <f>Table2[[#This Row],[Habitantes]]/Table2[[#This Row],[Extensión (km^2)]]</f>
        <v>11402.298850574713</v>
      </c>
      <c r="N31" s="11"/>
      <c r="Q31" s="8"/>
      <c r="S31" s="11"/>
      <c r="T31" s="13"/>
      <c r="U31" s="10"/>
    </row>
    <row r="32" spans="2:21" x14ac:dyDescent="0.3">
      <c r="B32" s="8" t="s">
        <v>127</v>
      </c>
      <c r="C32" s="8" t="s">
        <v>133</v>
      </c>
      <c r="D32" s="8" t="s">
        <v>308</v>
      </c>
      <c r="E32" s="8" t="s">
        <v>178</v>
      </c>
      <c r="F32" s="10">
        <v>1294</v>
      </c>
      <c r="G32" s="10">
        <f>1294*0.201</f>
        <v>260.09399999999999</v>
      </c>
      <c r="H32" s="10">
        <f>1294*0.373</f>
        <v>482.66199999999998</v>
      </c>
      <c r="I32" s="10">
        <f>1294*0.26</f>
        <v>336.44</v>
      </c>
      <c r="J32" s="10">
        <f>Table2[[#This Row],[Habitantes]]-G32-H32-I32</f>
        <v>214.80399999999992</v>
      </c>
      <c r="K32" s="13">
        <v>9.8599999999999993E-2</v>
      </c>
      <c r="L32" s="8">
        <v>30450</v>
      </c>
      <c r="M32" s="11">
        <f>Table2[[#This Row],[Habitantes]]/Table2[[#This Row],[Extensión (km^2)]]</f>
        <v>13123.7322515213</v>
      </c>
      <c r="N32" s="11"/>
      <c r="Q32" s="8"/>
      <c r="S32" s="11"/>
      <c r="T32" s="13"/>
      <c r="U32" s="10"/>
    </row>
    <row r="33" spans="2:21" x14ac:dyDescent="0.3">
      <c r="B33" s="8" t="s">
        <v>127</v>
      </c>
      <c r="C33" s="8" t="s">
        <v>133</v>
      </c>
      <c r="D33" s="8" t="s">
        <v>308</v>
      </c>
      <c r="E33" s="8" t="s">
        <v>148</v>
      </c>
      <c r="F33" s="10">
        <v>1195</v>
      </c>
      <c r="G33" s="10">
        <f>1195*0.238</f>
        <v>284.40999999999997</v>
      </c>
      <c r="H33" s="10">
        <f>1195*0.39</f>
        <v>466.05</v>
      </c>
      <c r="I33" s="10">
        <f>1195*0.239</f>
        <v>285.60499999999996</v>
      </c>
      <c r="J33" s="10">
        <f>Table2[[#This Row],[Habitantes]]-G33-H33-I33</f>
        <v>158.93500000000006</v>
      </c>
      <c r="K33" s="13">
        <v>6.3299999999999995E-2</v>
      </c>
      <c r="L33" s="8">
        <v>29400</v>
      </c>
      <c r="M33" s="11">
        <f>Table2[[#This Row],[Habitantes]]/Table2[[#This Row],[Extensión (km^2)]]</f>
        <v>18878.357030015799</v>
      </c>
      <c r="N33" s="11"/>
      <c r="Q33" s="8"/>
      <c r="S33" s="11"/>
      <c r="T33" s="13"/>
      <c r="U33" s="10"/>
    </row>
    <row r="34" spans="2:21" x14ac:dyDescent="0.3">
      <c r="B34" s="8" t="s">
        <v>127</v>
      </c>
      <c r="C34" s="8" t="s">
        <v>133</v>
      </c>
      <c r="D34" s="8" t="s">
        <v>308</v>
      </c>
      <c r="E34" s="8" t="s">
        <v>153</v>
      </c>
      <c r="F34" s="10">
        <v>1432</v>
      </c>
      <c r="G34" s="10">
        <f>1432*0.214</f>
        <v>306.44799999999998</v>
      </c>
      <c r="H34" s="10">
        <f>1432*0.398</f>
        <v>569.93600000000004</v>
      </c>
      <c r="I34" s="10">
        <f>1432*0.246</f>
        <v>352.27199999999999</v>
      </c>
      <c r="J34" s="10">
        <f>Table2[[#This Row],[Habitantes]]-G34-H34-I34</f>
        <v>203.34400000000011</v>
      </c>
      <c r="K34" s="13">
        <v>7.9200000000000007E-2</v>
      </c>
      <c r="L34" s="8">
        <v>27650</v>
      </c>
      <c r="M34" s="11">
        <f>Table2[[#This Row],[Habitantes]]/Table2[[#This Row],[Extensión (km^2)]]</f>
        <v>18080.808080808078</v>
      </c>
      <c r="N34" s="11"/>
      <c r="Q34" s="8"/>
      <c r="S34" s="11"/>
      <c r="T34" s="13"/>
      <c r="U34" s="10"/>
    </row>
    <row r="35" spans="2:21" x14ac:dyDescent="0.3">
      <c r="B35" s="8" t="s">
        <v>127</v>
      </c>
      <c r="C35" s="8" t="s">
        <v>133</v>
      </c>
      <c r="D35" s="8" t="s">
        <v>308</v>
      </c>
      <c r="E35" s="8" t="s">
        <v>135</v>
      </c>
      <c r="F35" s="10">
        <v>1391</v>
      </c>
      <c r="G35" s="10">
        <f>1391*0.192</f>
        <v>267.072</v>
      </c>
      <c r="H35" s="10">
        <f>1391*0.417</f>
        <v>580.04700000000003</v>
      </c>
      <c r="I35" s="10">
        <f>1391*0.221</f>
        <v>307.411</v>
      </c>
      <c r="J35" s="10">
        <f>Table2[[#This Row],[Habitantes]]-G35-H35-I35</f>
        <v>236.46999999999986</v>
      </c>
      <c r="K35" s="13">
        <v>0.13200000000000001</v>
      </c>
      <c r="L35" s="8">
        <v>27650</v>
      </c>
      <c r="M35" s="11">
        <f>Table2[[#This Row],[Habitantes]]/Table2[[#This Row],[Extensión (km^2)]]</f>
        <v>10537.878787878788</v>
      </c>
      <c r="N35" s="11"/>
      <c r="Q35" s="8"/>
      <c r="S35" s="11"/>
      <c r="T35" s="13"/>
      <c r="U35" s="10"/>
    </row>
    <row r="36" spans="2:21" x14ac:dyDescent="0.3">
      <c r="B36" s="8" t="s">
        <v>127</v>
      </c>
      <c r="C36" s="8" t="s">
        <v>133</v>
      </c>
      <c r="D36" s="8" t="s">
        <v>308</v>
      </c>
      <c r="E36" s="8" t="s">
        <v>177</v>
      </c>
      <c r="F36" s="10">
        <v>1795</v>
      </c>
      <c r="G36" s="10">
        <f>1795*0.232</f>
        <v>416.44</v>
      </c>
      <c r="H36" s="10">
        <f>1795*0.414</f>
        <v>743.13</v>
      </c>
      <c r="I36" s="10">
        <f>1795*0.223</f>
        <v>400.28500000000003</v>
      </c>
      <c r="J36" s="10">
        <f>Table2[[#This Row],[Habitantes]]-G36-H36-I36</f>
        <v>235.14499999999992</v>
      </c>
      <c r="K36" s="13">
        <v>8.1199999999999994E-2</v>
      </c>
      <c r="L36" s="8">
        <v>25550</v>
      </c>
      <c r="M36" s="11">
        <f>Table2[[#This Row],[Habitantes]]/Table2[[#This Row],[Extensión (km^2)]]</f>
        <v>22105.911330049261</v>
      </c>
      <c r="N36" s="11"/>
      <c r="Q36" s="8"/>
      <c r="S36" s="11"/>
      <c r="T36" s="13"/>
      <c r="U36" s="10"/>
    </row>
    <row r="37" spans="2:21" x14ac:dyDescent="0.3">
      <c r="B37" s="8" t="s">
        <v>127</v>
      </c>
      <c r="C37" s="8" t="s">
        <v>133</v>
      </c>
      <c r="D37" s="8" t="s">
        <v>308</v>
      </c>
      <c r="E37" s="8" t="s">
        <v>150</v>
      </c>
      <c r="F37" s="10">
        <v>1786</v>
      </c>
      <c r="G37" s="10">
        <f>1786*0.164</f>
        <v>292.904</v>
      </c>
      <c r="H37" s="10">
        <f>1786*0.362</f>
        <v>646.53199999999993</v>
      </c>
      <c r="I37" s="10">
        <f>1786*0.211</f>
        <v>376.846</v>
      </c>
      <c r="J37" s="10">
        <f>Table2[[#This Row],[Habitantes]]-G37-H37-I37</f>
        <v>469.71800000000007</v>
      </c>
      <c r="K37" s="13">
        <v>0.158</v>
      </c>
      <c r="L37" s="8">
        <v>28350</v>
      </c>
      <c r="M37" s="11">
        <f>Table2[[#This Row],[Habitantes]]/Table2[[#This Row],[Extensión (km^2)]]</f>
        <v>11303.797468354431</v>
      </c>
      <c r="N37" s="11"/>
      <c r="Q37" s="8"/>
      <c r="S37" s="11"/>
      <c r="T37" s="13"/>
      <c r="U37" s="10"/>
    </row>
    <row r="38" spans="2:21" x14ac:dyDescent="0.3">
      <c r="B38" s="8" t="s">
        <v>127</v>
      </c>
      <c r="C38" s="8" t="s">
        <v>133</v>
      </c>
      <c r="D38" s="8" t="s">
        <v>308</v>
      </c>
      <c r="E38" s="8" t="s">
        <v>179</v>
      </c>
      <c r="F38" s="10">
        <v>2790</v>
      </c>
      <c r="G38" s="10">
        <f>2790*0.27</f>
        <v>753.30000000000007</v>
      </c>
      <c r="H38" s="10">
        <f>2790*0.497</f>
        <v>1386.6299999999999</v>
      </c>
      <c r="I38" s="10">
        <f>2790*0.133</f>
        <v>371.07</v>
      </c>
      <c r="J38" s="10">
        <f>Table2[[#This Row],[Habitantes]]-G38-H38-I38</f>
        <v>278.99999999999994</v>
      </c>
      <c r="K38" s="13">
        <v>0.56000000000000005</v>
      </c>
      <c r="L38" s="8">
        <v>26950</v>
      </c>
      <c r="M38" s="11">
        <f>Table2[[#This Row],[Habitantes]]/Table2[[#This Row],[Extensión (km^2)]]</f>
        <v>4982.1428571428569</v>
      </c>
      <c r="N38" s="11"/>
      <c r="Q38" s="8"/>
      <c r="S38" s="11"/>
      <c r="T38" s="13"/>
      <c r="U38" s="10"/>
    </row>
    <row r="39" spans="2:21" x14ac:dyDescent="0.3">
      <c r="B39" s="8" t="s">
        <v>127</v>
      </c>
      <c r="C39" s="8" t="s">
        <v>180</v>
      </c>
      <c r="D39" s="8" t="s">
        <v>311</v>
      </c>
      <c r="E39" s="8" t="s">
        <v>160</v>
      </c>
      <c r="F39" s="10">
        <v>1984</v>
      </c>
      <c r="G39" s="10">
        <f>1984*0.202</f>
        <v>400.76800000000003</v>
      </c>
      <c r="H39" s="10">
        <f>1984*0.389</f>
        <v>771.77600000000007</v>
      </c>
      <c r="I39" s="10">
        <f>1984*0.232</f>
        <v>460.28800000000001</v>
      </c>
      <c r="J39" s="10">
        <f>Table2[[#This Row],[Habitantes]]-G39-H39-I39</f>
        <v>351.16799999999989</v>
      </c>
      <c r="K39" s="13">
        <v>0.17399999999999999</v>
      </c>
      <c r="L39" s="8">
        <v>26950</v>
      </c>
      <c r="M39" s="11">
        <f>Table2[[#This Row],[Habitantes]]/Table2[[#This Row],[Extensión (km^2)]]</f>
        <v>11402.298850574713</v>
      </c>
      <c r="N39" s="11"/>
      <c r="Q39" s="8"/>
      <c r="S39" s="11"/>
      <c r="T39" s="13"/>
      <c r="U39" s="10"/>
    </row>
    <row r="40" spans="2:21" x14ac:dyDescent="0.3">
      <c r="B40" s="8" t="s">
        <v>127</v>
      </c>
      <c r="C40" s="8" t="s">
        <v>180</v>
      </c>
      <c r="D40" s="8" t="s">
        <v>311</v>
      </c>
      <c r="E40" s="8" t="s">
        <v>178</v>
      </c>
      <c r="F40" s="10">
        <v>1294</v>
      </c>
      <c r="G40" s="10">
        <f>1294*0.201</f>
        <v>260.09399999999999</v>
      </c>
      <c r="H40" s="10">
        <f>1294*0.373</f>
        <v>482.66199999999998</v>
      </c>
      <c r="I40" s="10">
        <f>1294*0.26</f>
        <v>336.44</v>
      </c>
      <c r="J40" s="10">
        <f>Table2[[#This Row],[Habitantes]]-G40-H40-I40</f>
        <v>214.80399999999992</v>
      </c>
      <c r="K40" s="13">
        <v>9.8599999999999993E-2</v>
      </c>
      <c r="L40" s="8">
        <v>30450</v>
      </c>
      <c r="M40" s="11">
        <f>Table2[[#This Row],[Habitantes]]/Table2[[#This Row],[Extensión (km^2)]]</f>
        <v>13123.7322515213</v>
      </c>
      <c r="N40" s="11"/>
      <c r="Q40" s="8"/>
      <c r="S40" s="11"/>
      <c r="T40" s="13"/>
      <c r="U40" s="10"/>
    </row>
    <row r="41" spans="2:21" x14ac:dyDescent="0.3">
      <c r="B41" s="8" t="s">
        <v>127</v>
      </c>
      <c r="C41" s="8" t="s">
        <v>180</v>
      </c>
      <c r="D41" s="8" t="s">
        <v>311</v>
      </c>
      <c r="E41" s="8" t="s">
        <v>148</v>
      </c>
      <c r="F41" s="10">
        <v>1195</v>
      </c>
      <c r="G41" s="10">
        <f>1195*0.238</f>
        <v>284.40999999999997</v>
      </c>
      <c r="H41" s="10">
        <f>1195*0.39</f>
        <v>466.05</v>
      </c>
      <c r="I41" s="10">
        <f>1195*0.239</f>
        <v>285.60499999999996</v>
      </c>
      <c r="J41" s="10">
        <f>Table2[[#This Row],[Habitantes]]-G41-H41-I41</f>
        <v>158.93500000000006</v>
      </c>
      <c r="K41" s="13">
        <v>6.3299999999999995E-2</v>
      </c>
      <c r="L41" s="8">
        <v>29400</v>
      </c>
      <c r="M41" s="11">
        <f>Table2[[#This Row],[Habitantes]]/Table2[[#This Row],[Extensión (km^2)]]</f>
        <v>18878.357030015799</v>
      </c>
      <c r="N41" s="11"/>
      <c r="Q41" s="8"/>
      <c r="S41" s="11"/>
      <c r="T41" s="13"/>
      <c r="U41" s="10"/>
    </row>
    <row r="42" spans="2:21" x14ac:dyDescent="0.3">
      <c r="B42" s="8" t="s">
        <v>127</v>
      </c>
      <c r="C42" s="8" t="s">
        <v>180</v>
      </c>
      <c r="D42" s="8" t="s">
        <v>311</v>
      </c>
      <c r="E42" s="8" t="s">
        <v>153</v>
      </c>
      <c r="F42" s="10">
        <v>1432</v>
      </c>
      <c r="G42" s="10">
        <f>1432*0.214</f>
        <v>306.44799999999998</v>
      </c>
      <c r="H42" s="10">
        <f>1432*0.398</f>
        <v>569.93600000000004</v>
      </c>
      <c r="I42" s="10">
        <f>1432*0.246</f>
        <v>352.27199999999999</v>
      </c>
      <c r="J42" s="10">
        <f>Table2[[#This Row],[Habitantes]]-G42-H42-I42</f>
        <v>203.34400000000011</v>
      </c>
      <c r="K42" s="13">
        <v>7.9200000000000007E-2</v>
      </c>
      <c r="L42" s="8">
        <v>27650</v>
      </c>
      <c r="M42" s="11">
        <f>Table2[[#This Row],[Habitantes]]/Table2[[#This Row],[Extensión (km^2)]]</f>
        <v>18080.808080808078</v>
      </c>
      <c r="N42" s="11"/>
      <c r="Q42" s="8"/>
      <c r="S42" s="11"/>
      <c r="T42" s="13"/>
      <c r="U42" s="10"/>
    </row>
    <row r="43" spans="2:21" x14ac:dyDescent="0.3">
      <c r="B43" s="8" t="s">
        <v>127</v>
      </c>
      <c r="C43" s="8" t="s">
        <v>180</v>
      </c>
      <c r="D43" s="8" t="s">
        <v>311</v>
      </c>
      <c r="E43" s="8" t="s">
        <v>135</v>
      </c>
      <c r="F43" s="10">
        <v>1391</v>
      </c>
      <c r="G43" s="10">
        <f>1391*0.192</f>
        <v>267.072</v>
      </c>
      <c r="H43" s="10">
        <f>1391*0.417</f>
        <v>580.04700000000003</v>
      </c>
      <c r="I43" s="10">
        <f>1391*0.221</f>
        <v>307.411</v>
      </c>
      <c r="J43" s="10">
        <f>Table2[[#This Row],[Habitantes]]-G43-H43-I43</f>
        <v>236.46999999999986</v>
      </c>
      <c r="K43" s="13">
        <v>0.13200000000000001</v>
      </c>
      <c r="L43" s="8">
        <v>27650</v>
      </c>
      <c r="M43" s="11">
        <f>Table2[[#This Row],[Habitantes]]/Table2[[#This Row],[Extensión (km^2)]]</f>
        <v>10537.878787878788</v>
      </c>
      <c r="N43" s="11"/>
      <c r="Q43" s="8"/>
      <c r="S43" s="11"/>
      <c r="T43" s="13"/>
      <c r="U43" s="10"/>
    </row>
    <row r="44" spans="2:21" x14ac:dyDescent="0.3">
      <c r="B44" s="8" t="s">
        <v>127</v>
      </c>
      <c r="C44" s="8" t="s">
        <v>180</v>
      </c>
      <c r="D44" s="8" t="s">
        <v>311</v>
      </c>
      <c r="E44" s="8" t="s">
        <v>177</v>
      </c>
      <c r="F44" s="10">
        <v>1795</v>
      </c>
      <c r="G44" s="10">
        <f>1795*0.232</f>
        <v>416.44</v>
      </c>
      <c r="H44" s="10">
        <f>1795*0.414</f>
        <v>743.13</v>
      </c>
      <c r="I44" s="10">
        <f>1795*0.223</f>
        <v>400.28500000000003</v>
      </c>
      <c r="J44" s="10">
        <f>Table2[[#This Row],[Habitantes]]-G44-H44-I44</f>
        <v>235.14499999999992</v>
      </c>
      <c r="K44" s="13">
        <v>8.1199999999999994E-2</v>
      </c>
      <c r="L44" s="8">
        <v>25550</v>
      </c>
      <c r="M44" s="11">
        <f>Table2[[#This Row],[Habitantes]]/Table2[[#This Row],[Extensión (km^2)]]</f>
        <v>22105.911330049261</v>
      </c>
      <c r="N44" s="11"/>
      <c r="Q44" s="8"/>
      <c r="S44" s="11"/>
      <c r="T44" s="13"/>
      <c r="U44" s="10"/>
    </row>
    <row r="45" spans="2:21" x14ac:dyDescent="0.3">
      <c r="B45" s="8" t="s">
        <v>127</v>
      </c>
      <c r="C45" s="8" t="s">
        <v>180</v>
      </c>
      <c r="D45" s="8" t="s">
        <v>311</v>
      </c>
      <c r="E45" s="8" t="s">
        <v>150</v>
      </c>
      <c r="F45" s="10">
        <v>1786</v>
      </c>
      <c r="G45" s="10">
        <f>1786*0.164</f>
        <v>292.904</v>
      </c>
      <c r="H45" s="10">
        <f>1786*0.362</f>
        <v>646.53199999999993</v>
      </c>
      <c r="I45" s="10">
        <f>1786*0.211</f>
        <v>376.846</v>
      </c>
      <c r="J45" s="10">
        <f>Table2[[#This Row],[Habitantes]]-G45-H45-I45</f>
        <v>469.71800000000007</v>
      </c>
      <c r="K45" s="13">
        <v>0.158</v>
      </c>
      <c r="L45" s="8">
        <v>28350</v>
      </c>
      <c r="M45" s="11">
        <f>Table2[[#This Row],[Habitantes]]/Table2[[#This Row],[Extensión (km^2)]]</f>
        <v>11303.797468354431</v>
      </c>
      <c r="N45" s="11"/>
      <c r="Q45" s="8"/>
      <c r="S45" s="11"/>
      <c r="T45" s="13"/>
      <c r="U45" s="10"/>
    </row>
    <row r="46" spans="2:21" x14ac:dyDescent="0.3">
      <c r="B46" s="8" t="s">
        <v>127</v>
      </c>
      <c r="C46" s="8" t="s">
        <v>180</v>
      </c>
      <c r="D46" s="8" t="s">
        <v>311</v>
      </c>
      <c r="E46" s="8" t="s">
        <v>179</v>
      </c>
      <c r="F46" s="10">
        <v>2790</v>
      </c>
      <c r="G46" s="10">
        <f>2790*0.27</f>
        <v>753.30000000000007</v>
      </c>
      <c r="H46" s="10">
        <f>2790*0.497</f>
        <v>1386.6299999999999</v>
      </c>
      <c r="I46" s="10">
        <f>2790*0.133</f>
        <v>371.07</v>
      </c>
      <c r="J46" s="10">
        <f>Table2[[#This Row],[Habitantes]]-G46-H46-I46</f>
        <v>278.99999999999994</v>
      </c>
      <c r="K46" s="13">
        <v>0.56000000000000005</v>
      </c>
      <c r="L46" s="8">
        <v>26950</v>
      </c>
      <c r="M46" s="11">
        <f>Table2[[#This Row],[Habitantes]]/Table2[[#This Row],[Extensión (km^2)]]</f>
        <v>4982.1428571428569</v>
      </c>
      <c r="N46" s="11"/>
      <c r="Q46" s="8"/>
      <c r="S46" s="11"/>
      <c r="T46" s="13"/>
      <c r="U46" s="10"/>
    </row>
    <row r="47" spans="2:21" x14ac:dyDescent="0.3">
      <c r="B47" s="8" t="s">
        <v>124</v>
      </c>
      <c r="C47" s="8" t="s">
        <v>133</v>
      </c>
      <c r="D47" s="8" t="s">
        <v>308</v>
      </c>
      <c r="E47" s="8" t="s">
        <v>150</v>
      </c>
      <c r="F47" s="10">
        <v>2495</v>
      </c>
      <c r="G47" s="10">
        <f>2495*0.224</f>
        <v>558.88</v>
      </c>
      <c r="H47" s="10">
        <f>2495*0.362</f>
        <v>903.18999999999994</v>
      </c>
      <c r="I47" s="10">
        <f>2495*0.218</f>
        <v>543.91</v>
      </c>
      <c r="J47" s="10">
        <f>Table2[[#This Row],[Habitantes]]-G47-H47-I47</f>
        <v>489.01999999999987</v>
      </c>
      <c r="K47" s="13">
        <v>2.39</v>
      </c>
      <c r="L47" s="10">
        <v>34650</v>
      </c>
      <c r="M47" s="11">
        <f>Table2[[#This Row],[Habitantes]]/Table2[[#This Row],[Extensión (km^2)]]</f>
        <v>1043.9330543933054</v>
      </c>
      <c r="N47" s="11"/>
      <c r="Q47" s="8"/>
      <c r="S47" s="11"/>
      <c r="T47" s="13"/>
      <c r="U47" s="10"/>
    </row>
    <row r="48" spans="2:21" x14ac:dyDescent="0.3">
      <c r="B48" s="8" t="s">
        <v>124</v>
      </c>
      <c r="C48" s="8" t="s">
        <v>133</v>
      </c>
      <c r="D48" s="8" t="s">
        <v>308</v>
      </c>
      <c r="E48" s="8" t="s">
        <v>151</v>
      </c>
      <c r="F48" s="10">
        <v>2217</v>
      </c>
      <c r="G48" s="10">
        <f>2217*0.225</f>
        <v>498.82499999999999</v>
      </c>
      <c r="H48" s="10">
        <f>2217*0.358</f>
        <v>793.68599999999992</v>
      </c>
      <c r="I48" s="10">
        <f>2495*0.189</f>
        <v>471.55500000000001</v>
      </c>
      <c r="J48" s="10">
        <f>Table2[[#This Row],[Habitantes]]-G48-H48-I48</f>
        <v>452.93400000000003</v>
      </c>
      <c r="K48" s="13">
        <v>3.19</v>
      </c>
      <c r="L48" s="10">
        <v>33950</v>
      </c>
      <c r="M48" s="11">
        <f>Table2[[#This Row],[Habitantes]]/Table2[[#This Row],[Extensión (km^2)]]</f>
        <v>694.98432601880882</v>
      </c>
      <c r="N48" s="11"/>
      <c r="Q48" s="8"/>
      <c r="S48" s="11"/>
      <c r="T48" s="13"/>
      <c r="U48" s="10"/>
    </row>
    <row r="49" spans="2:21" x14ac:dyDescent="0.3">
      <c r="B49" s="8" t="s">
        <v>124</v>
      </c>
      <c r="C49" s="8" t="s">
        <v>133</v>
      </c>
      <c r="D49" s="8" t="s">
        <v>308</v>
      </c>
      <c r="E49" s="8" t="s">
        <v>152</v>
      </c>
      <c r="F49" s="10">
        <v>1967</v>
      </c>
      <c r="G49" s="10">
        <f>1967*0.27</f>
        <v>531.09</v>
      </c>
      <c r="H49" s="10">
        <f>1967*0.414</f>
        <v>814.33799999999997</v>
      </c>
      <c r="I49" s="10">
        <f>1967*0.216</f>
        <v>424.87200000000001</v>
      </c>
      <c r="J49" s="10">
        <f>Table2[[#This Row],[Habitantes]]-G49-H49-I49</f>
        <v>196.69999999999987</v>
      </c>
      <c r="K49" s="13">
        <v>0.81200000000000006</v>
      </c>
      <c r="L49" s="10">
        <v>33250</v>
      </c>
      <c r="M49" s="11">
        <f>Table2[[#This Row],[Habitantes]]/Table2[[#This Row],[Extensión (km^2)]]</f>
        <v>2422.4137931034479</v>
      </c>
      <c r="N49" s="11"/>
      <c r="Q49" s="8"/>
      <c r="S49" s="11"/>
      <c r="T49" s="13"/>
      <c r="U49" s="10"/>
    </row>
    <row r="50" spans="2:21" x14ac:dyDescent="0.3">
      <c r="B50" s="8" t="s">
        <v>124</v>
      </c>
      <c r="C50" s="8" t="s">
        <v>133</v>
      </c>
      <c r="D50" s="8" t="s">
        <v>308</v>
      </c>
      <c r="E50" s="8" t="s">
        <v>153</v>
      </c>
      <c r="F50" s="10">
        <f>2690</f>
        <v>2690</v>
      </c>
      <c r="G50" s="10">
        <f>2690*0.377</f>
        <v>1014.13</v>
      </c>
      <c r="H50" s="10">
        <f>2690*0.413</f>
        <v>1110.97</v>
      </c>
      <c r="I50" s="10">
        <f>2690*0.16</f>
        <v>430.40000000000003</v>
      </c>
      <c r="J50" s="10">
        <f>Table2[[#This Row],[Habitantes]]-G50-H50-I50</f>
        <v>134.49999999999983</v>
      </c>
      <c r="K50" s="13">
        <v>0.28199999999999997</v>
      </c>
      <c r="L50" s="10">
        <v>36050</v>
      </c>
      <c r="M50" s="11">
        <f>Table2[[#This Row],[Habitantes]]/Table2[[#This Row],[Extensión (km^2)]]</f>
        <v>9539.0070921985825</v>
      </c>
      <c r="N50" s="11"/>
      <c r="Q50" s="8"/>
      <c r="S50" s="11"/>
      <c r="T50" s="13"/>
      <c r="U50" s="10"/>
    </row>
    <row r="51" spans="2:21" x14ac:dyDescent="0.3">
      <c r="B51" s="8" t="s">
        <v>124</v>
      </c>
      <c r="C51" s="8" t="s">
        <v>133</v>
      </c>
      <c r="D51" s="8" t="s">
        <v>308</v>
      </c>
      <c r="E51" s="8" t="s">
        <v>154</v>
      </c>
      <c r="F51" s="10">
        <v>2574</v>
      </c>
      <c r="G51" s="10">
        <f>2574*0.383</f>
        <v>985.84199999999998</v>
      </c>
      <c r="H51" s="10">
        <f>2574*0.422</f>
        <v>1086.2280000000001</v>
      </c>
      <c r="I51" s="10">
        <f>2574*0.157</f>
        <v>404.11799999999999</v>
      </c>
      <c r="J51" s="10">
        <f>Table2[[#This Row],[Habitantes]]-G51-H51-I51</f>
        <v>97.811999999999841</v>
      </c>
      <c r="K51" s="13">
        <v>0.36199999999999999</v>
      </c>
      <c r="L51" s="10">
        <v>33950</v>
      </c>
      <c r="M51" s="11">
        <f>Table2[[#This Row],[Habitantes]]/Table2[[#This Row],[Extensión (km^2)]]</f>
        <v>7110.4972375690613</v>
      </c>
      <c r="N51" s="11"/>
      <c r="Q51" s="8"/>
      <c r="S51" s="11"/>
      <c r="T51" s="13"/>
      <c r="U51" s="10"/>
    </row>
    <row r="52" spans="2:21" x14ac:dyDescent="0.3">
      <c r="B52" s="8" t="s">
        <v>124</v>
      </c>
      <c r="C52" s="8" t="s">
        <v>133</v>
      </c>
      <c r="D52" s="8" t="s">
        <v>308</v>
      </c>
      <c r="E52" s="8" t="s">
        <v>125</v>
      </c>
      <c r="F52" s="10">
        <f>3500</f>
        <v>3500</v>
      </c>
      <c r="G52" s="10">
        <f>3500*0.324</f>
        <v>1134</v>
      </c>
      <c r="H52" s="10">
        <f>3500*0.403</f>
        <v>1410.5</v>
      </c>
      <c r="I52" s="10">
        <f>3500*0.15</f>
        <v>525</v>
      </c>
      <c r="J52" s="10">
        <f>Table2[[#This Row],[Habitantes]]-G52-H52-I52</f>
        <v>430.5</v>
      </c>
      <c r="K52" s="13">
        <v>3.16</v>
      </c>
      <c r="L52" s="10">
        <v>36050</v>
      </c>
      <c r="M52" s="11">
        <f>Table2[[#This Row],[Habitantes]]/Table2[[#This Row],[Extensión (km^2)]]</f>
        <v>1107.5949367088608</v>
      </c>
      <c r="N52" s="11"/>
      <c r="Q52" s="8"/>
      <c r="S52" s="13"/>
    </row>
    <row r="53" spans="2:21" x14ac:dyDescent="0.3">
      <c r="B53" s="8" t="s">
        <v>124</v>
      </c>
      <c r="C53" s="8" t="s">
        <v>133</v>
      </c>
      <c r="D53" s="8" t="s">
        <v>308</v>
      </c>
      <c r="E53" s="8" t="s">
        <v>126</v>
      </c>
      <c r="F53" s="10">
        <f>1385</f>
        <v>1385</v>
      </c>
      <c r="G53" s="10">
        <f>1385*0.177</f>
        <v>245.14499999999998</v>
      </c>
      <c r="H53" s="10">
        <f>1385*0.33</f>
        <v>457.05</v>
      </c>
      <c r="I53" s="10">
        <f>1385*0.232</f>
        <v>321.32</v>
      </c>
      <c r="J53" s="10">
        <f>Table2[[#This Row],[Habitantes]]-G53-H53-I53</f>
        <v>361.48500000000007</v>
      </c>
      <c r="K53" s="13">
        <v>0.85899999999999999</v>
      </c>
      <c r="L53" s="10">
        <v>33250</v>
      </c>
      <c r="M53" s="11">
        <f>Table2[[#This Row],[Habitantes]]/Table2[[#This Row],[Extensión (km^2)]]</f>
        <v>1612.3399301513389</v>
      </c>
      <c r="N53" s="11"/>
      <c r="Q53" s="8"/>
      <c r="S53" s="13"/>
    </row>
    <row r="54" spans="2:21" x14ac:dyDescent="0.3">
      <c r="B54" s="8" t="s">
        <v>124</v>
      </c>
      <c r="C54" s="8" t="s">
        <v>133</v>
      </c>
      <c r="D54" s="8" t="s">
        <v>308</v>
      </c>
      <c r="E54" s="8" t="s">
        <v>123</v>
      </c>
      <c r="F54" s="10">
        <f>1578</f>
        <v>1578</v>
      </c>
      <c r="G54" s="10">
        <f>1578*0.253</f>
        <v>399.23399999999998</v>
      </c>
      <c r="H54" s="10">
        <f>1578*0.379</f>
        <v>598.06200000000001</v>
      </c>
      <c r="I54" s="10">
        <f>1578*0.226</f>
        <v>356.62799999999999</v>
      </c>
      <c r="J54" s="10">
        <f>Table2[[#This Row],[Habitantes]]-G54-H54-I54</f>
        <v>224.07600000000008</v>
      </c>
      <c r="K54" s="13">
        <f>0.997</f>
        <v>0.997</v>
      </c>
      <c r="L54" s="10">
        <v>31150</v>
      </c>
      <c r="M54" s="11">
        <f>Table2[[#This Row],[Habitantes]]/Table2[[#This Row],[Extensión (km^2)]]</f>
        <v>1582.7482447342027</v>
      </c>
      <c r="N54" s="11"/>
      <c r="Q54" s="8"/>
      <c r="S54" s="13"/>
    </row>
    <row r="55" spans="2:21" x14ac:dyDescent="0.3">
      <c r="B55" s="8" t="s">
        <v>124</v>
      </c>
      <c r="C55" s="8" t="s">
        <v>133</v>
      </c>
      <c r="D55" s="8" t="s">
        <v>308</v>
      </c>
      <c r="E55" s="8" t="s">
        <v>158</v>
      </c>
      <c r="F55" s="10">
        <v>853</v>
      </c>
      <c r="G55" s="10">
        <f>853*0.203</f>
        <v>173.15900000000002</v>
      </c>
      <c r="H55" s="10">
        <f>853*0.32</f>
        <v>272.95999999999998</v>
      </c>
      <c r="I55" s="10">
        <f>853*0.177</f>
        <v>150.98099999999999</v>
      </c>
      <c r="J55" s="10">
        <f>Table2[[#This Row],[Habitantes]]-G55-H55-I55</f>
        <v>255.90000000000003</v>
      </c>
      <c r="K55" s="13">
        <v>1.75</v>
      </c>
      <c r="L55" s="10">
        <v>36050</v>
      </c>
      <c r="M55" s="11">
        <f>Table2[[#This Row],[Habitantes]]/Table2[[#This Row],[Extensión (km^2)]]</f>
        <v>487.42857142857144</v>
      </c>
      <c r="N55" s="11"/>
      <c r="Q55" s="8"/>
      <c r="S55" s="13"/>
    </row>
    <row r="56" spans="2:21" x14ac:dyDescent="0.3">
      <c r="B56" s="8" t="s">
        <v>118</v>
      </c>
      <c r="C56" s="8" t="s">
        <v>133</v>
      </c>
      <c r="D56" s="8" t="s">
        <v>308</v>
      </c>
      <c r="E56" s="8" t="s">
        <v>156</v>
      </c>
      <c r="F56" s="10">
        <v>1276</v>
      </c>
      <c r="G56" s="10">
        <f>1276*0.345</f>
        <v>440.21999999999997</v>
      </c>
      <c r="H56" s="10">
        <f>1276*0.499</f>
        <v>636.72400000000005</v>
      </c>
      <c r="I56" s="10">
        <f>1276*0.119</f>
        <v>151.84399999999999</v>
      </c>
      <c r="J56" s="10">
        <f>Table2[[#This Row],[Habitantes]]-G56-H56-I56</f>
        <v>47.211999999999932</v>
      </c>
      <c r="K56" s="13">
        <v>0.82799999999999996</v>
      </c>
      <c r="L56" s="8">
        <v>36050</v>
      </c>
      <c r="M56" s="11">
        <f>Table2[[#This Row],[Habitantes]]/Table2[[#This Row],[Extensión (km^2)]]</f>
        <v>1541.0628019323672</v>
      </c>
      <c r="N56" s="11"/>
      <c r="Q56" s="8"/>
      <c r="S56" s="13"/>
    </row>
    <row r="57" spans="2:21" x14ac:dyDescent="0.3">
      <c r="B57" s="8" t="s">
        <v>118</v>
      </c>
      <c r="C57" s="8" t="s">
        <v>133</v>
      </c>
      <c r="D57" s="8" t="s">
        <v>308</v>
      </c>
      <c r="E57" s="8" t="s">
        <v>157</v>
      </c>
      <c r="F57" s="10">
        <v>2281</v>
      </c>
      <c r="G57" s="10">
        <f>2281*0.335</f>
        <v>764.13499999999999</v>
      </c>
      <c r="H57" s="10">
        <f>2281*0.378</f>
        <v>862.21799999999996</v>
      </c>
      <c r="I57" s="10">
        <f>2281*0.214</f>
        <v>488.13400000000001</v>
      </c>
      <c r="J57" s="10">
        <f>Table2[[#This Row],[Habitantes]]-G57-H57-I57</f>
        <v>166.51300000000003</v>
      </c>
      <c r="K57" s="13">
        <v>0.22700000000000001</v>
      </c>
      <c r="L57" s="8">
        <v>33950</v>
      </c>
      <c r="M57" s="11">
        <f>Table2[[#This Row],[Habitantes]]/Table2[[#This Row],[Extensión (km^2)]]</f>
        <v>10048.458149779735</v>
      </c>
      <c r="N57" s="11"/>
      <c r="Q57" s="8"/>
      <c r="S57" s="13"/>
    </row>
    <row r="58" spans="2:21" x14ac:dyDescent="0.3">
      <c r="B58" s="8" t="s">
        <v>118</v>
      </c>
      <c r="C58" s="8" t="s">
        <v>133</v>
      </c>
      <c r="D58" s="8" t="s">
        <v>308</v>
      </c>
      <c r="E58" s="8" t="s">
        <v>162</v>
      </c>
      <c r="F58" s="10">
        <v>1587</v>
      </c>
      <c r="G58" s="10">
        <f>1587*0.235</f>
        <v>372.94499999999999</v>
      </c>
      <c r="H58" s="10">
        <f>1587*0.341</f>
        <v>541.16700000000003</v>
      </c>
      <c r="I58" s="10">
        <f>1587*0.182</f>
        <v>288.834</v>
      </c>
      <c r="J58" s="10">
        <f>Table2[[#This Row],[Habitantes]]-G58-H58-I58</f>
        <v>384.05400000000003</v>
      </c>
      <c r="K58" s="13">
        <v>0.44600000000000001</v>
      </c>
      <c r="L58" s="8">
        <v>36750</v>
      </c>
      <c r="M58" s="11">
        <f>Table2[[#This Row],[Habitantes]]/Table2[[#This Row],[Extensión (km^2)]]</f>
        <v>3558.2959641255607</v>
      </c>
      <c r="N58" s="11"/>
      <c r="Q58" s="8"/>
      <c r="S58" s="13"/>
    </row>
    <row r="59" spans="2:21" x14ac:dyDescent="0.3">
      <c r="B59" s="8" t="s">
        <v>118</v>
      </c>
      <c r="C59" s="8" t="s">
        <v>133</v>
      </c>
      <c r="D59" s="8" t="s">
        <v>308</v>
      </c>
      <c r="E59" s="8" t="s">
        <v>163</v>
      </c>
      <c r="F59" s="10">
        <v>1214</v>
      </c>
      <c r="G59" s="10">
        <f>1214*0.222</f>
        <v>269.50799999999998</v>
      </c>
      <c r="H59" s="10">
        <f>1214*0.389</f>
        <v>472.24600000000004</v>
      </c>
      <c r="I59" s="10">
        <f>1214*0.214</f>
        <v>259.79599999999999</v>
      </c>
      <c r="J59" s="10">
        <f>Table2[[#This Row],[Habitantes]]-G59-H59-I59</f>
        <v>212.44999999999993</v>
      </c>
      <c r="K59" s="13">
        <v>0.11600000000000001</v>
      </c>
      <c r="L59" s="8">
        <v>26250</v>
      </c>
      <c r="M59" s="11">
        <f>Table2[[#This Row],[Habitantes]]/Table2[[#This Row],[Extensión (km^2)]]</f>
        <v>10465.51724137931</v>
      </c>
      <c r="N59" s="11"/>
      <c r="Q59" s="8"/>
      <c r="S59" s="13"/>
    </row>
    <row r="60" spans="2:21" x14ac:dyDescent="0.3">
      <c r="B60" s="8" t="s">
        <v>118</v>
      </c>
      <c r="C60" s="8" t="s">
        <v>133</v>
      </c>
      <c r="D60" s="8" t="s">
        <v>308</v>
      </c>
      <c r="E60" s="8" t="s">
        <v>164</v>
      </c>
      <c r="F60" s="10">
        <v>1063</v>
      </c>
      <c r="G60" s="10">
        <f>1063*0.195</f>
        <v>207.285</v>
      </c>
      <c r="H60" s="10">
        <f>1063*0.375</f>
        <v>398.625</v>
      </c>
      <c r="I60" s="10">
        <f>1063*0.208</f>
        <v>221.10399999999998</v>
      </c>
      <c r="J60" s="10">
        <f>Table2[[#This Row],[Habitantes]]-G60-H60-I60</f>
        <v>235.98600000000005</v>
      </c>
      <c r="K60" s="13">
        <v>0.16500000000000001</v>
      </c>
      <c r="L60" s="8">
        <v>28350</v>
      </c>
      <c r="M60" s="11">
        <f>Table2[[#This Row],[Habitantes]]/Table2[[#This Row],[Extensión (km^2)]]</f>
        <v>6442.424242424242</v>
      </c>
      <c r="N60" s="11"/>
      <c r="Q60" s="8"/>
      <c r="S60" s="13"/>
    </row>
    <row r="61" spans="2:21" x14ac:dyDescent="0.3">
      <c r="B61" s="8" t="s">
        <v>118</v>
      </c>
      <c r="C61" s="8" t="s">
        <v>133</v>
      </c>
      <c r="D61" s="8" t="s">
        <v>308</v>
      </c>
      <c r="E61" s="8" t="s">
        <v>165</v>
      </c>
      <c r="F61" s="10">
        <v>2747</v>
      </c>
      <c r="G61" s="10">
        <f>2747*0.322</f>
        <v>884.53399999999999</v>
      </c>
      <c r="H61" s="10">
        <f>2747*0.368</f>
        <v>1010.896</v>
      </c>
      <c r="I61" s="10">
        <f>2747*0.182</f>
        <v>499.95400000000001</v>
      </c>
      <c r="J61" s="10">
        <f>Table2[[#This Row],[Habitantes]]-G61-H61-I61</f>
        <v>351.61599999999993</v>
      </c>
      <c r="K61" s="13">
        <v>0.19</v>
      </c>
      <c r="L61" s="8">
        <v>36750</v>
      </c>
      <c r="M61" s="11">
        <f>Table2[[#This Row],[Habitantes]]/Table2[[#This Row],[Extensión (km^2)]]</f>
        <v>14457.894736842105</v>
      </c>
      <c r="N61" s="11"/>
      <c r="Q61" s="8"/>
      <c r="S61" s="13"/>
    </row>
    <row r="62" spans="2:21" x14ac:dyDescent="0.3">
      <c r="B62" s="8" t="s">
        <v>118</v>
      </c>
      <c r="C62" s="8" t="s">
        <v>133</v>
      </c>
      <c r="D62" s="8" t="s">
        <v>308</v>
      </c>
      <c r="E62" s="8" t="s">
        <v>168</v>
      </c>
      <c r="F62" s="10">
        <v>2385</v>
      </c>
      <c r="G62" s="10">
        <f>2385*0.372</f>
        <v>887.22</v>
      </c>
      <c r="H62" s="10">
        <f>2385*0.399</f>
        <v>951.61500000000001</v>
      </c>
      <c r="I62" s="10">
        <f>2385*0.156</f>
        <v>372.06</v>
      </c>
      <c r="J62" s="10">
        <f>Table2[[#This Row],[Habitantes]]-G62-H62-I62</f>
        <v>174.10499999999996</v>
      </c>
      <c r="K62" s="13">
        <v>0.19500000000000001</v>
      </c>
      <c r="L62" s="8">
        <v>36750</v>
      </c>
      <c r="M62" s="11">
        <f>Table2[[#This Row],[Habitantes]]/Table2[[#This Row],[Extensión (km^2)]]</f>
        <v>12230.76923076923</v>
      </c>
      <c r="N62" s="11"/>
      <c r="Q62" s="8"/>
      <c r="S62" s="13"/>
    </row>
    <row r="63" spans="2:21" x14ac:dyDescent="0.3">
      <c r="B63" s="8" t="s">
        <v>118</v>
      </c>
      <c r="C63" s="8" t="s">
        <v>133</v>
      </c>
      <c r="D63" s="8" t="s">
        <v>308</v>
      </c>
      <c r="E63" s="8" t="s">
        <v>167</v>
      </c>
      <c r="F63" s="10">
        <v>1418</v>
      </c>
      <c r="G63" s="10">
        <f>1418*0.258</f>
        <v>365.84399999999999</v>
      </c>
      <c r="H63" s="10">
        <f>1418*0.346</f>
        <v>490.62799999999999</v>
      </c>
      <c r="I63" s="10">
        <f>1418*0.22</f>
        <v>311.95999999999998</v>
      </c>
      <c r="J63" s="10">
        <f>Table2[[#This Row],[Habitantes]]-G63-H63-I63</f>
        <v>249.56800000000004</v>
      </c>
      <c r="K63" s="13">
        <v>0.33300000000000002</v>
      </c>
      <c r="L63" s="8">
        <v>36750</v>
      </c>
      <c r="M63" s="11">
        <f>Table2[[#This Row],[Habitantes]]/Table2[[#This Row],[Extensión (km^2)]]</f>
        <v>4258.2582582582581</v>
      </c>
      <c r="N63" s="11"/>
      <c r="Q63" s="8"/>
      <c r="S63" s="13"/>
    </row>
    <row r="64" spans="2:21" x14ac:dyDescent="0.3">
      <c r="B64" s="8" t="s">
        <v>118</v>
      </c>
      <c r="C64" s="8" t="s">
        <v>133</v>
      </c>
      <c r="D64" s="8" t="s">
        <v>308</v>
      </c>
      <c r="E64" s="8" t="s">
        <v>166</v>
      </c>
      <c r="F64" s="10">
        <f>2636</f>
        <v>2636</v>
      </c>
      <c r="G64" s="10">
        <f>2636*0.287</f>
        <v>756.53199999999993</v>
      </c>
      <c r="H64" s="10">
        <f>2636*0.362</f>
        <v>954.23199999999997</v>
      </c>
      <c r="I64" s="10">
        <f>2636*0.229</f>
        <v>603.64400000000001</v>
      </c>
      <c r="J64" s="10">
        <f>Table2[[#This Row],[Habitantes]]-G64-H64-I64</f>
        <v>321.5920000000001</v>
      </c>
      <c r="K64" s="13">
        <v>0.45300000000000001</v>
      </c>
      <c r="L64" s="8">
        <v>33950</v>
      </c>
      <c r="M64" s="11">
        <f>Table2[[#This Row],[Habitantes]]/Table2[[#This Row],[Extensión (km^2)]]</f>
        <v>5818.9845474613685</v>
      </c>
      <c r="N64" s="11"/>
      <c r="Q64" s="8"/>
      <c r="S64" s="13"/>
    </row>
    <row r="65" spans="2:19" x14ac:dyDescent="0.3">
      <c r="B65" s="8" t="s">
        <v>118</v>
      </c>
      <c r="C65" s="8" t="s">
        <v>133</v>
      </c>
      <c r="D65" s="8" t="s">
        <v>308</v>
      </c>
      <c r="E65" s="8" t="s">
        <v>169</v>
      </c>
      <c r="F65" s="10">
        <v>1528</v>
      </c>
      <c r="G65" s="10">
        <f>1528*0.196</f>
        <v>299.488</v>
      </c>
      <c r="H65" s="10">
        <f>1528*0.358</f>
        <v>547.024</v>
      </c>
      <c r="I65" s="10">
        <f>1528*0.231</f>
        <v>352.96800000000002</v>
      </c>
      <c r="J65" s="10">
        <f>Table2[[#This Row],[Habitantes]]-G65-H65-I65</f>
        <v>328.51999999999992</v>
      </c>
      <c r="K65" s="13">
        <v>0.318</v>
      </c>
      <c r="L65" s="8">
        <v>22950</v>
      </c>
      <c r="M65" s="11">
        <f>Table2[[#This Row],[Habitantes]]/Table2[[#This Row],[Extensión (km^2)]]</f>
        <v>4805.0314465408801</v>
      </c>
      <c r="N65" s="11"/>
      <c r="Q65" s="8"/>
      <c r="S65" s="13"/>
    </row>
    <row r="66" spans="2:19" x14ac:dyDescent="0.3">
      <c r="B66" s="8" t="s">
        <v>118</v>
      </c>
      <c r="C66" s="8" t="s">
        <v>133</v>
      </c>
      <c r="D66" s="8" t="s">
        <v>308</v>
      </c>
      <c r="E66" s="8" t="s">
        <v>151</v>
      </c>
      <c r="F66" s="10">
        <v>1867</v>
      </c>
      <c r="G66" s="10">
        <f>1867*0.209</f>
        <v>390.20299999999997</v>
      </c>
      <c r="H66" s="10">
        <f>1867*0.405</f>
        <v>756.1350000000001</v>
      </c>
      <c r="I66" s="10">
        <f>0.183*1867</f>
        <v>341.661</v>
      </c>
      <c r="J66" s="10">
        <f>Table2[[#This Row],[Habitantes]]-G66-H66-I66</f>
        <v>379.00099999999992</v>
      </c>
      <c r="K66" s="13">
        <v>0.23599999999999999</v>
      </c>
      <c r="L66" s="8">
        <v>29750</v>
      </c>
      <c r="M66" s="11">
        <f>Table2[[#This Row],[Habitantes]]/Table2[[#This Row],[Extensión (km^2)]]</f>
        <v>7911.016949152543</v>
      </c>
      <c r="N66" s="11"/>
      <c r="Q66" s="8"/>
      <c r="S66" s="13"/>
    </row>
    <row r="67" spans="2:19" x14ac:dyDescent="0.3">
      <c r="B67" s="8" t="s">
        <v>118</v>
      </c>
      <c r="C67" s="8" t="s">
        <v>133</v>
      </c>
      <c r="D67" s="8" t="s">
        <v>308</v>
      </c>
      <c r="E67" s="8" t="s">
        <v>170</v>
      </c>
      <c r="F67" s="10">
        <v>1390</v>
      </c>
      <c r="G67" s="10">
        <f>1390*0.173</f>
        <v>240.46999999999997</v>
      </c>
      <c r="H67" s="10">
        <f>1390*0.352</f>
        <v>489.28</v>
      </c>
      <c r="I67" s="10">
        <f>1390*0.185</f>
        <v>257.14999999999998</v>
      </c>
      <c r="J67" s="10">
        <f>Table2[[#This Row],[Habitantes]]-G67-H67-I67</f>
        <v>403.1</v>
      </c>
      <c r="K67" s="13">
        <v>0.183</v>
      </c>
      <c r="L67" s="8">
        <v>32200</v>
      </c>
      <c r="M67" s="11">
        <f>Table2[[#This Row],[Habitantes]]/Table2[[#This Row],[Extensión (km^2)]]</f>
        <v>7595.6284153005463</v>
      </c>
      <c r="N67" s="11"/>
      <c r="Q67" s="8"/>
      <c r="S67" s="13"/>
    </row>
    <row r="68" spans="2:19" x14ac:dyDescent="0.3">
      <c r="B68" s="8" t="s">
        <v>118</v>
      </c>
      <c r="C68" s="8" t="s">
        <v>133</v>
      </c>
      <c r="D68" s="8" t="s">
        <v>308</v>
      </c>
      <c r="E68" s="8" t="s">
        <v>171</v>
      </c>
      <c r="F68" s="10">
        <f>1463</f>
        <v>1463</v>
      </c>
      <c r="G68" s="10">
        <f>1463*0.13</f>
        <v>190.19</v>
      </c>
      <c r="H68" s="10">
        <f>1463*0.342</f>
        <v>500.34600000000006</v>
      </c>
      <c r="I68" s="10">
        <f>1463*0.185</f>
        <v>270.65499999999997</v>
      </c>
      <c r="J68" s="10">
        <f>Table2[[#This Row],[Habitantes]]-G68-H68-I68</f>
        <v>501.80899999999997</v>
      </c>
      <c r="K68" s="13">
        <v>5.3199999999999997E-2</v>
      </c>
      <c r="L68" s="8">
        <v>31150</v>
      </c>
      <c r="M68" s="11">
        <f>Table2[[#This Row],[Habitantes]]/Table2[[#This Row],[Extensión (km^2)]]</f>
        <v>27500</v>
      </c>
      <c r="N68" s="11"/>
      <c r="Q68" s="8"/>
      <c r="S68" s="13"/>
    </row>
    <row r="69" spans="2:19" x14ac:dyDescent="0.3">
      <c r="B69" s="8" t="s">
        <v>118</v>
      </c>
      <c r="C69" s="8" t="s">
        <v>133</v>
      </c>
      <c r="D69" s="8" t="s">
        <v>308</v>
      </c>
      <c r="E69" s="8" t="s">
        <v>172</v>
      </c>
      <c r="F69" s="10">
        <f>1164</f>
        <v>1164</v>
      </c>
      <c r="G69" s="10">
        <f>1164*0.193</f>
        <v>224.65200000000002</v>
      </c>
      <c r="H69" s="10">
        <f>1164*0.335</f>
        <v>389.94</v>
      </c>
      <c r="I69" s="10">
        <f>1164*0.221</f>
        <v>257.24400000000003</v>
      </c>
      <c r="J69" s="10">
        <f>Table2[[#This Row],[Habitantes]]-G69-H69-I69</f>
        <v>292.16399999999987</v>
      </c>
      <c r="K69" s="13">
        <v>0.313</v>
      </c>
      <c r="L69" s="8">
        <v>33250</v>
      </c>
      <c r="M69" s="11">
        <f>Table2[[#This Row],[Habitantes]]/Table2[[#This Row],[Extensión (km^2)]]</f>
        <v>3718.8498402555911</v>
      </c>
      <c r="N69" s="11"/>
      <c r="Q69" s="8"/>
      <c r="S69" s="13"/>
    </row>
    <row r="70" spans="2:19" x14ac:dyDescent="0.3">
      <c r="B70" s="8" t="s">
        <v>118</v>
      </c>
      <c r="C70" s="8" t="s">
        <v>133</v>
      </c>
      <c r="D70" s="8" t="s">
        <v>308</v>
      </c>
      <c r="E70" s="8" t="s">
        <v>173</v>
      </c>
      <c r="F70" s="10">
        <v>1473</v>
      </c>
      <c r="G70" s="10">
        <f>1473*0.211</f>
        <v>310.803</v>
      </c>
      <c r="H70" s="10">
        <f>1473*0.404</f>
        <v>595.09199999999998</v>
      </c>
      <c r="I70" s="10">
        <f>1473*0.198</f>
        <v>291.654</v>
      </c>
      <c r="J70" s="10">
        <f>Table2[[#This Row],[Habitantes]]-G70-H70-I70</f>
        <v>275.45100000000014</v>
      </c>
      <c r="K70" s="13">
        <v>0.125</v>
      </c>
      <c r="L70" s="8">
        <v>31150</v>
      </c>
      <c r="M70" s="11">
        <f>Table2[[#This Row],[Habitantes]]/Table2[[#This Row],[Extensión (km^2)]]</f>
        <v>11784</v>
      </c>
      <c r="N70" s="11"/>
      <c r="Q70" s="8"/>
      <c r="S70" s="13"/>
    </row>
    <row r="71" spans="2:19" x14ac:dyDescent="0.3">
      <c r="B71" s="8" t="s">
        <v>118</v>
      </c>
      <c r="C71" s="8" t="s">
        <v>133</v>
      </c>
      <c r="D71" s="8" t="s">
        <v>308</v>
      </c>
      <c r="E71" s="8" t="s">
        <v>174</v>
      </c>
      <c r="F71" s="10">
        <v>1428</v>
      </c>
      <c r="G71" s="10">
        <f>1428*0.226</f>
        <v>322.72800000000001</v>
      </c>
      <c r="H71" s="10">
        <f>1428*0.386</f>
        <v>551.20799999999997</v>
      </c>
      <c r="I71" s="10">
        <f>1428*0.218</f>
        <v>311.30399999999997</v>
      </c>
      <c r="J71" s="10">
        <f>Table2[[#This Row],[Habitantes]]-G71-H71-I71</f>
        <v>242.76</v>
      </c>
      <c r="K71" s="13">
        <v>0.17100000000000001</v>
      </c>
      <c r="L71" s="8">
        <v>29750</v>
      </c>
      <c r="M71" s="11">
        <f>Table2[[#This Row],[Habitantes]]/Table2[[#This Row],[Extensión (km^2)]]</f>
        <v>8350.8771929824561</v>
      </c>
      <c r="N71" s="11"/>
      <c r="Q71" s="8"/>
      <c r="S71" s="13"/>
    </row>
    <row r="72" spans="2:19" x14ac:dyDescent="0.3">
      <c r="B72" s="8" t="s">
        <v>118</v>
      </c>
      <c r="C72" s="8" t="s">
        <v>133</v>
      </c>
      <c r="D72" s="8" t="s">
        <v>308</v>
      </c>
      <c r="E72" s="8" t="s">
        <v>175</v>
      </c>
      <c r="F72" s="10">
        <f>934</f>
        <v>934</v>
      </c>
      <c r="G72" s="10">
        <f>934*0.233</f>
        <v>217.62200000000001</v>
      </c>
      <c r="H72" s="10">
        <f>934*0.398</f>
        <v>371.73200000000003</v>
      </c>
      <c r="I72" s="10">
        <f>0.187*934</f>
        <v>174.65799999999999</v>
      </c>
      <c r="J72" s="10">
        <f>Table2[[#This Row],[Habitantes]]-G72-H72-I72</f>
        <v>169.98799999999991</v>
      </c>
      <c r="K72" s="13">
        <v>8.6099999999999996E-2</v>
      </c>
      <c r="L72" s="8">
        <v>29050</v>
      </c>
      <c r="M72" s="11">
        <f>Table2[[#This Row],[Habitantes]]/Table2[[#This Row],[Extensión (km^2)]]</f>
        <v>10847.851335656214</v>
      </c>
      <c r="N72" s="11"/>
      <c r="Q72" s="8"/>
      <c r="S72" s="13"/>
    </row>
    <row r="73" spans="2:19" x14ac:dyDescent="0.3">
      <c r="B73" s="8" t="s">
        <v>127</v>
      </c>
      <c r="C73" s="8" t="s">
        <v>133</v>
      </c>
      <c r="D73" s="8" t="s">
        <v>308</v>
      </c>
      <c r="E73" s="8" t="s">
        <v>176</v>
      </c>
      <c r="F73" s="10">
        <v>1442</v>
      </c>
      <c r="G73" s="10">
        <f>1442*0.212</f>
        <v>305.70400000000001</v>
      </c>
      <c r="H73" s="10">
        <f>1442*0.374</f>
        <v>539.30799999999999</v>
      </c>
      <c r="I73" s="10">
        <f>1442*0.23</f>
        <v>331.66</v>
      </c>
      <c r="J73" s="10">
        <f>Table2[[#This Row],[Habitantes]]-G73-H73-I73</f>
        <v>265.32800000000003</v>
      </c>
      <c r="K73" s="13">
        <v>0.27200000000000002</v>
      </c>
      <c r="L73" s="8">
        <v>28700</v>
      </c>
      <c r="M73" s="11">
        <f>Table2[[#This Row],[Habitantes]]/Table2[[#This Row],[Extensión (km^2)]]</f>
        <v>5301.4705882352937</v>
      </c>
    </row>
    <row r="74" spans="2:19" x14ac:dyDescent="0.3">
      <c r="B74" s="8" t="s">
        <v>127</v>
      </c>
      <c r="C74" s="8" t="s">
        <v>133</v>
      </c>
      <c r="D74" s="8" t="s">
        <v>308</v>
      </c>
      <c r="E74" s="8" t="s">
        <v>177</v>
      </c>
      <c r="F74" s="10">
        <v>1795</v>
      </c>
      <c r="G74" s="10">
        <f>1795*0.232</f>
        <v>416.44</v>
      </c>
      <c r="H74" s="10">
        <f>1795*0.414</f>
        <v>743.13</v>
      </c>
      <c r="I74" s="10">
        <f>1795*0.223</f>
        <v>400.28500000000003</v>
      </c>
      <c r="J74" s="10">
        <f>Table2[[#This Row],[Habitantes]]-G74-H74-I74</f>
        <v>235.14499999999992</v>
      </c>
      <c r="K74" s="13">
        <v>0.17</v>
      </c>
      <c r="L74" s="8">
        <v>25550</v>
      </c>
      <c r="M74" s="11">
        <f>Table2[[#This Row],[Habitantes]]/Table2[[#This Row],[Extensión (km^2)]]</f>
        <v>10558.823529411764</v>
      </c>
    </row>
    <row r="75" spans="2:19" x14ac:dyDescent="0.3">
      <c r="B75" s="8" t="s">
        <v>119</v>
      </c>
      <c r="C75" s="8" t="s">
        <v>133</v>
      </c>
      <c r="D75" s="8" t="s">
        <v>308</v>
      </c>
      <c r="E75" s="8" t="s">
        <v>159</v>
      </c>
      <c r="F75" s="10">
        <v>1897</v>
      </c>
      <c r="G75" s="10">
        <f>1897*0.234</f>
        <v>443.89800000000002</v>
      </c>
      <c r="H75" s="10">
        <f>1897*0.36</f>
        <v>682.92</v>
      </c>
      <c r="I75" s="10">
        <f>1897*0.237</f>
        <v>449.589</v>
      </c>
      <c r="J75" s="10">
        <f>Table2[[#This Row],[Habitantes]]-G75-H75-I75</f>
        <v>320.5929999999999</v>
      </c>
      <c r="K75" s="13">
        <v>0.93200000000000005</v>
      </c>
      <c r="L75" s="8">
        <v>31850</v>
      </c>
      <c r="M75" s="11">
        <f>Table2[[#This Row],[Habitantes]]/Table2[[#This Row],[Extensión (km^2)]]</f>
        <v>2035.4077253218884</v>
      </c>
    </row>
    <row r="76" spans="2:19" x14ac:dyDescent="0.3">
      <c r="B76" s="8" t="s">
        <v>119</v>
      </c>
      <c r="C76" s="8" t="s">
        <v>133</v>
      </c>
      <c r="D76" s="8" t="s">
        <v>308</v>
      </c>
      <c r="E76" s="8" t="s">
        <v>153</v>
      </c>
      <c r="F76" s="10">
        <v>1478</v>
      </c>
      <c r="G76" s="10">
        <f>1478*0.223</f>
        <v>329.59399999999999</v>
      </c>
      <c r="H76" s="10">
        <f>1478*0.35</f>
        <v>517.29999999999995</v>
      </c>
      <c r="I76" s="10">
        <f>1478*0.229</f>
        <v>338.46199999999999</v>
      </c>
      <c r="J76" s="10">
        <f>Table2[[#This Row],[Habitantes]]-G76-H76-I76</f>
        <v>292.64400000000001</v>
      </c>
      <c r="K76" s="13">
        <v>2</v>
      </c>
      <c r="L76" s="8">
        <v>36750</v>
      </c>
      <c r="M76" s="11">
        <f>Table2[[#This Row],[Habitantes]]/Table2[[#This Row],[Extensión (km^2)]]</f>
        <v>739</v>
      </c>
    </row>
    <row r="77" spans="2:19" x14ac:dyDescent="0.3">
      <c r="B77" s="8" t="s">
        <v>119</v>
      </c>
      <c r="C77" s="8" t="s">
        <v>133</v>
      </c>
      <c r="D77" s="8" t="s">
        <v>308</v>
      </c>
      <c r="E77" s="8" t="s">
        <v>125</v>
      </c>
      <c r="F77" s="10">
        <v>1311</v>
      </c>
      <c r="G77" s="10">
        <f>1311*0.24</f>
        <v>314.64</v>
      </c>
      <c r="H77" s="10">
        <f>1311*0.334</f>
        <v>437.87400000000002</v>
      </c>
      <c r="I77" s="10">
        <f>1311*0.214</f>
        <v>280.55399999999997</v>
      </c>
      <c r="J77" s="10">
        <f>Table2[[#This Row],[Habitantes]]-G77-H77-I77</f>
        <v>277.93200000000002</v>
      </c>
      <c r="K77" s="13">
        <v>1.1100000000000001</v>
      </c>
      <c r="L77" s="8">
        <v>36750</v>
      </c>
      <c r="M77" s="11">
        <f>Table2[[#This Row],[Habitantes]]/Table2[[#This Row],[Extensión (km^2)]]</f>
        <v>1181.081081081081</v>
      </c>
    </row>
    <row r="78" spans="2:19" x14ac:dyDescent="0.3">
      <c r="B78" s="8" t="s">
        <v>119</v>
      </c>
      <c r="C78" s="8" t="s">
        <v>133</v>
      </c>
      <c r="D78" s="8" t="s">
        <v>308</v>
      </c>
      <c r="E78" s="8" t="s">
        <v>160</v>
      </c>
      <c r="F78" s="10">
        <v>1010</v>
      </c>
      <c r="G78" s="10">
        <f>1010*0.24</f>
        <v>242.39999999999998</v>
      </c>
      <c r="H78" s="10">
        <f>1010*0.348</f>
        <v>351.47999999999996</v>
      </c>
      <c r="I78" s="10">
        <f>1010*0.196</f>
        <v>197.96</v>
      </c>
      <c r="J78" s="10">
        <f>Table2[[#This Row],[Habitantes]]-G78-H78-I78</f>
        <v>218.16000000000005</v>
      </c>
      <c r="K78" s="13">
        <v>0.91400000000000003</v>
      </c>
      <c r="L78" s="8">
        <v>36750</v>
      </c>
      <c r="M78" s="11">
        <f>Table2[[#This Row],[Habitantes]]/Table2[[#This Row],[Extensión (km^2)]]</f>
        <v>1105.0328227571115</v>
      </c>
    </row>
    <row r="79" spans="2:19" x14ac:dyDescent="0.3">
      <c r="B79" s="8" t="s">
        <v>119</v>
      </c>
      <c r="C79" s="8" t="s">
        <v>133</v>
      </c>
      <c r="D79" s="8" t="s">
        <v>308</v>
      </c>
      <c r="E79" s="8" t="s">
        <v>158</v>
      </c>
      <c r="F79" s="10">
        <v>2019</v>
      </c>
      <c r="G79" s="10">
        <f>2019*0.252</f>
        <v>508.78800000000001</v>
      </c>
      <c r="H79" s="10">
        <f>2019*0.34</f>
        <v>686.46</v>
      </c>
      <c r="I79" s="10">
        <f>2019*0.189</f>
        <v>381.59100000000001</v>
      </c>
      <c r="J79" s="10">
        <f>Table2[[#This Row],[Habitantes]]-G79-H79-I79</f>
        <v>442.16099999999994</v>
      </c>
      <c r="K79" s="13">
        <v>1.22</v>
      </c>
      <c r="L79" s="8">
        <v>36750</v>
      </c>
      <c r="M79" s="11">
        <f>Table2[[#This Row],[Habitantes]]/Table2[[#This Row],[Extensión (km^2)]]</f>
        <v>1654.9180327868853</v>
      </c>
    </row>
    <row r="80" spans="2:19" x14ac:dyDescent="0.3">
      <c r="B80" s="8" t="s">
        <v>119</v>
      </c>
      <c r="C80" s="8" t="s">
        <v>133</v>
      </c>
      <c r="D80" s="8" t="s">
        <v>308</v>
      </c>
      <c r="E80" s="8" t="s">
        <v>161</v>
      </c>
      <c r="F80" s="10">
        <v>716</v>
      </c>
      <c r="G80" s="10">
        <f>716*0.209</f>
        <v>149.64400000000001</v>
      </c>
      <c r="H80" s="10">
        <f>716*0.324</f>
        <v>231.98400000000001</v>
      </c>
      <c r="I80" s="10">
        <f>716*0.204</f>
        <v>146.06399999999999</v>
      </c>
      <c r="J80" s="10">
        <f>Table2[[#This Row],[Habitantes]]-G80-H80-I80</f>
        <v>188.30799999999996</v>
      </c>
      <c r="K80" s="13">
        <v>0.188</v>
      </c>
      <c r="L80" s="8">
        <v>36750</v>
      </c>
      <c r="M80" s="11">
        <f>Table2[[#This Row],[Habitantes]]/Table2[[#This Row],[Extensión (km^2)]]</f>
        <v>3808.5106382978724</v>
      </c>
    </row>
    <row r="82" spans="6:6" x14ac:dyDescent="0.3">
      <c r="F82" s="10"/>
    </row>
  </sheetData>
  <phoneticPr fontId="8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BB01-A4CB-42AB-B99C-289067BF090F}">
  <dimension ref="D5:I24"/>
  <sheetViews>
    <sheetView workbookViewId="0">
      <selection activeCell="I12" sqref="I12"/>
    </sheetView>
  </sheetViews>
  <sheetFormatPr defaultRowHeight="14.4" x14ac:dyDescent="0.3"/>
  <cols>
    <col min="1" max="3" width="8.88671875" style="8"/>
    <col min="4" max="4" width="35.44140625" style="8" bestFit="1" customWidth="1"/>
    <col min="5" max="5" width="17.21875" style="8" bestFit="1" customWidth="1"/>
    <col min="6" max="6" width="34.33203125" style="8" bestFit="1" customWidth="1"/>
    <col min="7" max="7" width="41.33203125" style="8" bestFit="1" customWidth="1"/>
    <col min="8" max="8" width="10.5546875" style="8" bestFit="1" customWidth="1"/>
    <col min="9" max="9" width="25.5546875" style="8" bestFit="1" customWidth="1"/>
    <col min="10" max="16384" width="8.88671875" style="8"/>
  </cols>
  <sheetData>
    <row r="5" spans="4:9" x14ac:dyDescent="0.3">
      <c r="E5" s="8" t="s">
        <v>102</v>
      </c>
      <c r="F5" s="8" t="s">
        <v>111</v>
      </c>
      <c r="G5" s="8" t="s">
        <v>112</v>
      </c>
      <c r="H5" s="8" t="s">
        <v>104</v>
      </c>
      <c r="I5" s="8" t="s">
        <v>131</v>
      </c>
    </row>
    <row r="6" spans="4:9" x14ac:dyDescent="0.3">
      <c r="D6" s="8" t="s">
        <v>103</v>
      </c>
      <c r="E6" s="12">
        <v>117</v>
      </c>
      <c r="F6" s="12">
        <v>28.3</v>
      </c>
      <c r="G6" s="12">
        <v>4516</v>
      </c>
      <c r="H6" s="12">
        <v>30.8</v>
      </c>
      <c r="I6" s="8" t="s">
        <v>508</v>
      </c>
    </row>
    <row r="7" spans="4:9" x14ac:dyDescent="0.3">
      <c r="D7" s="8" t="s">
        <v>113</v>
      </c>
      <c r="E7" s="12">
        <v>75</v>
      </c>
      <c r="F7" s="12">
        <v>11.2</v>
      </c>
      <c r="G7" s="12">
        <v>3277</v>
      </c>
      <c r="H7" s="12">
        <v>34</v>
      </c>
      <c r="I7" s="8" t="s">
        <v>39</v>
      </c>
    </row>
    <row r="8" spans="4:9" x14ac:dyDescent="0.3">
      <c r="D8" s="8" t="s">
        <v>118</v>
      </c>
      <c r="E8" s="12">
        <v>55.8</v>
      </c>
      <c r="F8" s="12">
        <v>14</v>
      </c>
      <c r="G8" s="12">
        <f>18581/3.606</f>
        <v>5152.8008874098723</v>
      </c>
      <c r="H8" s="12">
        <v>40.74</v>
      </c>
      <c r="I8" s="8" t="s">
        <v>509</v>
      </c>
    </row>
    <row r="9" spans="4:9" x14ac:dyDescent="0.3">
      <c r="D9" s="8" t="s">
        <v>127</v>
      </c>
      <c r="E9" s="12">
        <v>56.2</v>
      </c>
      <c r="F9" s="12">
        <v>13.5</v>
      </c>
      <c r="G9" s="12">
        <f>21497/11.071</f>
        <v>1941.7396802456869</v>
      </c>
      <c r="H9" s="12">
        <v>39.46</v>
      </c>
      <c r="I9" s="8" t="s">
        <v>509</v>
      </c>
    </row>
    <row r="10" spans="4:9" x14ac:dyDescent="0.3">
      <c r="D10" s="8" t="s">
        <v>128</v>
      </c>
      <c r="E10" s="12">
        <v>55.3</v>
      </c>
      <c r="F10" s="12">
        <v>13.5</v>
      </c>
      <c r="G10" s="12">
        <f>11039/8.09</f>
        <v>1364.5241038318914</v>
      </c>
      <c r="H10" s="12">
        <v>41.37</v>
      </c>
      <c r="I10" s="8" t="s">
        <v>509</v>
      </c>
    </row>
    <row r="11" spans="4:9" x14ac:dyDescent="0.3">
      <c r="D11" s="8" t="s">
        <v>130</v>
      </c>
      <c r="E11" s="12">
        <v>56.7</v>
      </c>
      <c r="F11" s="12">
        <v>14.167999999999999</v>
      </c>
      <c r="G11" s="12">
        <f>23702/14.3</f>
        <v>1657.4825174825173</v>
      </c>
      <c r="H11" s="12">
        <v>40.94</v>
      </c>
      <c r="I11" s="8" t="s">
        <v>509</v>
      </c>
    </row>
    <row r="12" spans="4:9" x14ac:dyDescent="0.3">
      <c r="D12" s="8" t="s">
        <v>129</v>
      </c>
      <c r="E12" s="12">
        <v>54.3</v>
      </c>
      <c r="F12" s="12">
        <v>13.5</v>
      </c>
      <c r="G12" s="12">
        <f>18406/12.8</f>
        <v>1437.96875</v>
      </c>
      <c r="H12" s="12">
        <v>37.450000000000003</v>
      </c>
      <c r="I12" s="8" t="s">
        <v>509</v>
      </c>
    </row>
    <row r="13" spans="4:9" x14ac:dyDescent="0.3">
      <c r="H13" s="12"/>
    </row>
    <row r="14" spans="4:9" x14ac:dyDescent="0.3">
      <c r="H14" s="12"/>
    </row>
    <row r="15" spans="4:9" x14ac:dyDescent="0.3">
      <c r="D15" s="14" t="s">
        <v>132</v>
      </c>
      <c r="H15" s="12"/>
    </row>
    <row r="16" spans="4:9" x14ac:dyDescent="0.3">
      <c r="H16" s="12"/>
    </row>
    <row r="17" spans="4:8" x14ac:dyDescent="0.3">
      <c r="H17" s="12"/>
    </row>
    <row r="18" spans="4:8" x14ac:dyDescent="0.3">
      <c r="E18" s="12"/>
      <c r="F18" s="12"/>
      <c r="G18" s="12"/>
      <c r="H18" s="12"/>
    </row>
    <row r="19" spans="4:8" x14ac:dyDescent="0.3">
      <c r="D19" s="8" t="s">
        <v>109</v>
      </c>
      <c r="E19" s="12">
        <v>190000</v>
      </c>
      <c r="F19" s="12"/>
      <c r="G19" s="12"/>
      <c r="H19" s="12"/>
    </row>
    <row r="20" spans="4:8" x14ac:dyDescent="0.3">
      <c r="D20" s="8" t="s">
        <v>110</v>
      </c>
      <c r="E20" s="12">
        <v>50000</v>
      </c>
      <c r="F20" s="12"/>
      <c r="G20" s="12"/>
      <c r="H20" s="12"/>
    </row>
    <row r="21" spans="4:8" x14ac:dyDescent="0.3">
      <c r="E21" s="12"/>
      <c r="F21" s="12"/>
      <c r="G21" s="12"/>
      <c r="H21" s="12"/>
    </row>
    <row r="22" spans="4:8" x14ac:dyDescent="0.3">
      <c r="E22" s="12"/>
      <c r="F22" s="12"/>
      <c r="G22" s="12"/>
      <c r="H22" s="12"/>
    </row>
    <row r="23" spans="4:8" x14ac:dyDescent="0.3">
      <c r="E23" s="12"/>
      <c r="F23" s="12"/>
      <c r="G23" s="12"/>
      <c r="H23" s="12"/>
    </row>
    <row r="24" spans="4:8" x14ac:dyDescent="0.3">
      <c r="E24" s="12"/>
      <c r="F24" s="12"/>
      <c r="G24" s="12"/>
      <c r="H24" s="12"/>
    </row>
  </sheetData>
  <hyperlinks>
    <hyperlink ref="D15" r:id="rId1" display="https://www.cso.ie/en" xr:uid="{FFE2EB4F-BA0C-4C7F-8026-E36FDCEB89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A95F-7EFD-41A0-B281-32C3FB607315}">
  <dimension ref="A1:O221"/>
  <sheetViews>
    <sheetView workbookViewId="0">
      <selection activeCell="G11" sqref="G11"/>
    </sheetView>
  </sheetViews>
  <sheetFormatPr defaultRowHeight="14.4" x14ac:dyDescent="0.3"/>
  <cols>
    <col min="1" max="1" width="11.88671875" style="8" customWidth="1"/>
    <col min="2" max="2" width="11.6640625" style="8" customWidth="1"/>
    <col min="3" max="3" width="13.21875" style="8" customWidth="1"/>
    <col min="4" max="5" width="11.77734375" style="8" customWidth="1"/>
    <col min="6" max="6" width="12.21875" style="8" customWidth="1"/>
    <col min="7" max="8" width="8.88671875" style="8"/>
    <col min="9" max="9" width="14.88671875" style="8" customWidth="1"/>
    <col min="10" max="10" width="11.5546875" style="8" customWidth="1"/>
    <col min="11" max="11" width="11.6640625" style="8" customWidth="1"/>
    <col min="12" max="12" width="9.21875" style="8" bestFit="1" customWidth="1"/>
    <col min="13" max="13" width="9.5546875" style="8" bestFit="1" customWidth="1"/>
    <col min="14" max="14" width="8.88671875" style="8"/>
    <col min="15" max="15" width="9" style="8" bestFit="1" customWidth="1"/>
    <col min="16" max="16384" width="8.88671875" style="8"/>
  </cols>
  <sheetData>
    <row r="1" spans="1:14" x14ac:dyDescent="0.3">
      <c r="A1" s="8" t="s">
        <v>292</v>
      </c>
      <c r="B1" s="8" t="s">
        <v>294</v>
      </c>
      <c r="C1" s="8" t="s">
        <v>291</v>
      </c>
      <c r="D1" s="8" t="s">
        <v>290</v>
      </c>
      <c r="E1" s="8" t="s">
        <v>293</v>
      </c>
      <c r="G1" s="8" t="s">
        <v>292</v>
      </c>
      <c r="H1" s="8" t="s">
        <v>294</v>
      </c>
      <c r="I1" s="8" t="s">
        <v>291</v>
      </c>
      <c r="J1" s="8" t="s">
        <v>290</v>
      </c>
    </row>
    <row r="2" spans="1:14" x14ac:dyDescent="0.3">
      <c r="A2" s="8" t="s">
        <v>295</v>
      </c>
      <c r="B2" s="8">
        <v>1</v>
      </c>
      <c r="C2" s="27">
        <v>-3.6477529999999998</v>
      </c>
      <c r="D2" s="27">
        <v>40.522725000000001</v>
      </c>
      <c r="E2" s="27">
        <v>0.78530487708468732</v>
      </c>
      <c r="G2" s="24" t="s">
        <v>308</v>
      </c>
      <c r="H2" s="25" t="s">
        <v>309</v>
      </c>
      <c r="I2" s="25">
        <v>-3.8747400000000001</v>
      </c>
      <c r="J2" s="25">
        <v>40.454880000000003</v>
      </c>
    </row>
    <row r="3" spans="1:14" x14ac:dyDescent="0.3">
      <c r="A3" s="8" t="s">
        <v>295</v>
      </c>
      <c r="B3" s="8">
        <v>2</v>
      </c>
      <c r="C3" s="27">
        <v>-3.6395</v>
      </c>
      <c r="D3" s="27">
        <v>40.528418000000002</v>
      </c>
      <c r="E3" s="27">
        <v>1.7239625466137003</v>
      </c>
      <c r="G3" s="24" t="s">
        <v>295</v>
      </c>
      <c r="H3" s="25" t="s">
        <v>289</v>
      </c>
      <c r="I3" s="25">
        <v>-3.655354</v>
      </c>
      <c r="J3" s="25">
        <v>40.518664000000001</v>
      </c>
    </row>
    <row r="4" spans="1:14" x14ac:dyDescent="0.3">
      <c r="A4" s="8" t="s">
        <v>295</v>
      </c>
      <c r="B4" s="8">
        <v>3</v>
      </c>
      <c r="C4" s="27">
        <v>-3.6421800000000002</v>
      </c>
      <c r="D4" s="27">
        <v>40.524785000000001</v>
      </c>
      <c r="E4" s="27">
        <v>1.3050784887803042</v>
      </c>
      <c r="G4" s="25" t="s">
        <v>311</v>
      </c>
      <c r="H4" s="25" t="s">
        <v>310</v>
      </c>
      <c r="I4" s="25">
        <v>-3.8981699999999999</v>
      </c>
      <c r="J4" s="25">
        <v>40.516240000000003</v>
      </c>
    </row>
    <row r="5" spans="1:14" x14ac:dyDescent="0.3">
      <c r="A5" s="8" t="s">
        <v>295</v>
      </c>
      <c r="B5" s="8">
        <v>4</v>
      </c>
      <c r="C5" s="27">
        <v>-3.6347689999999999</v>
      </c>
      <c r="D5" s="27">
        <v>40.527467000000001</v>
      </c>
      <c r="E5" s="27">
        <v>1.9963728119526163</v>
      </c>
      <c r="G5" s="25"/>
      <c r="H5" s="25"/>
      <c r="I5" s="25"/>
      <c r="J5" s="25"/>
    </row>
    <row r="6" spans="1:14" x14ac:dyDescent="0.3">
      <c r="A6" s="8" t="s">
        <v>295</v>
      </c>
      <c r="B6" s="8">
        <v>5</v>
      </c>
      <c r="C6" s="27">
        <v>-3.638871</v>
      </c>
      <c r="D6" s="27">
        <v>40.515403999999997</v>
      </c>
      <c r="E6" s="27">
        <v>1.4397198856898681</v>
      </c>
      <c r="G6" s="25"/>
      <c r="H6" s="25"/>
      <c r="I6" s="25"/>
      <c r="J6" s="25"/>
    </row>
    <row r="7" spans="1:14" x14ac:dyDescent="0.3">
      <c r="A7" s="8" t="s">
        <v>295</v>
      </c>
      <c r="B7" s="8">
        <v>6</v>
      </c>
      <c r="C7" s="27">
        <v>-3.6260970000000001</v>
      </c>
      <c r="D7" s="27">
        <v>40.527455000000003</v>
      </c>
      <c r="E7" s="27">
        <v>2.6591149829553604</v>
      </c>
      <c r="G7" s="25"/>
      <c r="H7" s="25"/>
      <c r="I7" s="25"/>
      <c r="J7" s="25"/>
    </row>
    <row r="8" spans="1:14" x14ac:dyDescent="0.3">
      <c r="A8" s="8" t="s">
        <v>295</v>
      </c>
      <c r="B8" s="8">
        <v>7</v>
      </c>
      <c r="C8" s="27">
        <v>-3.608314</v>
      </c>
      <c r="D8" s="27">
        <v>40.527723999999999</v>
      </c>
      <c r="E8" s="27">
        <v>4.1016546446183435</v>
      </c>
      <c r="G8" s="25"/>
      <c r="H8" s="25"/>
      <c r="I8" s="25"/>
      <c r="J8" s="25"/>
    </row>
    <row r="9" spans="1:14" x14ac:dyDescent="0.3">
      <c r="A9" s="8" t="s">
        <v>295</v>
      </c>
      <c r="B9" s="8">
        <v>8</v>
      </c>
      <c r="C9" s="27">
        <v>-3.6174430000000002</v>
      </c>
      <c r="D9" s="27">
        <v>40.527611</v>
      </c>
      <c r="E9" s="27">
        <v>3.3552775822504071</v>
      </c>
      <c r="G9" s="25"/>
      <c r="H9" s="25"/>
      <c r="I9" s="25"/>
      <c r="J9" s="25"/>
    </row>
    <row r="10" spans="1:14" x14ac:dyDescent="0.3">
      <c r="A10" s="8" t="s">
        <v>295</v>
      </c>
      <c r="B10" s="8">
        <v>9</v>
      </c>
      <c r="C10" s="27">
        <v>-3.6438410000000001</v>
      </c>
      <c r="D10" s="27">
        <v>40.521279999999997</v>
      </c>
      <c r="E10" s="27">
        <v>1.0157157931105176</v>
      </c>
      <c r="G10" s="25"/>
      <c r="H10" s="25"/>
      <c r="I10" s="25"/>
      <c r="J10" s="25"/>
      <c r="K10" s="27"/>
      <c r="L10" s="27"/>
      <c r="M10" s="27"/>
      <c r="N10" s="27"/>
    </row>
    <row r="11" spans="1:14" x14ac:dyDescent="0.3">
      <c r="A11" s="8" t="s">
        <v>295</v>
      </c>
      <c r="B11" s="8">
        <v>10</v>
      </c>
      <c r="C11" s="27">
        <v>-3.6387130000000001</v>
      </c>
      <c r="D11" s="27">
        <v>40.518833999999998</v>
      </c>
      <c r="E11" s="27">
        <v>1.4067849088073781</v>
      </c>
      <c r="G11" s="25"/>
      <c r="H11" s="25"/>
      <c r="I11" s="25"/>
      <c r="J11" s="25"/>
      <c r="K11" s="27"/>
      <c r="L11" s="27"/>
      <c r="M11" s="27"/>
      <c r="N11" s="27"/>
    </row>
    <row r="12" spans="1:14" x14ac:dyDescent="0.3">
      <c r="A12" s="8" t="s">
        <v>295</v>
      </c>
      <c r="B12" s="8">
        <v>11</v>
      </c>
      <c r="C12" s="27">
        <v>-3.6353870000000001</v>
      </c>
      <c r="D12" s="27">
        <v>40.523432999999997</v>
      </c>
      <c r="E12" s="27">
        <v>1.7690933497307364</v>
      </c>
      <c r="K12" s="27"/>
      <c r="L12" s="27"/>
      <c r="M12" s="27"/>
      <c r="N12" s="27"/>
    </row>
    <row r="13" spans="1:14" x14ac:dyDescent="0.3">
      <c r="A13" s="8" t="s">
        <v>295</v>
      </c>
      <c r="B13" s="8">
        <v>12</v>
      </c>
      <c r="C13" s="27">
        <v>-3.646744</v>
      </c>
      <c r="D13" s="27">
        <v>40.516244999999998</v>
      </c>
      <c r="E13" s="27">
        <v>0.7759279873524092</v>
      </c>
      <c r="K13" s="27"/>
      <c r="L13" s="27"/>
      <c r="M13" s="27"/>
      <c r="N13" s="27"/>
    </row>
    <row r="14" spans="1:14" x14ac:dyDescent="0.3">
      <c r="A14" s="8" t="s">
        <v>295</v>
      </c>
      <c r="B14" s="8">
        <v>13</v>
      </c>
      <c r="C14" s="27">
        <v>-3.6277309999999998</v>
      </c>
      <c r="D14" s="27">
        <v>40.520766999999999</v>
      </c>
      <c r="E14" s="27">
        <v>2.3466093026789516</v>
      </c>
      <c r="K14" s="27"/>
      <c r="L14" s="27"/>
      <c r="M14" s="27"/>
      <c r="N14" s="27"/>
    </row>
    <row r="15" spans="1:14" x14ac:dyDescent="0.3">
      <c r="A15" s="8" t="s">
        <v>295</v>
      </c>
      <c r="B15" s="8">
        <v>14</v>
      </c>
      <c r="C15" s="27">
        <v>-3.619405</v>
      </c>
      <c r="D15" s="27">
        <v>40.52093</v>
      </c>
      <c r="E15" s="27">
        <v>3.0491374610009547</v>
      </c>
      <c r="K15" s="27"/>
      <c r="L15" s="27"/>
      <c r="M15" s="27"/>
      <c r="N15" s="27"/>
    </row>
    <row r="16" spans="1:14" x14ac:dyDescent="0.3">
      <c r="A16" s="8" t="s">
        <v>295</v>
      </c>
      <c r="B16" s="8">
        <v>15</v>
      </c>
      <c r="C16" s="27">
        <v>-3.6133760000000001</v>
      </c>
      <c r="D16" s="27">
        <v>40.52243</v>
      </c>
      <c r="E16" s="27">
        <v>3.5729154846425377</v>
      </c>
      <c r="K16" s="27"/>
      <c r="L16" s="27"/>
      <c r="M16" s="27"/>
      <c r="N16" s="27"/>
    </row>
    <row r="17" spans="1:14" x14ac:dyDescent="0.3">
      <c r="A17" s="8" t="s">
        <v>295</v>
      </c>
      <c r="B17" s="8">
        <v>16</v>
      </c>
      <c r="C17" s="27">
        <v>-3.6069599999999999</v>
      </c>
      <c r="D17" s="27">
        <v>40.521974</v>
      </c>
      <c r="E17" s="27">
        <v>4.1071565555387588</v>
      </c>
      <c r="K17" s="27"/>
      <c r="L17" s="27"/>
      <c r="M17" s="27"/>
      <c r="N17" s="27"/>
    </row>
    <row r="18" spans="1:14" x14ac:dyDescent="0.3">
      <c r="A18" s="8" t="s">
        <v>295</v>
      </c>
      <c r="B18" s="8">
        <v>17</v>
      </c>
      <c r="C18" s="27">
        <v>-3.6535229999999999</v>
      </c>
      <c r="D18" s="27">
        <v>40.513165000000001</v>
      </c>
      <c r="E18" s="27">
        <v>0.63074669060359634</v>
      </c>
      <c r="K18" s="27"/>
      <c r="L18" s="27"/>
      <c r="M18" s="27"/>
      <c r="N18" s="27"/>
    </row>
    <row r="19" spans="1:14" x14ac:dyDescent="0.3">
      <c r="A19" s="8" t="s">
        <v>295</v>
      </c>
      <c r="B19" s="8">
        <v>18</v>
      </c>
      <c r="C19" s="27">
        <v>-3.64561</v>
      </c>
      <c r="D19" s="27">
        <v>40.512858000000001</v>
      </c>
      <c r="E19" s="27">
        <v>1.0465503463857275</v>
      </c>
      <c r="K19" s="27"/>
      <c r="L19" s="27"/>
      <c r="M19" s="27"/>
      <c r="N19" s="27"/>
    </row>
    <row r="20" spans="1:14" x14ac:dyDescent="0.3">
      <c r="A20" s="8" t="s">
        <v>295</v>
      </c>
      <c r="B20" s="8">
        <v>19</v>
      </c>
      <c r="C20" s="27">
        <v>-3.64697</v>
      </c>
      <c r="D20" s="27">
        <v>40.508760000000002</v>
      </c>
      <c r="E20" s="27">
        <v>1.3096304660908531</v>
      </c>
      <c r="K20" s="27"/>
      <c r="L20" s="27"/>
      <c r="M20" s="27"/>
      <c r="N20" s="27"/>
    </row>
    <row r="21" spans="1:14" x14ac:dyDescent="0.3">
      <c r="A21" s="8" t="s">
        <v>295</v>
      </c>
      <c r="B21" s="8">
        <v>20</v>
      </c>
      <c r="C21" s="27">
        <v>-3.6411910000000001</v>
      </c>
      <c r="D21" s="27">
        <v>40.505940000000002</v>
      </c>
      <c r="E21" s="27">
        <v>1.8534648586242142</v>
      </c>
      <c r="K21" s="27"/>
      <c r="L21" s="27"/>
      <c r="M21" s="27"/>
      <c r="N21" s="27"/>
    </row>
    <row r="22" spans="1:14" x14ac:dyDescent="0.3">
      <c r="A22" s="8" t="s">
        <v>295</v>
      </c>
      <c r="B22" s="8">
        <v>21</v>
      </c>
      <c r="C22" s="27">
        <v>-3.6334810000000002</v>
      </c>
      <c r="D22" s="27">
        <v>40.504686</v>
      </c>
      <c r="E22" s="27">
        <v>2.4155765765628905</v>
      </c>
      <c r="K22" s="27"/>
      <c r="L22" s="27"/>
      <c r="M22" s="27"/>
      <c r="N22" s="27"/>
    </row>
    <row r="23" spans="1:14" x14ac:dyDescent="0.3">
      <c r="A23" s="8" t="s">
        <v>295</v>
      </c>
      <c r="B23" s="8">
        <v>22</v>
      </c>
      <c r="C23" s="27">
        <v>-3.642792</v>
      </c>
      <c r="D23" s="27">
        <v>40.500771999999998</v>
      </c>
      <c r="E23" s="27">
        <v>2.2552078132056281</v>
      </c>
      <c r="K23" s="27"/>
      <c r="L23" s="27"/>
      <c r="M23" s="27"/>
      <c r="N23" s="27"/>
    </row>
    <row r="24" spans="1:14" x14ac:dyDescent="0.3">
      <c r="A24" s="8" t="s">
        <v>295</v>
      </c>
      <c r="B24" s="8">
        <v>23</v>
      </c>
      <c r="C24" s="27">
        <v>-3.6309459999999998</v>
      </c>
      <c r="D24" s="27">
        <v>40.516778000000002</v>
      </c>
      <c r="E24" s="27">
        <v>2.0738619300275554</v>
      </c>
      <c r="K24" s="27"/>
      <c r="L24" s="27"/>
      <c r="M24" s="27"/>
      <c r="N24" s="27"/>
    </row>
    <row r="25" spans="1:14" x14ac:dyDescent="0.3">
      <c r="A25" s="8" t="s">
        <v>295</v>
      </c>
      <c r="B25" s="8">
        <v>24</v>
      </c>
      <c r="C25" s="27">
        <v>-3.6314609999999998</v>
      </c>
      <c r="D25" s="27">
        <v>40.509721999999996</v>
      </c>
      <c r="E25" s="27">
        <v>2.2512777126092445</v>
      </c>
      <c r="K25" s="27"/>
      <c r="L25" s="27"/>
      <c r="M25" s="27"/>
      <c r="N25" s="27"/>
    </row>
    <row r="26" spans="1:14" x14ac:dyDescent="0.3">
      <c r="A26" s="8" t="s">
        <v>295</v>
      </c>
      <c r="B26" s="8">
        <v>25</v>
      </c>
      <c r="C26" s="27">
        <v>-3.6398299999999999</v>
      </c>
      <c r="D26" s="27">
        <v>40.509689999999999</v>
      </c>
      <c r="E26" s="27">
        <v>1.6486161686962384</v>
      </c>
      <c r="K26" s="27"/>
      <c r="L26" s="27"/>
      <c r="M26" s="27"/>
      <c r="N26" s="27"/>
    </row>
    <row r="27" spans="1:14" x14ac:dyDescent="0.3">
      <c r="A27" s="8" t="s">
        <v>295</v>
      </c>
      <c r="B27" s="8">
        <v>26</v>
      </c>
      <c r="C27" s="27">
        <v>-3.6235219999999999</v>
      </c>
      <c r="D27" s="27">
        <v>40.511108999999998</v>
      </c>
      <c r="E27" s="27">
        <v>2.8189871321943585</v>
      </c>
      <c r="K27" s="27"/>
      <c r="L27" s="27"/>
      <c r="M27" s="27"/>
      <c r="N27" s="27"/>
    </row>
    <row r="28" spans="1:14" x14ac:dyDescent="0.3">
      <c r="A28" s="8" t="s">
        <v>295</v>
      </c>
      <c r="B28" s="8">
        <v>27</v>
      </c>
      <c r="C28" s="27">
        <v>-3.6238220000000001</v>
      </c>
      <c r="D28" s="27">
        <v>40.515023999999997</v>
      </c>
      <c r="E28" s="27">
        <v>2.6960200188116916</v>
      </c>
      <c r="K28" s="27"/>
      <c r="L28" s="27"/>
      <c r="M28" s="27"/>
      <c r="N28" s="27"/>
    </row>
    <row r="29" spans="1:14" x14ac:dyDescent="0.3">
      <c r="A29" s="8" t="s">
        <v>295</v>
      </c>
      <c r="B29" s="8">
        <v>28</v>
      </c>
      <c r="C29" s="27">
        <v>-3.6162800000000002</v>
      </c>
      <c r="D29" s="27">
        <v>40.516105000000003</v>
      </c>
      <c r="E29" s="27">
        <v>3.3152128109031009</v>
      </c>
      <c r="K29" s="27"/>
      <c r="L29" s="27"/>
      <c r="M29" s="27"/>
      <c r="N29" s="27"/>
    </row>
    <row r="30" spans="1:14" x14ac:dyDescent="0.3">
      <c r="A30" s="8" t="s">
        <v>295</v>
      </c>
      <c r="B30" s="8">
        <v>29</v>
      </c>
      <c r="C30" s="27">
        <v>-3.6153360000000001</v>
      </c>
      <c r="D30" s="27">
        <v>40.511814999999999</v>
      </c>
      <c r="E30" s="27">
        <v>3.4675500049444921</v>
      </c>
      <c r="K30" s="27"/>
      <c r="L30" s="27"/>
      <c r="M30" s="27"/>
      <c r="N30" s="27"/>
    </row>
    <row r="31" spans="1:14" x14ac:dyDescent="0.3">
      <c r="A31" s="8" t="s">
        <v>295</v>
      </c>
      <c r="B31" s="8">
        <v>30</v>
      </c>
      <c r="C31" s="27">
        <v>-3.610023</v>
      </c>
      <c r="D31" s="27">
        <v>40.51493</v>
      </c>
      <c r="E31" s="27">
        <v>3.8543536967526864</v>
      </c>
      <c r="K31" s="27"/>
      <c r="L31" s="27"/>
      <c r="M31" s="27"/>
      <c r="N31" s="27"/>
    </row>
    <row r="32" spans="1:14" x14ac:dyDescent="0.3">
      <c r="A32" s="27" t="s">
        <v>308</v>
      </c>
      <c r="B32" s="8" t="s">
        <v>306</v>
      </c>
      <c r="C32" s="8">
        <v>-3.8715079999999999</v>
      </c>
      <c r="D32" s="8">
        <v>40.487380000000002</v>
      </c>
      <c r="E32" s="27">
        <v>3.6241617520008274</v>
      </c>
      <c r="K32" s="27"/>
      <c r="L32" s="27"/>
      <c r="M32" s="27"/>
      <c r="N32" s="27"/>
    </row>
    <row r="33" spans="1:14" x14ac:dyDescent="0.3">
      <c r="A33" s="27" t="s">
        <v>308</v>
      </c>
      <c r="B33" s="8" t="s">
        <v>304</v>
      </c>
      <c r="C33" s="8">
        <v>-3.8779029999999999</v>
      </c>
      <c r="D33" s="8">
        <v>40.490023000000001</v>
      </c>
      <c r="E33" s="27">
        <v>3.9168718926591408</v>
      </c>
      <c r="K33" s="27"/>
      <c r="L33" s="27"/>
      <c r="M33" s="27"/>
      <c r="N33" s="27"/>
    </row>
    <row r="34" spans="1:14" x14ac:dyDescent="0.3">
      <c r="A34" s="27" t="s">
        <v>308</v>
      </c>
      <c r="B34" s="8" t="s">
        <v>302</v>
      </c>
      <c r="C34" s="8">
        <v>-3.8921079999999999</v>
      </c>
      <c r="D34" s="8">
        <v>40.488587000000003</v>
      </c>
      <c r="E34" s="27">
        <v>4.0256964051483344</v>
      </c>
      <c r="K34" s="27"/>
      <c r="L34" s="27"/>
      <c r="M34" s="27"/>
      <c r="N34" s="27"/>
    </row>
    <row r="35" spans="1:14" x14ac:dyDescent="0.3">
      <c r="A35" s="27" t="s">
        <v>308</v>
      </c>
      <c r="B35" s="8" t="s">
        <v>300</v>
      </c>
      <c r="C35" s="8">
        <v>-3.8843719999999999</v>
      </c>
      <c r="D35" s="8">
        <v>40.489165999999997</v>
      </c>
      <c r="E35" s="27">
        <v>3.8985183584633738</v>
      </c>
      <c r="K35" s="27"/>
      <c r="L35" s="27"/>
      <c r="M35" s="27"/>
      <c r="N35" s="27"/>
    </row>
    <row r="36" spans="1:14" x14ac:dyDescent="0.3">
      <c r="A36" s="27" t="s">
        <v>308</v>
      </c>
      <c r="B36" s="8" t="s">
        <v>298</v>
      </c>
      <c r="C36" s="8">
        <v>-3.875016</v>
      </c>
      <c r="D36" s="8">
        <v>40.496215999999997</v>
      </c>
      <c r="E36" s="27">
        <v>4.5964127737151133</v>
      </c>
      <c r="K36" s="27"/>
      <c r="L36" s="27"/>
      <c r="M36" s="27"/>
      <c r="N36" s="27"/>
    </row>
    <row r="37" spans="1:14" x14ac:dyDescent="0.3">
      <c r="A37" s="27" t="s">
        <v>308</v>
      </c>
      <c r="B37" s="8" t="s">
        <v>296</v>
      </c>
      <c r="C37" s="8">
        <v>-3.8772479999999998</v>
      </c>
      <c r="D37" s="8">
        <v>40.503917000000001</v>
      </c>
      <c r="E37" s="27">
        <v>5.4567901960442047</v>
      </c>
      <c r="K37" s="27"/>
      <c r="L37" s="27"/>
      <c r="M37" s="27"/>
      <c r="N37" s="27"/>
    </row>
    <row r="38" spans="1:14" x14ac:dyDescent="0.3">
      <c r="A38" s="27" t="s">
        <v>308</v>
      </c>
      <c r="B38" s="26">
        <v>7</v>
      </c>
      <c r="C38" s="8">
        <v>-3.8767670000000001</v>
      </c>
      <c r="D38" s="8">
        <v>40.483148</v>
      </c>
      <c r="E38" s="27">
        <v>3.147931626796479</v>
      </c>
      <c r="K38" s="27"/>
      <c r="L38" s="27"/>
      <c r="M38" s="27"/>
      <c r="N38" s="27"/>
    </row>
    <row r="39" spans="1:14" x14ac:dyDescent="0.3">
      <c r="A39" s="27" t="s">
        <v>308</v>
      </c>
      <c r="B39" s="26">
        <v>8</v>
      </c>
      <c r="C39" s="8">
        <v>-3.870244</v>
      </c>
      <c r="D39" s="8">
        <v>40.483148</v>
      </c>
      <c r="E39" s="27">
        <v>3.1661839370190874</v>
      </c>
      <c r="K39" s="27"/>
      <c r="L39" s="27"/>
      <c r="M39" s="27"/>
      <c r="N39" s="27"/>
    </row>
    <row r="40" spans="1:14" x14ac:dyDescent="0.3">
      <c r="A40" s="27" t="s">
        <v>308</v>
      </c>
      <c r="B40" s="26">
        <v>9</v>
      </c>
      <c r="C40" s="8">
        <v>-3.864922</v>
      </c>
      <c r="D40" s="8">
        <v>40.483277999999999</v>
      </c>
      <c r="E40" s="27">
        <v>3.2651078409648218</v>
      </c>
      <c r="K40" s="27"/>
      <c r="L40" s="27"/>
      <c r="M40" s="27"/>
      <c r="N40" s="27"/>
    </row>
    <row r="41" spans="1:14" x14ac:dyDescent="0.3">
      <c r="A41" s="27" t="s">
        <v>308</v>
      </c>
      <c r="B41" s="26">
        <v>10</v>
      </c>
      <c r="C41" s="8">
        <v>-3.8592580000000001</v>
      </c>
      <c r="D41" s="8">
        <v>40.481450000000002</v>
      </c>
      <c r="E41" s="27">
        <v>3.2317206758040578</v>
      </c>
      <c r="K41" s="27"/>
      <c r="L41" s="27"/>
      <c r="M41" s="27"/>
      <c r="N41" s="27"/>
    </row>
    <row r="42" spans="1:14" x14ac:dyDescent="0.3">
      <c r="A42" s="27" t="s">
        <v>308</v>
      </c>
      <c r="B42" s="26">
        <v>11</v>
      </c>
      <c r="C42" s="8">
        <v>-3.854279</v>
      </c>
      <c r="D42" s="8">
        <v>40.479621999999999</v>
      </c>
      <c r="E42" s="27">
        <v>3.2503838227315844</v>
      </c>
      <c r="K42" s="27"/>
      <c r="L42" s="27"/>
      <c r="M42" s="27"/>
      <c r="N42" s="27"/>
    </row>
    <row r="43" spans="1:14" x14ac:dyDescent="0.3">
      <c r="A43" s="27" t="s">
        <v>308</v>
      </c>
      <c r="B43" s="26">
        <v>12</v>
      </c>
      <c r="C43" s="8">
        <v>-3.8664670000000001</v>
      </c>
      <c r="D43" s="8">
        <v>40.479686999999998</v>
      </c>
      <c r="E43" s="27">
        <v>2.8458092467617733</v>
      </c>
      <c r="K43" s="27"/>
      <c r="L43" s="27"/>
      <c r="M43" s="27"/>
      <c r="N43" s="27"/>
    </row>
    <row r="44" spans="1:14" x14ac:dyDescent="0.3">
      <c r="A44" s="27" t="s">
        <v>308</v>
      </c>
      <c r="B44" s="26">
        <v>13</v>
      </c>
      <c r="C44" s="8">
        <v>-3.8608030000000002</v>
      </c>
      <c r="D44" s="8">
        <v>40.478577999999999</v>
      </c>
      <c r="E44" s="27">
        <v>2.8868299359438914</v>
      </c>
      <c r="K44" s="27"/>
      <c r="L44" s="27"/>
      <c r="M44" s="27"/>
      <c r="N44" s="27"/>
    </row>
    <row r="45" spans="1:14" x14ac:dyDescent="0.3">
      <c r="A45" s="27" t="s">
        <v>308</v>
      </c>
      <c r="B45" s="26">
        <v>14</v>
      </c>
      <c r="C45" s="8">
        <v>-3.8560819999999998</v>
      </c>
      <c r="D45" s="8">
        <v>40.477663999999997</v>
      </c>
      <c r="E45" s="27">
        <v>2.9849212433246919</v>
      </c>
      <c r="K45" s="27"/>
      <c r="L45" s="27"/>
      <c r="M45" s="27"/>
      <c r="N45" s="27"/>
    </row>
    <row r="46" spans="1:14" x14ac:dyDescent="0.3">
      <c r="A46" s="27" t="s">
        <v>308</v>
      </c>
      <c r="B46" s="26">
        <v>15</v>
      </c>
      <c r="C46" s="8">
        <v>-3.8501599999999998</v>
      </c>
      <c r="D46" s="8">
        <v>40.477141000000003</v>
      </c>
      <c r="E46" s="27">
        <v>3.2327929554352153</v>
      </c>
      <c r="K46" s="27"/>
      <c r="L46" s="27"/>
      <c r="M46" s="27"/>
      <c r="N46" s="27"/>
    </row>
    <row r="47" spans="1:14" x14ac:dyDescent="0.3">
      <c r="A47" s="27" t="s">
        <v>308</v>
      </c>
      <c r="B47" s="26">
        <v>16</v>
      </c>
      <c r="C47" s="8">
        <v>-3.8442370000000001</v>
      </c>
      <c r="D47" s="8">
        <v>40.476554</v>
      </c>
      <c r="E47" s="27">
        <v>3.5308626085132282</v>
      </c>
      <c r="K47" s="27"/>
      <c r="L47" s="27"/>
      <c r="M47" s="27"/>
      <c r="N47" s="27"/>
    </row>
    <row r="48" spans="1:14" x14ac:dyDescent="0.3">
      <c r="A48" s="27" t="s">
        <v>308</v>
      </c>
      <c r="B48" s="26">
        <v>17</v>
      </c>
      <c r="C48" s="8">
        <v>-3.8662960000000002</v>
      </c>
      <c r="D48" s="8">
        <v>40.476750000000003</v>
      </c>
      <c r="E48" s="27">
        <v>2.534577211067726</v>
      </c>
      <c r="K48" s="27"/>
      <c r="L48" s="27"/>
      <c r="M48" s="27"/>
      <c r="N48" s="27"/>
    </row>
    <row r="49" spans="1:14" x14ac:dyDescent="0.3">
      <c r="A49" s="27" t="s">
        <v>308</v>
      </c>
      <c r="B49" s="26">
        <v>18</v>
      </c>
      <c r="C49" s="8">
        <v>-3.8607170000000002</v>
      </c>
      <c r="D49" s="8">
        <v>40.476227000000002</v>
      </c>
      <c r="E49" s="27">
        <v>2.6536114598433307</v>
      </c>
      <c r="K49" s="27"/>
      <c r="L49" s="27"/>
      <c r="M49" s="27"/>
      <c r="N49" s="27"/>
    </row>
    <row r="50" spans="1:14" x14ac:dyDescent="0.3">
      <c r="A50" s="27" t="s">
        <v>308</v>
      </c>
      <c r="B50" s="26">
        <v>19</v>
      </c>
      <c r="C50" s="8">
        <v>-3.8556530000000002</v>
      </c>
      <c r="D50" s="8">
        <v>40.47466</v>
      </c>
      <c r="E50" s="27">
        <v>2.7285205076655226</v>
      </c>
      <c r="K50" s="27"/>
      <c r="L50" s="27"/>
      <c r="M50" s="27"/>
      <c r="N50" s="27"/>
    </row>
    <row r="51" spans="1:14" x14ac:dyDescent="0.3">
      <c r="A51" s="27" t="s">
        <v>308</v>
      </c>
      <c r="B51" s="26">
        <v>20</v>
      </c>
      <c r="C51" s="8">
        <v>-3.8516189999999999</v>
      </c>
      <c r="D51" s="8">
        <v>40.474463999999998</v>
      </c>
      <c r="E51" s="27">
        <v>2.9271149661449982</v>
      </c>
      <c r="K51" s="27"/>
      <c r="L51" s="27"/>
      <c r="M51" s="27"/>
      <c r="N51" s="27"/>
    </row>
    <row r="52" spans="1:14" x14ac:dyDescent="0.3">
      <c r="A52" s="27" t="s">
        <v>308</v>
      </c>
      <c r="B52" s="26">
        <v>21</v>
      </c>
      <c r="C52" s="8">
        <v>-3.8631199999999999</v>
      </c>
      <c r="D52" s="8">
        <v>40.473616</v>
      </c>
      <c r="E52" s="27">
        <v>2.3036259589210419</v>
      </c>
      <c r="K52" s="27"/>
      <c r="L52" s="27"/>
      <c r="M52" s="27"/>
      <c r="N52" s="27"/>
    </row>
    <row r="53" spans="1:14" x14ac:dyDescent="0.3">
      <c r="A53" s="27" t="s">
        <v>308</v>
      </c>
      <c r="B53" s="26">
        <v>22</v>
      </c>
      <c r="C53" s="8">
        <v>-3.8660380000000001</v>
      </c>
      <c r="D53" s="8">
        <v>40.472048999999998</v>
      </c>
      <c r="E53" s="27">
        <v>2.0461305773743916</v>
      </c>
      <c r="K53" s="27"/>
      <c r="L53" s="27"/>
      <c r="M53" s="27"/>
      <c r="N53" s="27"/>
    </row>
    <row r="54" spans="1:14" x14ac:dyDescent="0.3">
      <c r="A54" s="27" t="s">
        <v>308</v>
      </c>
      <c r="B54" s="26">
        <v>23</v>
      </c>
      <c r="C54" s="8">
        <v>-3.858914</v>
      </c>
      <c r="D54" s="8">
        <v>40.472897000000003</v>
      </c>
      <c r="E54" s="27">
        <v>2.4095963369026068</v>
      </c>
      <c r="K54" s="27"/>
      <c r="L54" s="27"/>
      <c r="M54" s="27"/>
      <c r="N54" s="27"/>
    </row>
    <row r="55" spans="1:14" x14ac:dyDescent="0.3">
      <c r="A55" s="27" t="s">
        <v>308</v>
      </c>
      <c r="B55" s="26">
        <v>24</v>
      </c>
      <c r="C55" s="8">
        <v>-3.8529059999999999</v>
      </c>
      <c r="D55" s="8">
        <v>40.472113999999998</v>
      </c>
      <c r="E55" s="27">
        <v>2.6616276775858063</v>
      </c>
      <c r="K55" s="27"/>
      <c r="L55" s="27"/>
      <c r="M55" s="27"/>
      <c r="N55" s="27"/>
    </row>
    <row r="56" spans="1:14" x14ac:dyDescent="0.3">
      <c r="A56" s="27" t="s">
        <v>308</v>
      </c>
      <c r="B56" s="26">
        <v>25</v>
      </c>
      <c r="C56" s="8">
        <v>-3.8562539999999998</v>
      </c>
      <c r="D56" s="8">
        <v>40.470939000000001</v>
      </c>
      <c r="E56" s="27">
        <v>2.373706713126162</v>
      </c>
      <c r="K56" s="27"/>
      <c r="L56" s="27"/>
      <c r="M56" s="27"/>
      <c r="N56" s="27"/>
    </row>
    <row r="57" spans="1:14" x14ac:dyDescent="0.3">
      <c r="A57" s="27" t="s">
        <v>308</v>
      </c>
      <c r="B57" s="26">
        <v>26</v>
      </c>
      <c r="C57" s="8">
        <v>-3.8613179999999998</v>
      </c>
      <c r="D57" s="8">
        <v>40.469893999999996</v>
      </c>
      <c r="E57" s="27">
        <v>2.0190465769439658</v>
      </c>
      <c r="K57" s="27"/>
      <c r="L57" s="27"/>
      <c r="M57" s="27"/>
      <c r="N57" s="27"/>
    </row>
    <row r="58" spans="1:14" x14ac:dyDescent="0.3">
      <c r="A58" s="27" t="s">
        <v>308</v>
      </c>
      <c r="B58" s="26">
        <v>27</v>
      </c>
      <c r="C58" s="8">
        <v>-3.8663820000000002</v>
      </c>
      <c r="D58" s="8">
        <v>40.469175999999997</v>
      </c>
      <c r="E58" s="27">
        <v>1.7398128816491469</v>
      </c>
      <c r="K58" s="27"/>
      <c r="L58" s="27"/>
      <c r="M58" s="27"/>
      <c r="N58" s="27"/>
    </row>
    <row r="59" spans="1:14" x14ac:dyDescent="0.3">
      <c r="A59" s="27" t="s">
        <v>308</v>
      </c>
      <c r="B59" s="26">
        <v>28</v>
      </c>
      <c r="C59" s="8">
        <v>-3.8627769999999999</v>
      </c>
      <c r="D59" s="8">
        <v>40.466954999999999</v>
      </c>
      <c r="E59" s="27">
        <v>1.681407924936581</v>
      </c>
      <c r="K59" s="27"/>
      <c r="L59" s="27"/>
      <c r="M59" s="27"/>
      <c r="N59" s="27"/>
    </row>
    <row r="60" spans="1:14" x14ac:dyDescent="0.3">
      <c r="A60" s="27" t="s">
        <v>308</v>
      </c>
      <c r="B60" s="26">
        <v>29</v>
      </c>
      <c r="C60" s="8">
        <v>-3.8571979999999999</v>
      </c>
      <c r="D60" s="8">
        <v>40.468783999999999</v>
      </c>
      <c r="E60" s="27">
        <v>2.1430746958926354</v>
      </c>
      <c r="K60" s="27"/>
      <c r="L60" s="27"/>
      <c r="M60" s="27"/>
      <c r="N60" s="27"/>
    </row>
    <row r="61" spans="1:14" x14ac:dyDescent="0.3">
      <c r="A61" s="27" t="s">
        <v>308</v>
      </c>
      <c r="B61" s="26">
        <v>30</v>
      </c>
      <c r="C61" s="8">
        <v>-3.8583129999999999</v>
      </c>
      <c r="D61" s="8">
        <v>40.466040999999997</v>
      </c>
      <c r="E61" s="27">
        <v>1.863242204334</v>
      </c>
      <c r="K61" s="27"/>
      <c r="L61" s="27"/>
      <c r="M61" s="27"/>
      <c r="N61" s="27"/>
    </row>
    <row r="62" spans="1:14" x14ac:dyDescent="0.3">
      <c r="A62" s="27" t="s">
        <v>308</v>
      </c>
      <c r="B62" s="26">
        <v>31</v>
      </c>
      <c r="C62" s="8">
        <v>-3.8670680000000002</v>
      </c>
      <c r="D62" s="8">
        <v>40.465127000000003</v>
      </c>
      <c r="E62" s="27">
        <v>1.3113234825100417</v>
      </c>
      <c r="K62" s="27"/>
      <c r="L62" s="27"/>
      <c r="M62" s="27"/>
      <c r="N62" s="27"/>
    </row>
    <row r="63" spans="1:14" x14ac:dyDescent="0.3">
      <c r="A63" s="27" t="s">
        <v>308</v>
      </c>
      <c r="B63" s="26">
        <v>32</v>
      </c>
      <c r="C63" s="8">
        <v>-3.8683559999999999</v>
      </c>
      <c r="D63" s="8">
        <v>40.461274000000003</v>
      </c>
      <c r="E63" s="27">
        <v>0.89287651665725654</v>
      </c>
      <c r="K63" s="27"/>
      <c r="L63" s="27"/>
      <c r="M63" s="27"/>
      <c r="N63" s="27"/>
    </row>
    <row r="64" spans="1:14" x14ac:dyDescent="0.3">
      <c r="A64" s="27" t="s">
        <v>308</v>
      </c>
      <c r="B64" s="26">
        <v>33</v>
      </c>
      <c r="C64" s="8">
        <v>-3.8636349999999999</v>
      </c>
      <c r="D64" s="8">
        <v>40.463821000000003</v>
      </c>
      <c r="E64" s="27">
        <v>1.3678974994665694</v>
      </c>
      <c r="K64" s="27"/>
      <c r="L64" s="27"/>
      <c r="M64" s="27"/>
      <c r="N64" s="27"/>
    </row>
    <row r="65" spans="1:14" x14ac:dyDescent="0.3">
      <c r="A65" s="27" t="s">
        <v>308</v>
      </c>
      <c r="B65" s="26">
        <v>34</v>
      </c>
      <c r="C65" s="8">
        <v>-3.8621759999999998</v>
      </c>
      <c r="D65" s="8">
        <v>40.460816999999999</v>
      </c>
      <c r="E65" s="27">
        <v>1.2513091445009739</v>
      </c>
      <c r="K65" s="27"/>
      <c r="L65" s="27"/>
      <c r="M65" s="27"/>
      <c r="N65" s="27"/>
    </row>
    <row r="66" spans="1:14" x14ac:dyDescent="0.3">
      <c r="A66" s="27" t="s">
        <v>308</v>
      </c>
      <c r="B66" s="26">
        <v>35</v>
      </c>
      <c r="C66" s="8">
        <v>-3.8787410000000002</v>
      </c>
      <c r="D66" s="8">
        <v>40.459837999999998</v>
      </c>
      <c r="E66" s="27">
        <v>0.64693693480964587</v>
      </c>
      <c r="K66" s="27"/>
      <c r="L66" s="27"/>
      <c r="M66" s="27"/>
      <c r="N66" s="27"/>
    </row>
    <row r="67" spans="1:14" x14ac:dyDescent="0.3">
      <c r="A67" s="27" t="s">
        <v>308</v>
      </c>
      <c r="B67" s="26">
        <v>36</v>
      </c>
      <c r="C67" s="8">
        <v>-3.8571119999999999</v>
      </c>
      <c r="D67" s="8">
        <v>40.457616999999999</v>
      </c>
      <c r="E67" s="27">
        <v>1.5222111152718185</v>
      </c>
      <c r="K67" s="27"/>
      <c r="L67" s="27"/>
      <c r="M67" s="27"/>
      <c r="N67" s="27"/>
    </row>
    <row r="68" spans="1:14" x14ac:dyDescent="0.3">
      <c r="A68" s="27" t="s">
        <v>308</v>
      </c>
      <c r="B68" s="26">
        <v>37</v>
      </c>
      <c r="C68" s="8">
        <v>-3.8548800000000001</v>
      </c>
      <c r="D68" s="8">
        <v>40.450432999999997</v>
      </c>
      <c r="E68" s="27">
        <v>1.7516567220116455</v>
      </c>
      <c r="K68" s="27"/>
      <c r="L68" s="27"/>
      <c r="M68" s="27"/>
      <c r="N68" s="27"/>
    </row>
    <row r="69" spans="1:14" x14ac:dyDescent="0.3">
      <c r="A69" s="27" t="s">
        <v>308</v>
      </c>
      <c r="B69" s="26">
        <v>38</v>
      </c>
      <c r="C69" s="8">
        <v>-3.8552550000000001</v>
      </c>
      <c r="D69" s="8">
        <v>40.454509000000002</v>
      </c>
      <c r="E69" s="27">
        <v>1.6491489540483359</v>
      </c>
      <c r="K69" s="27"/>
      <c r="L69" s="27"/>
      <c r="M69" s="27"/>
      <c r="N69" s="27"/>
    </row>
    <row r="70" spans="1:14" x14ac:dyDescent="0.3">
      <c r="A70" s="27" t="s">
        <v>308</v>
      </c>
      <c r="B70" s="26">
        <v>39</v>
      </c>
      <c r="C70" s="8">
        <v>-3.892128</v>
      </c>
      <c r="D70" s="8">
        <v>40.454537999999999</v>
      </c>
      <c r="E70" s="27">
        <v>1.4716960681804472</v>
      </c>
      <c r="K70" s="27"/>
      <c r="L70" s="27"/>
      <c r="M70" s="27"/>
      <c r="N70" s="27"/>
    </row>
    <row r="71" spans="1:14" x14ac:dyDescent="0.3">
      <c r="A71" s="27" t="s">
        <v>308</v>
      </c>
      <c r="B71" s="26">
        <v>40</v>
      </c>
      <c r="C71" s="8">
        <v>-3.8847459999999998</v>
      </c>
      <c r="D71" s="8">
        <v>40.452970999999998</v>
      </c>
      <c r="E71" s="27">
        <v>0.87282649777972954</v>
      </c>
      <c r="K71" s="27"/>
      <c r="L71" s="27"/>
      <c r="M71" s="27"/>
      <c r="N71" s="27"/>
    </row>
    <row r="72" spans="1:14" x14ac:dyDescent="0.3">
      <c r="A72" s="27" t="s">
        <v>308</v>
      </c>
      <c r="B72" s="26">
        <v>41</v>
      </c>
      <c r="C72" s="8">
        <v>-3.8850899999999999</v>
      </c>
      <c r="D72" s="8">
        <v>40.449312999999997</v>
      </c>
      <c r="E72" s="27">
        <v>1.0724404048763494</v>
      </c>
      <c r="K72" s="27"/>
      <c r="L72" s="27"/>
      <c r="M72" s="27"/>
      <c r="N72" s="27"/>
    </row>
    <row r="73" spans="1:14" x14ac:dyDescent="0.3">
      <c r="A73" s="27" t="s">
        <v>308</v>
      </c>
      <c r="B73" s="26">
        <v>42</v>
      </c>
      <c r="C73" s="8">
        <v>-3.897964</v>
      </c>
      <c r="D73" s="8">
        <v>40.453035999999997</v>
      </c>
      <c r="E73" s="27">
        <v>1.9756814623900034</v>
      </c>
      <c r="K73" s="27"/>
      <c r="L73" s="27"/>
      <c r="M73" s="27"/>
      <c r="N73" s="27"/>
    </row>
    <row r="74" spans="1:14" x14ac:dyDescent="0.3">
      <c r="A74" s="27" t="s">
        <v>308</v>
      </c>
      <c r="B74" s="26">
        <v>43</v>
      </c>
      <c r="C74" s="8">
        <v>-3.9060320000000002</v>
      </c>
      <c r="D74" s="8">
        <v>40.455452999999999</v>
      </c>
      <c r="E74" s="27">
        <v>2.648375371088429</v>
      </c>
      <c r="K74" s="27"/>
      <c r="L74" s="27"/>
      <c r="M74" s="27"/>
      <c r="N74" s="27"/>
    </row>
    <row r="75" spans="1:14" x14ac:dyDescent="0.3">
      <c r="A75" s="27" t="s">
        <v>308</v>
      </c>
      <c r="B75" s="26">
        <v>44</v>
      </c>
      <c r="C75" s="8">
        <v>-3.9134989999999998</v>
      </c>
      <c r="D75" s="8">
        <v>40.456758999999998</v>
      </c>
      <c r="E75" s="27">
        <v>3.2860072123890611</v>
      </c>
      <c r="K75" s="27"/>
      <c r="L75" s="27"/>
      <c r="M75" s="27"/>
      <c r="N75" s="27"/>
    </row>
    <row r="76" spans="1:14" x14ac:dyDescent="0.3">
      <c r="A76" s="27" t="s">
        <v>308</v>
      </c>
      <c r="B76" s="26">
        <v>45</v>
      </c>
      <c r="C76" s="8">
        <v>-3.9137569999999999</v>
      </c>
      <c r="D76" s="8">
        <v>40.452122000000003</v>
      </c>
      <c r="E76" s="27">
        <v>3.3155148762174007</v>
      </c>
      <c r="K76" s="27"/>
      <c r="L76" s="27"/>
      <c r="M76" s="27"/>
      <c r="N76" s="27"/>
    </row>
    <row r="77" spans="1:14" x14ac:dyDescent="0.3">
      <c r="A77" s="27" t="s">
        <v>308</v>
      </c>
      <c r="B77" s="26">
        <v>46</v>
      </c>
      <c r="C77" s="8">
        <v>-3.9080919999999999</v>
      </c>
      <c r="D77" s="8">
        <v>40.450423999999998</v>
      </c>
      <c r="E77" s="27">
        <v>2.8651786219581483</v>
      </c>
      <c r="K77" s="27"/>
      <c r="L77" s="27"/>
      <c r="M77" s="27"/>
      <c r="N77" s="27"/>
    </row>
    <row r="78" spans="1:14" x14ac:dyDescent="0.3">
      <c r="A78" s="27" t="s">
        <v>308</v>
      </c>
      <c r="B78" s="26">
        <v>47</v>
      </c>
      <c r="C78" s="8">
        <v>-3.9020839999999999</v>
      </c>
      <c r="D78" s="8">
        <v>40.448399000000002</v>
      </c>
      <c r="E78" s="27">
        <v>2.4233258743772481</v>
      </c>
      <c r="K78" s="27"/>
      <c r="L78" s="27"/>
      <c r="M78" s="27"/>
      <c r="N78" s="27"/>
    </row>
    <row r="79" spans="1:14" x14ac:dyDescent="0.3">
      <c r="A79" s="27" t="s">
        <v>308</v>
      </c>
      <c r="B79" s="26">
        <v>48</v>
      </c>
      <c r="C79" s="8">
        <v>-3.8941880000000002</v>
      </c>
      <c r="D79" s="8">
        <v>40.449705000000002</v>
      </c>
      <c r="E79" s="27">
        <v>1.7432714793856678</v>
      </c>
      <c r="K79" s="27"/>
      <c r="L79" s="27"/>
      <c r="M79" s="27"/>
      <c r="N79" s="27"/>
    </row>
    <row r="80" spans="1:14" x14ac:dyDescent="0.3">
      <c r="A80" s="27" t="s">
        <v>308</v>
      </c>
      <c r="B80" s="26">
        <v>49</v>
      </c>
      <c r="C80" s="8">
        <v>-3.8895529999999998</v>
      </c>
      <c r="D80" s="8">
        <v>40.442520000000002</v>
      </c>
      <c r="E80" s="27">
        <v>1.8601117045009437</v>
      </c>
      <c r="K80" s="27"/>
      <c r="L80" s="27"/>
      <c r="M80" s="27"/>
      <c r="N80" s="27"/>
    </row>
    <row r="81" spans="1:14" x14ac:dyDescent="0.3">
      <c r="A81" s="27" t="s">
        <v>308</v>
      </c>
      <c r="B81" s="26">
        <v>50</v>
      </c>
      <c r="C81" s="8">
        <v>-3.8836300000000001</v>
      </c>
      <c r="D81" s="8">
        <v>40.443761000000002</v>
      </c>
      <c r="E81" s="27">
        <v>1.4472391095508985</v>
      </c>
      <c r="K81" s="27"/>
      <c r="L81" s="27"/>
      <c r="M81" s="27"/>
      <c r="N81" s="27"/>
    </row>
    <row r="82" spans="1:14" x14ac:dyDescent="0.3">
      <c r="A82" s="27" t="s">
        <v>308</v>
      </c>
      <c r="B82" s="26">
        <v>51</v>
      </c>
      <c r="C82" s="8">
        <v>-3.8968479999999999</v>
      </c>
      <c r="D82" s="8">
        <v>40.445394</v>
      </c>
      <c r="E82" s="27">
        <v>2.1475763009955955</v>
      </c>
      <c r="K82" s="27"/>
      <c r="L82" s="27"/>
      <c r="M82" s="27"/>
      <c r="N82" s="27"/>
    </row>
    <row r="83" spans="1:14" x14ac:dyDescent="0.3">
      <c r="A83" s="27" t="s">
        <v>308</v>
      </c>
      <c r="B83" s="26">
        <v>52</v>
      </c>
      <c r="C83" s="8">
        <v>-3.9012259999999999</v>
      </c>
      <c r="D83" s="8">
        <v>40.442650999999998</v>
      </c>
      <c r="E83" s="27">
        <v>2.6214473302696182</v>
      </c>
      <c r="K83" s="27"/>
      <c r="L83" s="27"/>
      <c r="M83" s="27"/>
      <c r="N83" s="27"/>
    </row>
    <row r="84" spans="1:14" x14ac:dyDescent="0.3">
      <c r="A84" s="27" t="s">
        <v>308</v>
      </c>
      <c r="B84" s="26">
        <v>53</v>
      </c>
      <c r="C84" s="8">
        <v>-3.904487</v>
      </c>
      <c r="D84" s="8">
        <v>40.438862</v>
      </c>
      <c r="E84" s="27">
        <v>3.0836135564797105</v>
      </c>
      <c r="K84" s="27"/>
      <c r="L84" s="27"/>
      <c r="M84" s="27"/>
      <c r="N84" s="27"/>
    </row>
    <row r="85" spans="1:14" x14ac:dyDescent="0.3">
      <c r="A85" s="27" t="s">
        <v>308</v>
      </c>
      <c r="B85" s="26">
        <v>54</v>
      </c>
      <c r="C85" s="8">
        <v>-3.90835</v>
      </c>
      <c r="D85" s="8">
        <v>40.441082999999999</v>
      </c>
      <c r="E85" s="27">
        <v>3.231437736878136</v>
      </c>
      <c r="K85" s="27"/>
      <c r="L85" s="27"/>
      <c r="M85" s="27"/>
      <c r="N85" s="27"/>
    </row>
    <row r="86" spans="1:14" x14ac:dyDescent="0.3">
      <c r="A86" s="27" t="s">
        <v>308</v>
      </c>
      <c r="B86" s="26">
        <v>55</v>
      </c>
      <c r="C86" s="8">
        <v>-3.920709</v>
      </c>
      <c r="D86" s="8">
        <v>40.440103000000001</v>
      </c>
      <c r="E86" s="27">
        <v>4.2226722361345717</v>
      </c>
      <c r="K86" s="27"/>
      <c r="L86" s="27"/>
      <c r="M86" s="27"/>
      <c r="N86" s="27"/>
    </row>
    <row r="87" spans="1:14" x14ac:dyDescent="0.3">
      <c r="A87" s="27" t="s">
        <v>308</v>
      </c>
      <c r="B87" s="26">
        <v>56</v>
      </c>
      <c r="C87" s="8">
        <v>-3.9218250000000001</v>
      </c>
      <c r="D87" s="8">
        <v>40.436314000000003</v>
      </c>
      <c r="E87" s="27">
        <v>4.4874849411262501</v>
      </c>
      <c r="K87" s="27"/>
      <c r="L87" s="27"/>
      <c r="M87" s="27"/>
      <c r="N87" s="27"/>
    </row>
    <row r="88" spans="1:14" x14ac:dyDescent="0.3">
      <c r="A88" s="27" t="s">
        <v>308</v>
      </c>
      <c r="B88" s="26">
        <v>57</v>
      </c>
      <c r="C88" s="8">
        <v>-3.9227690000000002</v>
      </c>
      <c r="D88" s="8">
        <v>40.431741000000002</v>
      </c>
      <c r="E88" s="27">
        <v>4.8103725915063178</v>
      </c>
      <c r="K88" s="27"/>
      <c r="L88" s="27"/>
      <c r="M88" s="27"/>
      <c r="N88" s="27"/>
    </row>
    <row r="89" spans="1:14" x14ac:dyDescent="0.3">
      <c r="A89" s="27" t="s">
        <v>308</v>
      </c>
      <c r="B89" s="26">
        <v>58</v>
      </c>
      <c r="C89" s="8">
        <v>-3.9225120000000002</v>
      </c>
      <c r="D89" s="8">
        <v>40.427233000000001</v>
      </c>
      <c r="E89" s="27">
        <v>5.078896346405001</v>
      </c>
      <c r="K89" s="27"/>
      <c r="L89" s="27"/>
      <c r="M89" s="27"/>
      <c r="N89" s="27"/>
    </row>
    <row r="90" spans="1:14" x14ac:dyDescent="0.3">
      <c r="A90" s="27" t="s">
        <v>308</v>
      </c>
      <c r="B90" s="26">
        <v>59</v>
      </c>
      <c r="C90" s="8">
        <v>-3.921224</v>
      </c>
      <c r="D90" s="8">
        <v>40.422463</v>
      </c>
      <c r="E90" s="27">
        <v>5.3356601489615851</v>
      </c>
      <c r="K90" s="27"/>
      <c r="L90" s="27"/>
      <c r="M90" s="27"/>
      <c r="N90" s="27"/>
    </row>
    <row r="91" spans="1:14" x14ac:dyDescent="0.3">
      <c r="A91" s="27" t="s">
        <v>308</v>
      </c>
      <c r="B91" s="26">
        <v>60</v>
      </c>
      <c r="C91" s="8">
        <v>-3.9154740000000001</v>
      </c>
      <c r="D91" s="8">
        <v>40.425860999999998</v>
      </c>
      <c r="E91" s="27">
        <v>4.721818401864347</v>
      </c>
      <c r="K91" s="27"/>
      <c r="L91" s="27"/>
      <c r="M91" s="27"/>
      <c r="N91" s="27"/>
    </row>
    <row r="92" spans="1:14" x14ac:dyDescent="0.3">
      <c r="A92" s="27" t="s">
        <v>308</v>
      </c>
      <c r="B92" s="26">
        <v>61</v>
      </c>
      <c r="C92" s="8">
        <v>-3.9171040000000001</v>
      </c>
      <c r="D92" s="8">
        <v>40.430107999999997</v>
      </c>
      <c r="E92" s="27">
        <v>4.5210852485425317</v>
      </c>
      <c r="K92" s="27"/>
      <c r="L92" s="27"/>
      <c r="M92" s="27"/>
      <c r="N92" s="27"/>
    </row>
    <row r="93" spans="1:14" x14ac:dyDescent="0.3">
      <c r="A93" s="27" t="s">
        <v>308</v>
      </c>
      <c r="B93" s="26">
        <v>62</v>
      </c>
      <c r="C93" s="8">
        <v>-3.9121260000000002</v>
      </c>
      <c r="D93" s="8">
        <v>40.432198</v>
      </c>
      <c r="E93" s="27">
        <v>4.0460516741048096</v>
      </c>
      <c r="K93" s="27"/>
      <c r="L93" s="27"/>
      <c r="M93" s="27"/>
      <c r="N93" s="27"/>
    </row>
    <row r="94" spans="1:14" x14ac:dyDescent="0.3">
      <c r="A94" s="27" t="s">
        <v>308</v>
      </c>
      <c r="B94" s="26">
        <v>63</v>
      </c>
      <c r="C94" s="8">
        <v>-3.9178769999999998</v>
      </c>
      <c r="D94" s="8">
        <v>40.417824000000003</v>
      </c>
      <c r="E94" s="27">
        <v>5.5051431975874667</v>
      </c>
      <c r="K94" s="27"/>
      <c r="L94" s="27"/>
      <c r="M94" s="27"/>
      <c r="N94" s="27"/>
    </row>
    <row r="95" spans="1:14" x14ac:dyDescent="0.3">
      <c r="A95" s="27" t="s">
        <v>308</v>
      </c>
      <c r="B95" s="26">
        <v>64</v>
      </c>
      <c r="C95" s="8">
        <v>-3.9132419999999999</v>
      </c>
      <c r="D95" s="8">
        <v>40.421156000000003</v>
      </c>
      <c r="E95" s="27">
        <v>4.9678668503874839</v>
      </c>
      <c r="K95" s="27"/>
      <c r="L95" s="27"/>
      <c r="M95" s="27"/>
      <c r="N95" s="27"/>
    </row>
    <row r="96" spans="1:14" x14ac:dyDescent="0.3">
      <c r="A96" s="27" t="s">
        <v>308</v>
      </c>
      <c r="B96" s="26">
        <v>65</v>
      </c>
      <c r="C96" s="8">
        <v>-3.8969339999999999</v>
      </c>
      <c r="D96" s="8">
        <v>40.433309000000001</v>
      </c>
      <c r="E96" s="27">
        <v>3.0464106816423415</v>
      </c>
      <c r="K96" s="27"/>
      <c r="L96" s="27"/>
      <c r="M96" s="27"/>
      <c r="N96" s="27"/>
    </row>
    <row r="97" spans="1:14" x14ac:dyDescent="0.3">
      <c r="A97" s="27" t="s">
        <v>308</v>
      </c>
      <c r="B97" s="26">
        <v>66</v>
      </c>
      <c r="C97" s="8">
        <v>-3.9093800000000001</v>
      </c>
      <c r="D97" s="8">
        <v>40.428801</v>
      </c>
      <c r="E97" s="27">
        <v>4.1234236332331102</v>
      </c>
      <c r="K97" s="27"/>
      <c r="L97" s="27"/>
      <c r="M97" s="27"/>
      <c r="N97" s="27"/>
    </row>
    <row r="98" spans="1:14" x14ac:dyDescent="0.3">
      <c r="A98" s="27" t="s">
        <v>308</v>
      </c>
      <c r="B98" s="26">
        <v>67</v>
      </c>
      <c r="C98" s="8">
        <v>-3.9076629999999999</v>
      </c>
      <c r="D98" s="8">
        <v>40.423834999999997</v>
      </c>
      <c r="E98" s="27">
        <v>4.4362015348864343</v>
      </c>
      <c r="K98" s="27"/>
      <c r="L98" s="27"/>
      <c r="M98" s="27"/>
      <c r="N98" s="27"/>
    </row>
    <row r="99" spans="1:14" x14ac:dyDescent="0.3">
      <c r="A99" s="27" t="s">
        <v>308</v>
      </c>
      <c r="B99" s="26">
        <v>68</v>
      </c>
      <c r="C99" s="8">
        <v>-3.9159030000000001</v>
      </c>
      <c r="D99" s="8">
        <v>40.436444999999999</v>
      </c>
      <c r="E99" s="27">
        <v>4.0416916934506162</v>
      </c>
      <c r="K99" s="27"/>
      <c r="L99" s="27"/>
      <c r="M99" s="27"/>
      <c r="N99" s="27"/>
    </row>
    <row r="100" spans="1:14" x14ac:dyDescent="0.3">
      <c r="A100" s="27" t="s">
        <v>308</v>
      </c>
      <c r="B100" s="26">
        <v>69</v>
      </c>
      <c r="C100" s="8">
        <v>-3.9086069999999999</v>
      </c>
      <c r="D100" s="8">
        <v>40.418084999999998</v>
      </c>
      <c r="E100" s="27">
        <v>4.9955210827568823</v>
      </c>
      <c r="K100" s="27"/>
      <c r="L100" s="27"/>
      <c r="M100" s="27"/>
      <c r="N100" s="27"/>
    </row>
    <row r="101" spans="1:14" x14ac:dyDescent="0.3">
      <c r="A101" s="27" t="s">
        <v>308</v>
      </c>
      <c r="B101" s="26">
        <v>70</v>
      </c>
      <c r="C101" s="8">
        <v>-3.903715</v>
      </c>
      <c r="D101" s="8">
        <v>40.420175999999998</v>
      </c>
      <c r="E101" s="27">
        <v>4.5721457832807655</v>
      </c>
      <c r="K101" s="27"/>
      <c r="L101" s="27"/>
      <c r="M101" s="27"/>
      <c r="N101" s="27"/>
    </row>
    <row r="102" spans="1:14" x14ac:dyDescent="0.3">
      <c r="A102" s="27" t="s">
        <v>308</v>
      </c>
      <c r="B102" s="26">
        <v>71</v>
      </c>
      <c r="C102" s="8">
        <v>-3.9024269999999999</v>
      </c>
      <c r="D102" s="8">
        <v>40.415733000000003</v>
      </c>
      <c r="E102" s="27">
        <v>4.9435946983859687</v>
      </c>
      <c r="K102" s="27"/>
      <c r="L102" s="27"/>
      <c r="M102" s="27"/>
      <c r="N102" s="27"/>
    </row>
    <row r="103" spans="1:14" x14ac:dyDescent="0.3">
      <c r="A103" s="27" t="s">
        <v>308</v>
      </c>
      <c r="B103" s="26">
        <v>72</v>
      </c>
      <c r="C103" s="8">
        <v>-3.8958179999999998</v>
      </c>
      <c r="D103" s="8">
        <v>40.414425999999999</v>
      </c>
      <c r="E103" s="27">
        <v>4.8391107419481028</v>
      </c>
      <c r="K103" s="27"/>
      <c r="L103" s="27"/>
      <c r="M103" s="27"/>
      <c r="N103" s="27"/>
    </row>
    <row r="104" spans="1:14" x14ac:dyDescent="0.3">
      <c r="A104" s="27" t="s">
        <v>308</v>
      </c>
      <c r="B104" s="26">
        <v>73</v>
      </c>
      <c r="C104" s="8">
        <v>-3.8966769999999999</v>
      </c>
      <c r="D104" s="8">
        <v>40.419522999999998</v>
      </c>
      <c r="E104" s="27">
        <v>4.3478423561737243</v>
      </c>
      <c r="K104" s="27"/>
      <c r="L104" s="27"/>
      <c r="M104" s="27"/>
      <c r="N104" s="27"/>
    </row>
    <row r="105" spans="1:14" x14ac:dyDescent="0.3">
      <c r="A105" s="27" t="s">
        <v>308</v>
      </c>
      <c r="B105" s="26">
        <v>74</v>
      </c>
      <c r="C105" s="8">
        <v>-3.8935870000000001</v>
      </c>
      <c r="D105" s="8">
        <v>40.423378</v>
      </c>
      <c r="E105" s="27">
        <v>3.8489138116927792</v>
      </c>
      <c r="K105" s="27"/>
      <c r="L105" s="27"/>
      <c r="M105" s="27"/>
      <c r="N105" s="27"/>
    </row>
    <row r="106" spans="1:14" x14ac:dyDescent="0.3">
      <c r="A106" s="27" t="s">
        <v>308</v>
      </c>
      <c r="B106" s="26">
        <v>75</v>
      </c>
      <c r="C106" s="8">
        <v>-3.9116110000000002</v>
      </c>
      <c r="D106" s="8">
        <v>40.438012999999998</v>
      </c>
      <c r="E106" s="27">
        <v>3.6403728953605277</v>
      </c>
      <c r="K106" s="27"/>
      <c r="L106" s="27"/>
      <c r="M106" s="27"/>
      <c r="N106" s="27"/>
    </row>
    <row r="107" spans="1:14" x14ac:dyDescent="0.3">
      <c r="A107" s="27" t="s">
        <v>308</v>
      </c>
      <c r="B107" s="26">
        <v>76</v>
      </c>
      <c r="C107" s="8">
        <v>-3.8987370000000001</v>
      </c>
      <c r="D107" s="8">
        <v>40.438012999999998</v>
      </c>
      <c r="E107" s="27">
        <v>2.7642555248319085</v>
      </c>
      <c r="K107" s="27"/>
      <c r="L107" s="27"/>
      <c r="M107" s="27"/>
      <c r="N107" s="27"/>
    </row>
    <row r="108" spans="1:14" x14ac:dyDescent="0.3">
      <c r="A108" s="27" t="s">
        <v>308</v>
      </c>
      <c r="B108" s="26">
        <v>77</v>
      </c>
      <c r="C108" s="8">
        <v>-3.9076629999999999</v>
      </c>
      <c r="D108" s="8">
        <v>40.434353999999999</v>
      </c>
      <c r="E108" s="27">
        <v>3.6015740163812104</v>
      </c>
      <c r="K108" s="27"/>
      <c r="L108" s="27"/>
      <c r="M108" s="27"/>
      <c r="N108" s="27"/>
    </row>
    <row r="109" spans="1:14" x14ac:dyDescent="0.3">
      <c r="A109" s="27" t="s">
        <v>308</v>
      </c>
      <c r="B109" s="26">
        <v>78</v>
      </c>
      <c r="C109" s="8">
        <v>-3.9021699999999999</v>
      </c>
      <c r="D109" s="8">
        <v>40.434224</v>
      </c>
      <c r="E109" s="27">
        <v>3.265503387431159</v>
      </c>
      <c r="K109" s="27"/>
      <c r="L109" s="27"/>
      <c r="M109" s="27"/>
      <c r="N109" s="27"/>
    </row>
    <row r="110" spans="1:14" x14ac:dyDescent="0.3">
      <c r="A110" s="27" t="s">
        <v>308</v>
      </c>
      <c r="B110" s="26">
        <v>79</v>
      </c>
      <c r="C110" s="8">
        <v>-3.8989940000000001</v>
      </c>
      <c r="D110" s="8">
        <v>40.428865999999999</v>
      </c>
      <c r="E110" s="27">
        <v>3.5468524996842898</v>
      </c>
      <c r="K110" s="27"/>
      <c r="L110" s="27"/>
      <c r="M110" s="27"/>
      <c r="N110" s="27"/>
    </row>
    <row r="111" spans="1:14" x14ac:dyDescent="0.3">
      <c r="A111" s="27" t="s">
        <v>308</v>
      </c>
      <c r="B111" s="26">
        <v>80</v>
      </c>
      <c r="C111" s="8">
        <v>-3.88775</v>
      </c>
      <c r="D111" s="8">
        <v>40.428277999999999</v>
      </c>
      <c r="E111" s="27">
        <v>3.1562635102757564</v>
      </c>
      <c r="K111" s="27"/>
      <c r="L111" s="27"/>
      <c r="M111" s="27"/>
      <c r="N111" s="27"/>
    </row>
    <row r="112" spans="1:14" x14ac:dyDescent="0.3">
      <c r="A112" s="27" t="s">
        <v>308</v>
      </c>
      <c r="B112" s="26">
        <v>81</v>
      </c>
      <c r="C112" s="8">
        <v>-3.9047450000000001</v>
      </c>
      <c r="D112" s="8">
        <v>40.429845999999998</v>
      </c>
      <c r="E112" s="27">
        <v>3.7677929284273022</v>
      </c>
      <c r="K112" s="27"/>
      <c r="L112" s="27"/>
      <c r="M112" s="27"/>
      <c r="N112" s="27"/>
    </row>
    <row r="113" spans="1:14" x14ac:dyDescent="0.3">
      <c r="A113" s="27" t="s">
        <v>308</v>
      </c>
      <c r="B113" s="26">
        <v>82</v>
      </c>
      <c r="C113" s="8">
        <v>-3.9011399999999998</v>
      </c>
      <c r="D113" s="8">
        <v>40.425077000000002</v>
      </c>
      <c r="E113" s="27">
        <v>3.9967331046612466</v>
      </c>
      <c r="K113" s="27"/>
      <c r="L113" s="27"/>
      <c r="M113" s="27"/>
      <c r="N113" s="27"/>
    </row>
    <row r="114" spans="1:14" x14ac:dyDescent="0.3">
      <c r="A114" s="27" t="s">
        <v>308</v>
      </c>
      <c r="B114" s="26">
        <v>83</v>
      </c>
      <c r="C114" s="8">
        <v>-3.8946170000000002</v>
      </c>
      <c r="D114" s="8">
        <v>40.427886000000001</v>
      </c>
      <c r="E114" s="27">
        <v>3.4408065796944314</v>
      </c>
      <c r="K114" s="27"/>
      <c r="L114" s="27"/>
      <c r="M114" s="27"/>
      <c r="N114" s="27"/>
    </row>
    <row r="115" spans="1:14" x14ac:dyDescent="0.3">
      <c r="A115" s="27" t="s">
        <v>308</v>
      </c>
      <c r="B115" s="26">
        <v>84</v>
      </c>
      <c r="C115" s="8">
        <v>-3.892042</v>
      </c>
      <c r="D115" s="8">
        <v>40.432068000000001</v>
      </c>
      <c r="E115" s="27">
        <v>2.9288280197145062</v>
      </c>
      <c r="K115" s="27"/>
      <c r="L115" s="27"/>
      <c r="M115" s="27"/>
      <c r="N115" s="27"/>
    </row>
    <row r="116" spans="1:14" x14ac:dyDescent="0.3">
      <c r="A116" s="27" t="s">
        <v>308</v>
      </c>
      <c r="B116" s="26">
        <v>85</v>
      </c>
      <c r="C116" s="8">
        <v>-3.8855189999999999</v>
      </c>
      <c r="D116" s="8">
        <v>40.432851999999997</v>
      </c>
      <c r="E116" s="27">
        <v>2.6137346804149537</v>
      </c>
      <c r="K116" s="27"/>
      <c r="L116" s="27"/>
      <c r="M116" s="27"/>
      <c r="N116" s="27"/>
    </row>
    <row r="117" spans="1:14" x14ac:dyDescent="0.3">
      <c r="A117" s="27" t="s">
        <v>308</v>
      </c>
      <c r="B117" s="26">
        <v>86</v>
      </c>
      <c r="C117" s="8">
        <v>-3.8893810000000002</v>
      </c>
      <c r="D117" s="8">
        <v>40.437359999999998</v>
      </c>
      <c r="E117" s="27">
        <v>2.3087223090467281</v>
      </c>
      <c r="K117" s="27"/>
      <c r="L117" s="27"/>
      <c r="M117" s="27"/>
      <c r="N117" s="27"/>
    </row>
    <row r="118" spans="1:14" x14ac:dyDescent="0.3">
      <c r="A118" s="27" t="s">
        <v>308</v>
      </c>
      <c r="B118" s="26">
        <v>87</v>
      </c>
      <c r="C118" s="8">
        <v>-3.8947880000000001</v>
      </c>
      <c r="D118" s="8">
        <v>40.440168</v>
      </c>
      <c r="E118" s="27">
        <v>2.3567157262430731</v>
      </c>
      <c r="K118" s="27"/>
      <c r="L118" s="27"/>
      <c r="M118" s="27"/>
      <c r="N118" s="27"/>
    </row>
    <row r="119" spans="1:14" x14ac:dyDescent="0.3">
      <c r="A119" s="27" t="s">
        <v>308</v>
      </c>
      <c r="B119" s="26">
        <v>88</v>
      </c>
      <c r="C119" s="8">
        <v>-3.8880940000000002</v>
      </c>
      <c r="D119" s="8">
        <v>40.446373999999999</v>
      </c>
      <c r="E119" s="27">
        <v>1.4735609275883397</v>
      </c>
      <c r="K119" s="27"/>
      <c r="L119" s="27"/>
      <c r="M119" s="27"/>
      <c r="N119" s="27"/>
    </row>
    <row r="120" spans="1:14" x14ac:dyDescent="0.3">
      <c r="A120" s="27" t="s">
        <v>308</v>
      </c>
      <c r="B120" s="26">
        <v>89</v>
      </c>
      <c r="C120" s="8">
        <v>-3.8832010000000001</v>
      </c>
      <c r="D120" s="8">
        <v>40.438665999999998</v>
      </c>
      <c r="E120" s="27">
        <v>1.9398756871214746</v>
      </c>
      <c r="K120" s="27"/>
      <c r="L120" s="27"/>
      <c r="M120" s="27"/>
      <c r="N120" s="27"/>
    </row>
    <row r="121" spans="1:14" x14ac:dyDescent="0.3">
      <c r="A121" s="27" t="s">
        <v>308</v>
      </c>
      <c r="B121" s="26">
        <v>90</v>
      </c>
      <c r="C121" s="8">
        <v>-3.8881790000000001</v>
      </c>
      <c r="D121" s="8">
        <v>40.422006000000003</v>
      </c>
      <c r="E121" s="27">
        <v>3.8282741926626249</v>
      </c>
      <c r="K121" s="27"/>
      <c r="L121" s="27"/>
      <c r="M121" s="27"/>
      <c r="N121" s="27"/>
    </row>
    <row r="122" spans="1:14" x14ac:dyDescent="0.3">
      <c r="A122" s="27" t="s">
        <v>308</v>
      </c>
      <c r="B122" s="26">
        <v>91</v>
      </c>
      <c r="C122" s="8">
        <v>-3.8735019999999998</v>
      </c>
      <c r="D122" s="8">
        <v>40.431153000000002</v>
      </c>
      <c r="E122" s="27">
        <v>2.640401291737025</v>
      </c>
      <c r="K122" s="27"/>
      <c r="L122" s="27"/>
      <c r="M122" s="27"/>
      <c r="N122" s="27"/>
    </row>
    <row r="123" spans="1:14" x14ac:dyDescent="0.3">
      <c r="A123" s="27" t="s">
        <v>308</v>
      </c>
      <c r="B123" s="26">
        <v>92</v>
      </c>
      <c r="C123" s="8">
        <v>-3.874447</v>
      </c>
      <c r="D123" s="8">
        <v>40.424554000000001</v>
      </c>
      <c r="E123" s="27">
        <v>3.3721885119353372</v>
      </c>
      <c r="K123" s="27"/>
      <c r="L123" s="27"/>
      <c r="M123" s="27"/>
      <c r="N123" s="27"/>
    </row>
    <row r="124" spans="1:14" x14ac:dyDescent="0.3">
      <c r="A124" s="27" t="s">
        <v>308</v>
      </c>
      <c r="B124" s="26">
        <v>93</v>
      </c>
      <c r="C124" s="8">
        <v>-3.881313</v>
      </c>
      <c r="D124" s="8">
        <v>40.423378</v>
      </c>
      <c r="E124" s="27">
        <v>3.5467570491325757</v>
      </c>
      <c r="K124" s="27"/>
      <c r="L124" s="27"/>
      <c r="M124" s="27"/>
      <c r="N124" s="27"/>
    </row>
    <row r="125" spans="1:14" x14ac:dyDescent="0.3">
      <c r="A125" s="27" t="s">
        <v>308</v>
      </c>
      <c r="B125" s="26">
        <v>94</v>
      </c>
      <c r="C125" s="8">
        <v>-3.8794249999999999</v>
      </c>
      <c r="D125" s="8">
        <v>40.418281</v>
      </c>
      <c r="E125" s="27">
        <v>4.0888934497352603</v>
      </c>
      <c r="K125" s="27"/>
      <c r="L125" s="27"/>
      <c r="M125" s="27"/>
      <c r="N125" s="27"/>
    </row>
    <row r="126" spans="1:14" x14ac:dyDescent="0.3">
      <c r="A126" s="27" t="s">
        <v>308</v>
      </c>
      <c r="B126" s="26">
        <v>95</v>
      </c>
      <c r="C126" s="8">
        <v>-3.8837160000000002</v>
      </c>
      <c r="D126" s="8">
        <v>40.414490999999998</v>
      </c>
      <c r="E126" s="27">
        <v>4.554851697361805</v>
      </c>
      <c r="K126" s="27"/>
      <c r="L126" s="27"/>
      <c r="M126" s="27"/>
      <c r="N126" s="27"/>
    </row>
    <row r="127" spans="1:14" x14ac:dyDescent="0.3">
      <c r="A127" s="27" t="s">
        <v>308</v>
      </c>
      <c r="B127" s="26">
        <v>96</v>
      </c>
      <c r="C127" s="8">
        <v>-3.8519589999999999</v>
      </c>
      <c r="D127" s="8">
        <v>40.410308999999998</v>
      </c>
      <c r="E127" s="27">
        <v>5.3179275570227187</v>
      </c>
      <c r="K127" s="27"/>
      <c r="L127" s="27"/>
      <c r="M127" s="27"/>
      <c r="N127" s="27"/>
    </row>
    <row r="128" spans="1:14" x14ac:dyDescent="0.3">
      <c r="A128" s="27" t="s">
        <v>308</v>
      </c>
      <c r="B128" s="26">
        <v>97</v>
      </c>
      <c r="C128" s="8">
        <v>-3.8452639999999998</v>
      </c>
      <c r="D128" s="8">
        <v>40.411354000000003</v>
      </c>
      <c r="E128" s="27">
        <v>5.4450206864076973</v>
      </c>
      <c r="K128" s="27"/>
      <c r="L128" s="27"/>
      <c r="M128" s="27"/>
      <c r="N128" s="27"/>
    </row>
    <row r="129" spans="1:14" x14ac:dyDescent="0.3">
      <c r="A129" s="27" t="s">
        <v>308</v>
      </c>
      <c r="B129" s="26">
        <v>98</v>
      </c>
      <c r="C129" s="8">
        <v>-3.8463799999999999</v>
      </c>
      <c r="D129" s="8">
        <v>40.407302000000001</v>
      </c>
      <c r="E129" s="27">
        <v>5.8095229178704262</v>
      </c>
      <c r="K129" s="27"/>
      <c r="L129" s="27"/>
      <c r="M129" s="27"/>
      <c r="N129" s="27"/>
    </row>
    <row r="130" spans="1:14" x14ac:dyDescent="0.3">
      <c r="A130" s="27" t="s">
        <v>308</v>
      </c>
      <c r="B130" s="26">
        <v>99</v>
      </c>
      <c r="C130" s="8">
        <v>-3.8404579999999999</v>
      </c>
      <c r="D130" s="8">
        <v>40.398217000000002</v>
      </c>
      <c r="E130" s="27">
        <v>6.9367599869043417</v>
      </c>
      <c r="K130" s="27"/>
      <c r="L130" s="27"/>
      <c r="M130" s="27"/>
      <c r="N130" s="27"/>
    </row>
    <row r="131" spans="1:14" x14ac:dyDescent="0.3">
      <c r="A131" s="27" t="s">
        <v>308</v>
      </c>
      <c r="B131" s="26">
        <v>100</v>
      </c>
      <c r="C131" s="8">
        <v>-3.8508429999999998</v>
      </c>
      <c r="D131" s="8">
        <v>40.398479000000002</v>
      </c>
      <c r="E131" s="27">
        <v>6.5896433731372515</v>
      </c>
      <c r="K131" s="27"/>
      <c r="L131" s="27"/>
      <c r="M131" s="27"/>
      <c r="N131" s="27"/>
    </row>
    <row r="132" spans="1:14" x14ac:dyDescent="0.3">
      <c r="A132" s="27" t="s">
        <v>308</v>
      </c>
      <c r="B132" s="26">
        <v>101</v>
      </c>
      <c r="C132" s="8">
        <v>-3.8441480000000001</v>
      </c>
      <c r="D132" s="8">
        <v>40.403053999999997</v>
      </c>
      <c r="E132" s="27">
        <v>6.3178060224638326</v>
      </c>
      <c r="K132" s="27"/>
      <c r="L132" s="27"/>
      <c r="M132" s="27"/>
      <c r="N132" s="27"/>
    </row>
    <row r="133" spans="1:14" x14ac:dyDescent="0.3">
      <c r="A133" s="27" t="s">
        <v>308</v>
      </c>
      <c r="B133" s="26">
        <v>102</v>
      </c>
      <c r="C133" s="8">
        <v>-3.8286989999999999</v>
      </c>
      <c r="D133" s="8">
        <v>40.414230000000003</v>
      </c>
      <c r="E133" s="27">
        <v>5.9678670443002462</v>
      </c>
      <c r="K133" s="27"/>
      <c r="L133" s="27"/>
      <c r="M133" s="27"/>
      <c r="N133" s="27"/>
    </row>
    <row r="134" spans="1:14" x14ac:dyDescent="0.3">
      <c r="A134" s="27" t="s">
        <v>308</v>
      </c>
      <c r="B134" s="26">
        <v>103</v>
      </c>
      <c r="C134" s="8">
        <v>-3.8340200000000002</v>
      </c>
      <c r="D134" s="8">
        <v>40.415928999999998</v>
      </c>
      <c r="E134" s="27">
        <v>5.5349824711232358</v>
      </c>
      <c r="K134" s="27"/>
      <c r="L134" s="27"/>
      <c r="M134" s="27"/>
      <c r="N134" s="27"/>
    </row>
    <row r="135" spans="1:14" x14ac:dyDescent="0.3">
      <c r="A135" s="27" t="s">
        <v>308</v>
      </c>
      <c r="B135" s="26">
        <v>104</v>
      </c>
      <c r="C135" s="8">
        <v>-3.835737</v>
      </c>
      <c r="D135" s="8">
        <v>40.420634</v>
      </c>
      <c r="E135" s="27">
        <v>5.0395033663046291</v>
      </c>
      <c r="K135" s="27"/>
      <c r="L135" s="27"/>
      <c r="M135" s="27"/>
      <c r="N135" s="27"/>
    </row>
    <row r="136" spans="1:14" x14ac:dyDescent="0.3">
      <c r="A136" s="27" t="s">
        <v>308</v>
      </c>
      <c r="B136" s="26">
        <v>105</v>
      </c>
      <c r="C136" s="8">
        <v>-3.8451780000000002</v>
      </c>
      <c r="D136" s="8">
        <v>40.421025999999998</v>
      </c>
      <c r="E136" s="27">
        <v>4.5199591815102513</v>
      </c>
      <c r="K136" s="27"/>
      <c r="L136" s="27"/>
      <c r="M136" s="27"/>
      <c r="N136" s="27"/>
    </row>
    <row r="137" spans="1:14" x14ac:dyDescent="0.3">
      <c r="A137" s="27" t="s">
        <v>308</v>
      </c>
      <c r="B137" s="26">
        <v>106</v>
      </c>
      <c r="C137" s="8">
        <v>-3.8408009999999999</v>
      </c>
      <c r="D137" s="8">
        <v>40.423966</v>
      </c>
      <c r="E137" s="27">
        <v>4.4795146190849975</v>
      </c>
      <c r="K137" s="27"/>
      <c r="L137" s="27"/>
      <c r="M137" s="27"/>
      <c r="N137" s="27"/>
    </row>
    <row r="138" spans="1:14" x14ac:dyDescent="0.3">
      <c r="A138" s="27" t="s">
        <v>308</v>
      </c>
      <c r="B138" s="26">
        <v>107</v>
      </c>
      <c r="C138" s="8">
        <v>-3.8492120000000001</v>
      </c>
      <c r="D138" s="8">
        <v>40.425925999999997</v>
      </c>
      <c r="E138" s="27">
        <v>3.8772052355929869</v>
      </c>
      <c r="K138" s="27"/>
      <c r="L138" s="27"/>
      <c r="M138" s="27"/>
      <c r="N138" s="27"/>
    </row>
    <row r="139" spans="1:14" x14ac:dyDescent="0.3">
      <c r="A139" s="27" t="s">
        <v>308</v>
      </c>
      <c r="B139" s="26">
        <v>108</v>
      </c>
      <c r="C139" s="8">
        <v>-3.843547</v>
      </c>
      <c r="D139" s="8">
        <v>40.428213</v>
      </c>
      <c r="E139" s="27">
        <v>3.9700114194347691</v>
      </c>
      <c r="K139" s="27"/>
      <c r="L139" s="27"/>
      <c r="M139" s="27"/>
      <c r="N139" s="27"/>
    </row>
    <row r="140" spans="1:14" x14ac:dyDescent="0.3">
      <c r="A140" s="27" t="s">
        <v>308</v>
      </c>
      <c r="B140" s="26">
        <v>109</v>
      </c>
      <c r="C140" s="8">
        <v>-3.8520449999999999</v>
      </c>
      <c r="D140" s="8">
        <v>40.431480000000001</v>
      </c>
      <c r="E140" s="27">
        <v>3.2340002513732293</v>
      </c>
      <c r="K140" s="27"/>
      <c r="L140" s="27"/>
      <c r="M140" s="27"/>
      <c r="N140" s="27"/>
    </row>
    <row r="141" spans="1:14" x14ac:dyDescent="0.3">
      <c r="A141" s="27" t="s">
        <v>308</v>
      </c>
      <c r="B141" s="26">
        <v>110</v>
      </c>
      <c r="C141" s="8">
        <v>-3.8471519999999999</v>
      </c>
      <c r="D141" s="8">
        <v>40.433504999999997</v>
      </c>
      <c r="E141" s="27">
        <v>3.3315872844073464</v>
      </c>
      <c r="K141" s="27"/>
      <c r="L141" s="27"/>
      <c r="M141" s="27"/>
      <c r="N141" s="27"/>
    </row>
    <row r="142" spans="1:14" x14ac:dyDescent="0.3">
      <c r="A142" s="27" t="s">
        <v>308</v>
      </c>
      <c r="B142" s="26">
        <v>111</v>
      </c>
      <c r="C142" s="8">
        <v>-3.8568509999999998</v>
      </c>
      <c r="D142" s="8">
        <v>40.438405000000003</v>
      </c>
      <c r="E142" s="27">
        <v>2.3764488554347549</v>
      </c>
      <c r="K142" s="27"/>
      <c r="L142" s="27"/>
      <c r="M142" s="27"/>
      <c r="N142" s="27"/>
    </row>
    <row r="143" spans="1:14" x14ac:dyDescent="0.3">
      <c r="A143" s="27" t="s">
        <v>308</v>
      </c>
      <c r="B143" s="26">
        <v>112</v>
      </c>
      <c r="C143" s="8">
        <v>-3.8503280000000002</v>
      </c>
      <c r="D143" s="8">
        <v>40.438077999999997</v>
      </c>
      <c r="E143" s="27">
        <v>2.785300941960859</v>
      </c>
      <c r="K143" s="27"/>
      <c r="L143" s="27"/>
      <c r="M143" s="27"/>
      <c r="N143" s="27"/>
    </row>
    <row r="144" spans="1:14" x14ac:dyDescent="0.3">
      <c r="A144" s="27" t="s">
        <v>308</v>
      </c>
      <c r="B144" s="26">
        <v>113</v>
      </c>
      <c r="C144" s="8">
        <v>-3.8601130000000001</v>
      </c>
      <c r="D144" s="8">
        <v>40.442455000000002</v>
      </c>
      <c r="E144" s="27">
        <v>1.8549199954728106</v>
      </c>
      <c r="K144" s="27"/>
      <c r="L144" s="27"/>
      <c r="M144" s="27"/>
      <c r="N144" s="27"/>
    </row>
    <row r="145" spans="1:14" x14ac:dyDescent="0.3">
      <c r="A145" s="27" t="s">
        <v>308</v>
      </c>
      <c r="B145" s="26">
        <v>114</v>
      </c>
      <c r="C145" s="8">
        <v>-3.85419</v>
      </c>
      <c r="D145" s="8">
        <v>40.442912</v>
      </c>
      <c r="E145" s="27">
        <v>2.1896863915629798</v>
      </c>
      <c r="K145" s="27"/>
      <c r="L145" s="27"/>
      <c r="M145" s="27"/>
      <c r="N145" s="27"/>
    </row>
    <row r="146" spans="1:14" x14ac:dyDescent="0.3">
      <c r="A146" s="27" t="s">
        <v>308</v>
      </c>
      <c r="B146" s="26">
        <v>115</v>
      </c>
      <c r="C146" s="8">
        <v>-3.8484400000000001</v>
      </c>
      <c r="D146" s="8">
        <v>40.441932000000001</v>
      </c>
      <c r="E146" s="27">
        <v>2.6505775009443839</v>
      </c>
      <c r="K146" s="27"/>
      <c r="L146" s="27"/>
      <c r="M146" s="27"/>
      <c r="N146" s="27"/>
    </row>
    <row r="147" spans="1:14" x14ac:dyDescent="0.3">
      <c r="A147" s="27" t="s">
        <v>308</v>
      </c>
      <c r="B147" s="26">
        <v>116</v>
      </c>
      <c r="C147" s="8">
        <v>-3.847925</v>
      </c>
      <c r="D147" s="8">
        <v>40.447288</v>
      </c>
      <c r="E147" s="27">
        <v>2.4209065184991401</v>
      </c>
      <c r="K147" s="27"/>
      <c r="L147" s="27"/>
      <c r="M147" s="27"/>
      <c r="N147" s="27"/>
    </row>
    <row r="148" spans="1:14" x14ac:dyDescent="0.3">
      <c r="A148" s="27" t="s">
        <v>308</v>
      </c>
      <c r="B148" s="26">
        <v>117</v>
      </c>
      <c r="C148" s="8">
        <v>-3.8438050000000001</v>
      </c>
      <c r="D148" s="8">
        <v>40.444284000000003</v>
      </c>
      <c r="E148" s="27">
        <v>2.8705650511406784</v>
      </c>
      <c r="K148" s="27"/>
      <c r="L148" s="27"/>
      <c r="M148" s="27"/>
      <c r="N148" s="27"/>
    </row>
    <row r="149" spans="1:14" x14ac:dyDescent="0.3">
      <c r="A149" s="27" t="s">
        <v>308</v>
      </c>
      <c r="B149" s="26">
        <v>118</v>
      </c>
      <c r="C149" s="8">
        <v>-3.8397709999999998</v>
      </c>
      <c r="D149" s="8">
        <v>40.441540000000003</v>
      </c>
      <c r="E149" s="27">
        <v>3.310004350130054</v>
      </c>
      <c r="K149" s="27"/>
      <c r="L149" s="27"/>
      <c r="M149" s="27"/>
      <c r="N149" s="27"/>
    </row>
    <row r="150" spans="1:14" x14ac:dyDescent="0.3">
      <c r="A150" s="27" t="s">
        <v>308</v>
      </c>
      <c r="B150" s="26">
        <v>119</v>
      </c>
      <c r="C150" s="8">
        <v>-3.8389980000000001</v>
      </c>
      <c r="D150" s="8">
        <v>40.447091999999998</v>
      </c>
      <c r="E150" s="27">
        <v>3.1458521135270425</v>
      </c>
      <c r="K150" s="27"/>
      <c r="L150" s="27"/>
      <c r="M150" s="27"/>
      <c r="N150" s="27"/>
    </row>
    <row r="151" spans="1:14" x14ac:dyDescent="0.3">
      <c r="A151" s="27" t="s">
        <v>308</v>
      </c>
      <c r="B151" s="26">
        <v>120</v>
      </c>
      <c r="C151" s="8">
        <v>-3.824236</v>
      </c>
      <c r="D151" s="8">
        <v>40.437489999999997</v>
      </c>
      <c r="E151" s="27">
        <v>4.6908051034129983</v>
      </c>
      <c r="K151" s="27"/>
      <c r="L151" s="27"/>
      <c r="M151" s="27"/>
      <c r="N151" s="27"/>
    </row>
    <row r="152" spans="1:14" x14ac:dyDescent="0.3">
      <c r="A152" s="27" t="s">
        <v>308</v>
      </c>
      <c r="B152" s="26">
        <v>121</v>
      </c>
      <c r="C152" s="8">
        <v>-3.8184849999999999</v>
      </c>
      <c r="D152" s="8">
        <v>40.441540000000003</v>
      </c>
      <c r="E152" s="27">
        <v>4.9859749752740328</v>
      </c>
      <c r="K152" s="27"/>
      <c r="L152" s="27"/>
      <c r="M152" s="27"/>
      <c r="N152" s="27"/>
    </row>
    <row r="153" spans="1:14" x14ac:dyDescent="0.3">
      <c r="A153" s="27" t="s">
        <v>308</v>
      </c>
      <c r="B153" s="26">
        <v>122</v>
      </c>
      <c r="C153" s="8">
        <v>-3.8227769999999999</v>
      </c>
      <c r="D153" s="8">
        <v>40.445720999999999</v>
      </c>
      <c r="E153" s="27">
        <v>4.5133025555040485</v>
      </c>
      <c r="K153" s="27"/>
      <c r="L153" s="27"/>
      <c r="M153" s="27"/>
      <c r="N153" s="27"/>
    </row>
    <row r="154" spans="1:14" x14ac:dyDescent="0.3">
      <c r="A154" s="27" t="s">
        <v>308</v>
      </c>
      <c r="B154" s="26">
        <v>123</v>
      </c>
      <c r="C154" s="8">
        <v>-3.8161670000000001</v>
      </c>
      <c r="D154" s="8">
        <v>40.446635000000001</v>
      </c>
      <c r="E154" s="27">
        <v>5.0402556470839857</v>
      </c>
      <c r="K154" s="27"/>
      <c r="L154" s="27"/>
      <c r="M154" s="27"/>
      <c r="N154" s="27"/>
    </row>
    <row r="155" spans="1:14" x14ac:dyDescent="0.3">
      <c r="A155" s="27" t="s">
        <v>308</v>
      </c>
      <c r="B155" s="26">
        <v>124</v>
      </c>
      <c r="C155" s="8">
        <v>-3.814708</v>
      </c>
      <c r="D155" s="8">
        <v>40.451794999999997</v>
      </c>
      <c r="E155" s="27">
        <v>5.0910019289491419</v>
      </c>
      <c r="K155" s="27"/>
      <c r="L155" s="27"/>
      <c r="M155" s="27"/>
      <c r="N155" s="27"/>
    </row>
    <row r="156" spans="1:14" x14ac:dyDescent="0.3">
      <c r="A156" s="27" t="s">
        <v>308</v>
      </c>
      <c r="B156" s="26">
        <v>125</v>
      </c>
      <c r="C156" s="8">
        <v>-3.8408009999999999</v>
      </c>
      <c r="D156" s="8">
        <v>40.417824000000003</v>
      </c>
      <c r="E156" s="27">
        <v>5.0228035375860509</v>
      </c>
      <c r="K156" s="27"/>
      <c r="L156" s="27"/>
      <c r="M156" s="27"/>
      <c r="N156" s="27"/>
    </row>
    <row r="157" spans="1:14" x14ac:dyDescent="0.3">
      <c r="A157" s="27" t="s">
        <v>311</v>
      </c>
      <c r="B157" s="8" t="s">
        <v>306</v>
      </c>
      <c r="C157" s="8">
        <v>-3.8715079999999999</v>
      </c>
      <c r="D157" s="8">
        <v>40.487380000000002</v>
      </c>
      <c r="E157" s="27">
        <v>3.9217462076531877</v>
      </c>
      <c r="K157" s="27"/>
      <c r="L157" s="27"/>
      <c r="M157" s="27"/>
      <c r="N157" s="27"/>
    </row>
    <row r="158" spans="1:14" x14ac:dyDescent="0.3">
      <c r="A158" s="27" t="s">
        <v>311</v>
      </c>
      <c r="B158" s="8" t="s">
        <v>304</v>
      </c>
      <c r="C158" s="8">
        <v>-3.8779029999999999</v>
      </c>
      <c r="D158" s="8">
        <v>40.490023000000001</v>
      </c>
      <c r="E158" s="27">
        <v>3.3815186632008341</v>
      </c>
      <c r="K158" s="27"/>
      <c r="L158" s="27"/>
      <c r="M158" s="27"/>
      <c r="N158" s="27"/>
    </row>
    <row r="159" spans="1:14" x14ac:dyDescent="0.3">
      <c r="A159" s="27" t="s">
        <v>311</v>
      </c>
      <c r="B159" s="8" t="s">
        <v>302</v>
      </c>
      <c r="C159" s="8">
        <v>-3.8921079999999999</v>
      </c>
      <c r="D159" s="8">
        <v>40.488587000000003</v>
      </c>
      <c r="E159" s="27">
        <v>3.1172979875554185</v>
      </c>
      <c r="K159" s="27"/>
      <c r="L159" s="27"/>
      <c r="M159" s="27"/>
      <c r="N159" s="27"/>
    </row>
    <row r="160" spans="1:14" x14ac:dyDescent="0.3">
      <c r="A160" s="27" t="s">
        <v>311</v>
      </c>
      <c r="B160" s="8" t="s">
        <v>300</v>
      </c>
      <c r="C160" s="8">
        <v>-3.8843719999999999</v>
      </c>
      <c r="D160" s="8">
        <v>40.489165999999997</v>
      </c>
      <c r="E160" s="27">
        <v>3.228631142967135</v>
      </c>
      <c r="K160" s="27"/>
      <c r="L160" s="27"/>
      <c r="M160" s="27"/>
      <c r="N160" s="27"/>
    </row>
    <row r="161" spans="1:14" x14ac:dyDescent="0.3">
      <c r="A161" s="27" t="s">
        <v>311</v>
      </c>
      <c r="B161" s="8" t="s">
        <v>298</v>
      </c>
      <c r="C161" s="8">
        <v>-3.875016</v>
      </c>
      <c r="D161" s="8">
        <v>40.496215999999997</v>
      </c>
      <c r="E161" s="27">
        <v>2.9647364396315936</v>
      </c>
      <c r="K161" s="27"/>
      <c r="L161" s="27"/>
      <c r="M161" s="27"/>
      <c r="N161" s="27"/>
    </row>
    <row r="162" spans="1:14" x14ac:dyDescent="0.3">
      <c r="A162" s="27" t="s">
        <v>311</v>
      </c>
      <c r="B162" s="8" t="s">
        <v>296</v>
      </c>
      <c r="C162" s="8">
        <v>-3.8772479999999998</v>
      </c>
      <c r="D162" s="8">
        <v>40.503917000000001</v>
      </c>
      <c r="E162" s="27">
        <v>2.2374324453130474</v>
      </c>
      <c r="K162" s="27"/>
      <c r="L162" s="27"/>
      <c r="M162" s="27"/>
      <c r="N162" s="27"/>
    </row>
    <row r="163" spans="1:14" x14ac:dyDescent="0.3">
      <c r="A163" s="27" t="s">
        <v>311</v>
      </c>
      <c r="B163" s="8">
        <v>1</v>
      </c>
      <c r="C163" s="8">
        <v>-3.8951720000000001</v>
      </c>
      <c r="D163" s="8">
        <v>40.504393999999998</v>
      </c>
      <c r="E163" s="27">
        <v>1.3413774296742067</v>
      </c>
      <c r="K163" s="27"/>
      <c r="L163" s="27"/>
      <c r="M163" s="27"/>
      <c r="N163" s="27"/>
    </row>
    <row r="164" spans="1:14" x14ac:dyDescent="0.3">
      <c r="A164" s="27" t="s">
        <v>311</v>
      </c>
      <c r="B164" s="8">
        <v>2</v>
      </c>
      <c r="C164" s="8">
        <v>-3.9065880000000002</v>
      </c>
      <c r="D164" s="8">
        <v>40.505960000000002</v>
      </c>
      <c r="E164" s="27">
        <v>1.3465099008194454</v>
      </c>
      <c r="K164" s="27"/>
      <c r="L164" s="27"/>
      <c r="M164" s="27"/>
      <c r="N164" s="27"/>
    </row>
    <row r="165" spans="1:14" x14ac:dyDescent="0.3">
      <c r="A165" s="27" t="s">
        <v>311</v>
      </c>
      <c r="B165" s="8">
        <v>3</v>
      </c>
      <c r="C165" s="8">
        <v>-3.9051279999999999</v>
      </c>
      <c r="D165" s="8">
        <v>40.510266999999999</v>
      </c>
      <c r="E165" s="27">
        <v>0.8871887730970569</v>
      </c>
      <c r="K165" s="27"/>
      <c r="L165" s="27"/>
      <c r="M165" s="27"/>
      <c r="N165" s="27"/>
    </row>
    <row r="166" spans="1:14" x14ac:dyDescent="0.3">
      <c r="A166" s="27" t="s">
        <v>311</v>
      </c>
      <c r="B166" s="8">
        <v>4</v>
      </c>
      <c r="C166" s="8">
        <v>-3.9128530000000001</v>
      </c>
      <c r="D166" s="8">
        <v>40.511963999999999</v>
      </c>
      <c r="E166" s="27">
        <v>1.3291859392934153</v>
      </c>
      <c r="K166" s="27"/>
      <c r="L166" s="27"/>
      <c r="M166" s="27"/>
      <c r="N166" s="27"/>
    </row>
    <row r="167" spans="1:14" x14ac:dyDescent="0.3">
      <c r="A167" s="27" t="s">
        <v>311</v>
      </c>
      <c r="B167" s="8">
        <v>5</v>
      </c>
      <c r="C167" s="8">
        <v>-3.9089049999999999</v>
      </c>
      <c r="D167" s="8">
        <v>40.515160999999999</v>
      </c>
      <c r="E167" s="27">
        <v>0.91536412533919109</v>
      </c>
      <c r="K167" s="27"/>
      <c r="L167" s="27"/>
      <c r="M167" s="27"/>
      <c r="N167" s="27"/>
    </row>
    <row r="168" spans="1:14" x14ac:dyDescent="0.3">
      <c r="A168" s="27" t="s">
        <v>311</v>
      </c>
      <c r="B168" s="8">
        <v>6</v>
      </c>
      <c r="C168" s="8">
        <v>-3.9055580000000001</v>
      </c>
      <c r="D168" s="8">
        <v>40.518228000000001</v>
      </c>
      <c r="E168" s="27">
        <v>0.662487528214458</v>
      </c>
      <c r="K168" s="27"/>
      <c r="L168" s="27"/>
      <c r="M168" s="27"/>
      <c r="N168" s="27"/>
    </row>
    <row r="169" spans="1:14" x14ac:dyDescent="0.3">
      <c r="A169" s="27" t="s">
        <v>311</v>
      </c>
      <c r="B169" s="8">
        <v>7</v>
      </c>
      <c r="C169" s="8">
        <v>-3.916029</v>
      </c>
      <c r="D169" s="8">
        <v>40.515878999999998</v>
      </c>
      <c r="E169" s="27">
        <v>1.5102091499327519</v>
      </c>
      <c r="K169" s="27"/>
      <c r="L169" s="27"/>
      <c r="M169" s="27"/>
      <c r="N169" s="27"/>
    </row>
    <row r="170" spans="1:14" x14ac:dyDescent="0.3">
      <c r="A170" s="27" t="s">
        <v>311</v>
      </c>
      <c r="B170" s="8">
        <v>8</v>
      </c>
      <c r="C170" s="8">
        <v>-3.9122520000000001</v>
      </c>
      <c r="D170" s="8">
        <v>40.519272000000001</v>
      </c>
      <c r="E170" s="27">
        <v>1.237187232793707</v>
      </c>
      <c r="K170" s="27"/>
      <c r="L170" s="27"/>
      <c r="M170" s="27"/>
      <c r="N170" s="27"/>
    </row>
    <row r="171" spans="1:14" x14ac:dyDescent="0.3">
      <c r="A171" s="27" t="s">
        <v>311</v>
      </c>
      <c r="B171" s="8">
        <v>9</v>
      </c>
      <c r="C171" s="8">
        <v>-3.9205779999999999</v>
      </c>
      <c r="D171" s="8">
        <v>40.517510000000001</v>
      </c>
      <c r="E171" s="27">
        <v>1.8994501275011093</v>
      </c>
      <c r="K171" s="27"/>
      <c r="L171" s="27"/>
      <c r="M171" s="27"/>
      <c r="N171" s="27"/>
    </row>
    <row r="172" spans="1:14" x14ac:dyDescent="0.3">
      <c r="A172" s="27" t="s">
        <v>311</v>
      </c>
      <c r="B172" s="8">
        <v>10</v>
      </c>
      <c r="C172" s="8">
        <v>-3.9179170000000001</v>
      </c>
      <c r="D172" s="8">
        <v>40.521425000000001</v>
      </c>
      <c r="E172" s="27">
        <v>1.7659699799676387</v>
      </c>
      <c r="K172" s="27"/>
      <c r="L172" s="27"/>
      <c r="M172" s="27"/>
      <c r="N172" s="27"/>
    </row>
    <row r="173" spans="1:14" x14ac:dyDescent="0.3">
      <c r="A173" s="27" t="s">
        <v>311</v>
      </c>
      <c r="B173" s="8">
        <v>11</v>
      </c>
      <c r="C173" s="8">
        <v>-3.9153419999999999</v>
      </c>
      <c r="D173" s="8">
        <v>40.525274000000003</v>
      </c>
      <c r="E173" s="27">
        <v>1.76520304121025</v>
      </c>
      <c r="K173" s="27"/>
      <c r="L173" s="27"/>
      <c r="M173" s="27"/>
      <c r="N173" s="27"/>
    </row>
    <row r="174" spans="1:14" x14ac:dyDescent="0.3">
      <c r="A174" s="27" t="s">
        <v>311</v>
      </c>
      <c r="B174" s="8">
        <v>12</v>
      </c>
      <c r="C174" s="8">
        <v>-3.9098489999999999</v>
      </c>
      <c r="D174" s="8">
        <v>40.523643</v>
      </c>
      <c r="E174" s="27">
        <v>1.2853758055060545</v>
      </c>
      <c r="K174" s="27"/>
      <c r="L174" s="27"/>
      <c r="M174" s="27"/>
      <c r="N174" s="27"/>
    </row>
    <row r="175" spans="1:14" x14ac:dyDescent="0.3">
      <c r="A175" s="27" t="s">
        <v>311</v>
      </c>
      <c r="B175" s="8">
        <v>13</v>
      </c>
      <c r="C175" s="8">
        <v>-3.9060730000000001</v>
      </c>
      <c r="D175" s="8">
        <v>40.522077000000003</v>
      </c>
      <c r="E175" s="27">
        <v>0.93141194608875133</v>
      </c>
      <c r="K175" s="27"/>
      <c r="L175" s="27"/>
      <c r="M175" s="27"/>
      <c r="N175" s="27"/>
    </row>
    <row r="176" spans="1:14" x14ac:dyDescent="0.3">
      <c r="A176" s="27" t="s">
        <v>311</v>
      </c>
      <c r="B176" s="8">
        <v>14</v>
      </c>
      <c r="C176" s="8">
        <v>-3.9210929999999999</v>
      </c>
      <c r="D176" s="8">
        <v>40.522990999999998</v>
      </c>
      <c r="E176" s="27">
        <v>2.0779788476792174</v>
      </c>
      <c r="K176" s="27"/>
      <c r="L176" s="27"/>
      <c r="M176" s="27"/>
      <c r="N176" s="27"/>
    </row>
    <row r="177" spans="1:14" x14ac:dyDescent="0.3">
      <c r="A177" s="27" t="s">
        <v>311</v>
      </c>
      <c r="B177" s="8">
        <v>15</v>
      </c>
      <c r="C177" s="8">
        <v>-3.9313069999999999</v>
      </c>
      <c r="D177" s="8">
        <v>40.520902999999997</v>
      </c>
      <c r="E177" s="27">
        <v>2.8486518320626386</v>
      </c>
      <c r="K177" s="27"/>
      <c r="L177" s="27"/>
      <c r="M177" s="27"/>
      <c r="N177" s="27"/>
    </row>
    <row r="178" spans="1:14" x14ac:dyDescent="0.3">
      <c r="A178" s="27" t="s">
        <v>311</v>
      </c>
      <c r="B178" s="8">
        <v>16</v>
      </c>
      <c r="C178" s="8">
        <v>-3.9259849999999998</v>
      </c>
      <c r="D178" s="8">
        <v>40.522143</v>
      </c>
      <c r="E178" s="27">
        <v>2.4410799396774783</v>
      </c>
      <c r="K178" s="27"/>
      <c r="L178" s="27"/>
      <c r="M178" s="27"/>
      <c r="N178" s="27"/>
    </row>
    <row r="179" spans="1:14" x14ac:dyDescent="0.3">
      <c r="A179" s="27" t="s">
        <v>311</v>
      </c>
      <c r="B179" s="8">
        <v>17</v>
      </c>
      <c r="C179" s="8">
        <v>-3.9090280000000002</v>
      </c>
      <c r="D179" s="8">
        <v>40.529980999999999</v>
      </c>
      <c r="E179" s="27">
        <v>1.7823742150811062</v>
      </c>
      <c r="K179" s="27"/>
      <c r="L179" s="27"/>
      <c r="M179" s="27"/>
      <c r="N179" s="27"/>
    </row>
    <row r="180" spans="1:14" x14ac:dyDescent="0.3">
      <c r="A180" s="27" t="s">
        <v>311</v>
      </c>
      <c r="B180" s="8">
        <v>18</v>
      </c>
      <c r="C180" s="8">
        <v>-3.907397</v>
      </c>
      <c r="D180" s="8">
        <v>40.534221000000002</v>
      </c>
      <c r="E180" s="27">
        <v>2.1461119586807547</v>
      </c>
      <c r="K180" s="27"/>
      <c r="L180" s="27"/>
      <c r="M180" s="27"/>
      <c r="N180" s="27"/>
    </row>
    <row r="181" spans="1:14" x14ac:dyDescent="0.3">
      <c r="A181" s="27" t="s">
        <v>311</v>
      </c>
      <c r="B181" s="8">
        <v>19</v>
      </c>
      <c r="C181" s="8">
        <v>-3.9016470000000001</v>
      </c>
      <c r="D181" s="8">
        <v>40.535265000000003</v>
      </c>
      <c r="E181" s="27">
        <v>2.1357984801246443</v>
      </c>
      <c r="K181" s="27"/>
      <c r="L181" s="27"/>
      <c r="M181" s="27"/>
      <c r="N181" s="27"/>
    </row>
    <row r="182" spans="1:14" x14ac:dyDescent="0.3">
      <c r="A182" s="27" t="s">
        <v>311</v>
      </c>
      <c r="B182" s="8">
        <v>20</v>
      </c>
      <c r="C182" s="8">
        <v>-3.900874</v>
      </c>
      <c r="D182" s="8">
        <v>40.531610999999998</v>
      </c>
      <c r="E182" s="27">
        <v>1.7243903556620424</v>
      </c>
      <c r="K182" s="27"/>
      <c r="L182" s="27"/>
      <c r="M182" s="27"/>
      <c r="N182" s="27"/>
    </row>
    <row r="183" spans="1:14" x14ac:dyDescent="0.3">
      <c r="A183" s="27" t="s">
        <v>311</v>
      </c>
      <c r="B183" s="8">
        <v>21</v>
      </c>
      <c r="C183" s="8">
        <v>-3.894952</v>
      </c>
      <c r="D183" s="8">
        <v>40.533633999999999</v>
      </c>
      <c r="E183" s="27">
        <v>1.9531556650487358</v>
      </c>
      <c r="K183" s="27"/>
      <c r="L183" s="27"/>
      <c r="M183" s="27"/>
      <c r="N183" s="27"/>
    </row>
    <row r="184" spans="1:14" x14ac:dyDescent="0.3">
      <c r="A184" s="27" t="s">
        <v>311</v>
      </c>
      <c r="B184" s="8">
        <v>22</v>
      </c>
      <c r="C184" s="8">
        <v>-3.8987289999999999</v>
      </c>
      <c r="D184" s="8">
        <v>40.539831</v>
      </c>
      <c r="E184" s="27">
        <v>2.6236249396531233</v>
      </c>
      <c r="K184" s="27"/>
      <c r="L184" s="27"/>
      <c r="M184" s="27"/>
      <c r="N184" s="27"/>
    </row>
    <row r="185" spans="1:14" x14ac:dyDescent="0.3">
      <c r="A185" s="27" t="s">
        <v>311</v>
      </c>
      <c r="B185" s="8">
        <v>23</v>
      </c>
      <c r="C185" s="8">
        <v>-3.8938359999999999</v>
      </c>
      <c r="D185" s="8">
        <v>40.538004000000001</v>
      </c>
      <c r="E185" s="27">
        <v>2.4476119767168258</v>
      </c>
      <c r="K185" s="27"/>
      <c r="L185" s="27"/>
      <c r="M185" s="27"/>
      <c r="N185" s="27"/>
    </row>
    <row r="186" spans="1:14" x14ac:dyDescent="0.3">
      <c r="A186" s="27" t="s">
        <v>311</v>
      </c>
      <c r="B186" s="8">
        <v>24</v>
      </c>
      <c r="C186" s="8">
        <v>-3.9016470000000001</v>
      </c>
      <c r="D186" s="8">
        <v>40.544136000000002</v>
      </c>
      <c r="E186" s="27">
        <v>3.1157820409511445</v>
      </c>
      <c r="K186" s="27"/>
      <c r="L186" s="27"/>
      <c r="M186" s="27"/>
      <c r="N186" s="27"/>
    </row>
    <row r="187" spans="1:14" x14ac:dyDescent="0.3">
      <c r="A187" s="27" t="s">
        <v>311</v>
      </c>
      <c r="B187" s="8">
        <v>25</v>
      </c>
      <c r="C187" s="8">
        <v>-3.8968400000000001</v>
      </c>
      <c r="D187" s="8">
        <v>40.546092000000002</v>
      </c>
      <c r="E187" s="27">
        <v>3.3212935502065779</v>
      </c>
      <c r="K187" s="27"/>
      <c r="L187" s="27"/>
      <c r="M187" s="27"/>
      <c r="N187" s="27"/>
    </row>
    <row r="188" spans="1:14" x14ac:dyDescent="0.3">
      <c r="A188" s="27" t="s">
        <v>311</v>
      </c>
      <c r="B188" s="8">
        <v>26</v>
      </c>
      <c r="C188" s="8">
        <v>-3.9007879999999999</v>
      </c>
      <c r="D188" s="8">
        <v>40.548896999999997</v>
      </c>
      <c r="E188" s="27">
        <v>3.6380268958567097</v>
      </c>
      <c r="K188" s="27"/>
      <c r="L188" s="27"/>
      <c r="M188" s="27"/>
      <c r="N188" s="27"/>
    </row>
    <row r="189" spans="1:14" x14ac:dyDescent="0.3">
      <c r="A189" s="27" t="s">
        <v>311</v>
      </c>
      <c r="B189" s="8">
        <v>27</v>
      </c>
      <c r="C189" s="8">
        <v>-3.906711</v>
      </c>
      <c r="D189" s="8">
        <v>40.548766000000001</v>
      </c>
      <c r="E189" s="27">
        <v>3.6880525722921549</v>
      </c>
      <c r="K189" s="27"/>
      <c r="L189" s="27"/>
      <c r="M189" s="27"/>
      <c r="N189" s="27"/>
    </row>
    <row r="190" spans="1:14" x14ac:dyDescent="0.3">
      <c r="A190" s="27" t="s">
        <v>311</v>
      </c>
      <c r="B190" s="8">
        <v>28</v>
      </c>
      <c r="C190" s="8">
        <v>-3.9136630000000001</v>
      </c>
      <c r="D190" s="8">
        <v>40.542178999999997</v>
      </c>
      <c r="E190" s="27">
        <v>3.1675960519508539</v>
      </c>
      <c r="K190" s="27"/>
      <c r="L190" s="27"/>
      <c r="M190" s="27"/>
      <c r="N190" s="27"/>
    </row>
    <row r="191" spans="1:14" x14ac:dyDescent="0.3">
      <c r="A191" s="27" t="s">
        <v>311</v>
      </c>
      <c r="B191" s="8">
        <v>29</v>
      </c>
      <c r="C191" s="8">
        <v>-3.9219889999999999</v>
      </c>
      <c r="D191" s="8">
        <v>40.547657000000001</v>
      </c>
      <c r="E191" s="27">
        <v>4.0318916858588212</v>
      </c>
      <c r="K191" s="27"/>
      <c r="L191" s="27"/>
      <c r="M191" s="27"/>
      <c r="N191" s="27"/>
    </row>
    <row r="192" spans="1:14" x14ac:dyDescent="0.3">
      <c r="A192" s="27" t="s">
        <v>311</v>
      </c>
      <c r="B192" s="8">
        <v>30</v>
      </c>
      <c r="C192" s="8">
        <v>-3.9179550000000001</v>
      </c>
      <c r="D192" s="8">
        <v>40.544331</v>
      </c>
      <c r="E192" s="27">
        <v>3.5429866173034021</v>
      </c>
      <c r="K192" s="27"/>
      <c r="L192" s="27"/>
      <c r="M192" s="27"/>
      <c r="N192" s="27"/>
    </row>
    <row r="193" spans="1:14" x14ac:dyDescent="0.3">
      <c r="A193" s="27" t="s">
        <v>311</v>
      </c>
      <c r="B193" s="8">
        <v>31</v>
      </c>
      <c r="C193" s="8">
        <v>-3.9243060000000001</v>
      </c>
      <c r="D193" s="8">
        <v>40.541983000000002</v>
      </c>
      <c r="E193" s="27">
        <v>3.6156888467842019</v>
      </c>
      <c r="K193" s="27"/>
      <c r="L193" s="27"/>
      <c r="M193" s="27"/>
      <c r="N193" s="27"/>
    </row>
    <row r="194" spans="1:14" x14ac:dyDescent="0.3">
      <c r="A194" s="27" t="s">
        <v>311</v>
      </c>
      <c r="B194" s="8">
        <v>32</v>
      </c>
      <c r="C194" s="8">
        <v>-3.9195850000000001</v>
      </c>
      <c r="D194" s="8">
        <v>40.538851999999999</v>
      </c>
      <c r="E194" s="27">
        <v>3.0980440270667495</v>
      </c>
      <c r="K194" s="27"/>
      <c r="L194" s="27"/>
      <c r="M194" s="27"/>
      <c r="N194" s="27"/>
    </row>
    <row r="195" spans="1:14" x14ac:dyDescent="0.3">
      <c r="A195" s="27" t="s">
        <v>311</v>
      </c>
      <c r="B195" s="8">
        <v>33</v>
      </c>
      <c r="C195" s="8">
        <v>-3.9227609999999999</v>
      </c>
      <c r="D195" s="8">
        <v>40.535525999999997</v>
      </c>
      <c r="E195" s="27">
        <v>2.9864438169139631</v>
      </c>
      <c r="K195" s="27"/>
      <c r="L195" s="27"/>
      <c r="M195" s="27"/>
      <c r="N195" s="27"/>
    </row>
    <row r="196" spans="1:14" x14ac:dyDescent="0.3">
      <c r="A196" s="27" t="s">
        <v>311</v>
      </c>
      <c r="B196" s="8">
        <v>34</v>
      </c>
      <c r="C196" s="8">
        <v>-3.9276529999999998</v>
      </c>
      <c r="D196" s="8">
        <v>40.536633999999999</v>
      </c>
      <c r="E196" s="27">
        <v>3.3692848151856913</v>
      </c>
      <c r="K196" s="27"/>
      <c r="L196" s="27"/>
      <c r="M196" s="27"/>
      <c r="N196" s="27"/>
    </row>
    <row r="197" spans="1:14" x14ac:dyDescent="0.3">
      <c r="A197" s="27" t="s">
        <v>311</v>
      </c>
      <c r="B197" s="8">
        <v>35</v>
      </c>
      <c r="C197" s="8">
        <v>-3.922933</v>
      </c>
      <c r="D197" s="8">
        <v>40.530372</v>
      </c>
      <c r="E197" s="27">
        <v>2.617296663044768</v>
      </c>
      <c r="K197" s="27"/>
      <c r="L197" s="27"/>
      <c r="M197" s="27"/>
      <c r="N197" s="27"/>
    </row>
    <row r="198" spans="1:14" x14ac:dyDescent="0.3">
      <c r="A198" s="27" t="s">
        <v>311</v>
      </c>
      <c r="B198" s="8">
        <v>36</v>
      </c>
      <c r="C198" s="8">
        <v>-3.9317730000000002</v>
      </c>
      <c r="D198" s="8">
        <v>40.533437999999997</v>
      </c>
      <c r="E198" s="27">
        <v>3.4239883765821943</v>
      </c>
      <c r="K198" s="27"/>
      <c r="L198" s="27"/>
      <c r="M198" s="27"/>
      <c r="N198" s="27"/>
    </row>
    <row r="199" spans="1:14" x14ac:dyDescent="0.3">
      <c r="A199" s="27" t="s">
        <v>311</v>
      </c>
      <c r="B199" s="8">
        <v>37</v>
      </c>
      <c r="C199" s="8">
        <v>-3.934606</v>
      </c>
      <c r="D199" s="8">
        <v>40.529719999999998</v>
      </c>
      <c r="E199" s="27">
        <v>3.4251201309504555</v>
      </c>
      <c r="K199" s="27"/>
      <c r="L199" s="27"/>
      <c r="M199" s="27"/>
      <c r="N199" s="27"/>
    </row>
    <row r="200" spans="1:14" x14ac:dyDescent="0.3">
      <c r="A200" s="27" t="s">
        <v>311</v>
      </c>
      <c r="B200" s="8">
        <v>38</v>
      </c>
      <c r="C200" s="8">
        <v>-3.9327169999999998</v>
      </c>
      <c r="D200" s="8">
        <v>40.526653000000003</v>
      </c>
      <c r="E200" s="27">
        <v>3.1413084082001639</v>
      </c>
      <c r="K200" s="27"/>
      <c r="L200" s="27"/>
      <c r="M200" s="27"/>
      <c r="N200" s="27"/>
    </row>
    <row r="201" spans="1:14" x14ac:dyDescent="0.3">
      <c r="A201" s="27" t="s">
        <v>311</v>
      </c>
      <c r="B201" s="8">
        <v>39</v>
      </c>
      <c r="C201" s="8">
        <v>-3.928426</v>
      </c>
      <c r="D201" s="8">
        <v>40.531416</v>
      </c>
      <c r="E201" s="27">
        <v>3.0639191302405653</v>
      </c>
      <c r="K201" s="27"/>
      <c r="L201" s="27"/>
      <c r="M201" s="27"/>
      <c r="N201" s="27"/>
    </row>
    <row r="202" spans="1:14" x14ac:dyDescent="0.3">
      <c r="A202" s="27" t="s">
        <v>311</v>
      </c>
      <c r="B202" s="8">
        <v>40</v>
      </c>
      <c r="C202" s="8">
        <v>-3.9135770000000001</v>
      </c>
      <c r="D202" s="8">
        <v>40.547266</v>
      </c>
      <c r="E202" s="27">
        <v>3.6874782918918712</v>
      </c>
      <c r="K202" s="27"/>
      <c r="L202" s="27"/>
      <c r="M202" s="27"/>
      <c r="N202" s="27"/>
    </row>
    <row r="203" spans="1:14" x14ac:dyDescent="0.3">
      <c r="A203" s="27" t="s">
        <v>311</v>
      </c>
      <c r="B203" s="8">
        <v>41</v>
      </c>
      <c r="C203" s="8">
        <v>-3.9080840000000001</v>
      </c>
      <c r="D203" s="8">
        <v>40.544462000000003</v>
      </c>
      <c r="E203" s="27">
        <v>3.2480746455468452</v>
      </c>
      <c r="K203" s="27"/>
      <c r="L203" s="27"/>
      <c r="M203" s="27"/>
      <c r="N203" s="27"/>
    </row>
    <row r="204" spans="1:14" x14ac:dyDescent="0.3">
      <c r="A204" s="27" t="s">
        <v>311</v>
      </c>
      <c r="B204" s="8">
        <v>42</v>
      </c>
      <c r="C204" s="8">
        <v>-3.9013610000000001</v>
      </c>
      <c r="D204" s="8">
        <v>40.552933000000003</v>
      </c>
      <c r="E204" s="27">
        <v>4.0889775895400442</v>
      </c>
      <c r="K204" s="27"/>
      <c r="L204" s="27"/>
      <c r="M204" s="27"/>
      <c r="N204" s="27"/>
    </row>
    <row r="205" spans="1:14" x14ac:dyDescent="0.3">
      <c r="A205" s="27" t="s">
        <v>311</v>
      </c>
      <c r="B205" s="8">
        <v>43</v>
      </c>
      <c r="C205" s="8">
        <v>-3.9079700000000002</v>
      </c>
      <c r="D205" s="8">
        <v>40.557628000000001</v>
      </c>
      <c r="E205" s="27">
        <v>4.6760571884743234</v>
      </c>
      <c r="K205" s="27"/>
      <c r="L205" s="27"/>
      <c r="M205" s="27"/>
      <c r="N205" s="27"/>
    </row>
    <row r="206" spans="1:14" x14ac:dyDescent="0.3">
      <c r="A206" s="27" t="s">
        <v>311</v>
      </c>
      <c r="B206" s="8">
        <v>44</v>
      </c>
      <c r="C206" s="8">
        <v>-3.9403280000000001</v>
      </c>
      <c r="D206" s="8">
        <v>40.531604000000002</v>
      </c>
      <c r="E206" s="27">
        <v>3.9516981494926706</v>
      </c>
      <c r="K206" s="27"/>
      <c r="L206" s="27"/>
      <c r="M206" s="27"/>
      <c r="N206" s="27"/>
    </row>
    <row r="207" spans="1:14" x14ac:dyDescent="0.3">
      <c r="A207" s="27" t="s">
        <v>311</v>
      </c>
      <c r="B207" s="8">
        <v>45</v>
      </c>
      <c r="C207" s="8">
        <v>-3.9433319999999998</v>
      </c>
      <c r="D207" s="8">
        <v>40.535713999999999</v>
      </c>
      <c r="E207" s="27">
        <v>4.3885507328850242</v>
      </c>
      <c r="K207" s="27"/>
      <c r="L207" s="27"/>
      <c r="M207" s="27"/>
      <c r="N207" s="27"/>
    </row>
    <row r="208" spans="1:14" x14ac:dyDescent="0.3">
      <c r="A208" s="27" t="s">
        <v>311</v>
      </c>
      <c r="B208" s="8">
        <v>46</v>
      </c>
      <c r="C208" s="8">
        <v>-3.9466800000000002</v>
      </c>
      <c r="D208" s="8">
        <v>40.540345000000002</v>
      </c>
      <c r="E208" s="27">
        <v>4.8983549196019922</v>
      </c>
      <c r="K208" s="27"/>
      <c r="L208" s="27"/>
      <c r="M208" s="27"/>
      <c r="N208" s="27"/>
    </row>
    <row r="209" spans="1:15" x14ac:dyDescent="0.3">
      <c r="A209" s="27" t="s">
        <v>311</v>
      </c>
      <c r="B209" s="8">
        <v>47</v>
      </c>
      <c r="C209" s="8">
        <v>-3.9384399999999999</v>
      </c>
      <c r="D209" s="8">
        <v>40.538975000000001</v>
      </c>
      <c r="E209" s="27">
        <v>4.2397031163779797</v>
      </c>
      <c r="K209" s="27"/>
      <c r="L209" s="27"/>
      <c r="M209" s="27"/>
      <c r="N209" s="27"/>
    </row>
    <row r="210" spans="1:15" x14ac:dyDescent="0.3">
      <c r="A210" s="27" t="s">
        <v>311</v>
      </c>
      <c r="B210" s="8">
        <v>48</v>
      </c>
      <c r="C210" s="8">
        <v>-3.9351790000000002</v>
      </c>
      <c r="D210" s="8">
        <v>40.545758999999997</v>
      </c>
      <c r="E210" s="27">
        <v>4.5339775131157838</v>
      </c>
      <c r="K210" s="27"/>
      <c r="L210" s="27"/>
      <c r="M210" s="27"/>
      <c r="N210" s="27"/>
    </row>
    <row r="211" spans="1:15" x14ac:dyDescent="0.3">
      <c r="A211" s="27" t="s">
        <v>311</v>
      </c>
      <c r="B211" s="8">
        <v>49</v>
      </c>
      <c r="C211" s="8">
        <v>-3.9284840000000001</v>
      </c>
      <c r="D211" s="8">
        <v>40.545758999999997</v>
      </c>
      <c r="E211" s="27">
        <v>4.1638400068499335</v>
      </c>
      <c r="K211" s="27"/>
      <c r="L211" s="27"/>
      <c r="M211" s="27"/>
      <c r="N211" s="27"/>
    </row>
    <row r="212" spans="1:15" x14ac:dyDescent="0.3">
      <c r="A212" s="27" t="s">
        <v>311</v>
      </c>
      <c r="B212" s="8">
        <v>50</v>
      </c>
      <c r="C212" s="8">
        <v>-3.9318309999999999</v>
      </c>
      <c r="D212" s="8">
        <v>40.540345000000002</v>
      </c>
      <c r="E212" s="27">
        <v>3.9087109819008732</v>
      </c>
      <c r="K212" s="27"/>
      <c r="L212" s="27"/>
      <c r="M212" s="27"/>
      <c r="N212" s="27"/>
    </row>
    <row r="213" spans="1:15" x14ac:dyDescent="0.3">
      <c r="A213" s="27" t="s">
        <v>311</v>
      </c>
      <c r="B213" s="8">
        <v>51</v>
      </c>
      <c r="C213" s="8">
        <v>-3.9360369999999998</v>
      </c>
      <c r="D213" s="8">
        <v>40.536236000000002</v>
      </c>
      <c r="E213" s="27">
        <v>3.8970651753472474</v>
      </c>
      <c r="K213" s="27"/>
      <c r="L213" s="27"/>
      <c r="M213" s="27"/>
      <c r="N213" s="27"/>
    </row>
    <row r="214" spans="1:15" x14ac:dyDescent="0.3">
      <c r="L214" s="27"/>
      <c r="M214" s="27"/>
      <c r="N214" s="27"/>
      <c r="O214" s="27"/>
    </row>
    <row r="215" spans="1:15" x14ac:dyDescent="0.3">
      <c r="L215" s="27"/>
      <c r="M215" s="27"/>
      <c r="N215" s="27"/>
      <c r="O215" s="27"/>
    </row>
    <row r="216" spans="1:15" x14ac:dyDescent="0.3">
      <c r="L216" s="27"/>
      <c r="M216" s="27"/>
      <c r="N216" s="27"/>
      <c r="O216" s="27"/>
    </row>
    <row r="217" spans="1:15" x14ac:dyDescent="0.3">
      <c r="L217" s="27"/>
      <c r="M217" s="27"/>
      <c r="N217" s="27"/>
      <c r="O217" s="27"/>
    </row>
    <row r="218" spans="1:15" x14ac:dyDescent="0.3">
      <c r="L218" s="27"/>
      <c r="M218" s="27"/>
      <c r="N218" s="27"/>
      <c r="O218" s="27"/>
    </row>
    <row r="219" spans="1:15" x14ac:dyDescent="0.3">
      <c r="L219" s="27"/>
      <c r="M219" s="27"/>
      <c r="N219" s="27"/>
      <c r="O219" s="27"/>
    </row>
    <row r="220" spans="1:15" x14ac:dyDescent="0.3">
      <c r="L220" s="27"/>
      <c r="M220" s="27"/>
      <c r="N220" s="27"/>
      <c r="O220" s="27"/>
    </row>
    <row r="221" spans="1:15" x14ac:dyDescent="0.3">
      <c r="L221" s="27"/>
      <c r="M221" s="27"/>
      <c r="N221" s="27"/>
      <c r="O221" s="2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CBF4-E48F-4F25-9FCF-9F7564FEA737}">
  <dimension ref="A1:K214"/>
  <sheetViews>
    <sheetView topLeftCell="A47" zoomScale="110" zoomScaleNormal="110" workbookViewId="0">
      <selection activeCell="F63" sqref="F63"/>
    </sheetView>
  </sheetViews>
  <sheetFormatPr defaultRowHeight="14.4" x14ac:dyDescent="0.3"/>
  <cols>
    <col min="1" max="1" width="26.33203125" style="8" customWidth="1"/>
    <col min="2" max="2" width="14.21875" style="8" customWidth="1"/>
    <col min="3" max="3" width="13.21875" style="8" customWidth="1"/>
    <col min="4" max="5" width="11.77734375" style="8" customWidth="1"/>
    <col min="6" max="6" width="12.21875" style="8" customWidth="1"/>
    <col min="7" max="8" width="8.88671875" style="8"/>
    <col min="9" max="9" width="14.88671875" style="8" customWidth="1"/>
    <col min="10" max="10" width="11.5546875" style="8" customWidth="1"/>
    <col min="11" max="11" width="11.6640625" style="8" customWidth="1"/>
    <col min="12" max="16384" width="8.88671875" style="8"/>
  </cols>
  <sheetData>
    <row r="1" spans="1:11" x14ac:dyDescent="0.3">
      <c r="A1" s="8" t="s">
        <v>292</v>
      </c>
      <c r="B1" s="8" t="s">
        <v>294</v>
      </c>
      <c r="C1" s="8" t="s">
        <v>291</v>
      </c>
      <c r="D1" s="8" t="s">
        <v>290</v>
      </c>
      <c r="E1" s="8" t="s">
        <v>312</v>
      </c>
      <c r="F1" s="8" t="s">
        <v>293</v>
      </c>
      <c r="H1" s="8" t="s">
        <v>292</v>
      </c>
      <c r="I1" s="8" t="s">
        <v>294</v>
      </c>
      <c r="J1" s="8" t="s">
        <v>291</v>
      </c>
      <c r="K1" s="8" t="s">
        <v>290</v>
      </c>
    </row>
    <row r="2" spans="1:11" x14ac:dyDescent="0.3">
      <c r="A2" s="23" t="s">
        <v>295</v>
      </c>
      <c r="B2" s="8">
        <v>1</v>
      </c>
      <c r="C2" s="8">
        <v>-3.6477529999999998</v>
      </c>
      <c r="D2" s="8">
        <v>40.522725000000001</v>
      </c>
      <c r="F2" s="13">
        <v>0.78530487708468732</v>
      </c>
      <c r="H2" s="24" t="s">
        <v>308</v>
      </c>
      <c r="I2" s="25" t="s">
        <v>309</v>
      </c>
      <c r="J2" s="25">
        <v>-3.8747400000000001</v>
      </c>
      <c r="K2" s="25">
        <v>40.454880000000003</v>
      </c>
    </row>
    <row r="3" spans="1:11" x14ac:dyDescent="0.3">
      <c r="A3" s="23" t="s">
        <v>295</v>
      </c>
      <c r="B3" s="8">
        <v>2</v>
      </c>
      <c r="C3" s="8">
        <v>-3.6395</v>
      </c>
      <c r="D3" s="8">
        <v>40.528418000000002</v>
      </c>
      <c r="F3" s="13">
        <v>1.7239625466137003</v>
      </c>
      <c r="H3" s="24" t="s">
        <v>295</v>
      </c>
      <c r="I3" s="25" t="s">
        <v>289</v>
      </c>
      <c r="J3" s="25">
        <v>-3.655354</v>
      </c>
      <c r="K3" s="25">
        <v>40.518664000000001</v>
      </c>
    </row>
    <row r="4" spans="1:11" x14ac:dyDescent="0.3">
      <c r="A4" s="23" t="s">
        <v>295</v>
      </c>
      <c r="B4" s="8">
        <v>3</v>
      </c>
      <c r="C4" s="8">
        <v>-3.6421800000000002</v>
      </c>
      <c r="D4" s="8">
        <v>40.524785000000001</v>
      </c>
      <c r="F4" s="13">
        <v>1.3050784887803042</v>
      </c>
      <c r="H4" s="25" t="s">
        <v>311</v>
      </c>
      <c r="I4" s="25" t="s">
        <v>310</v>
      </c>
      <c r="J4" s="25">
        <v>-3.8981699999999999</v>
      </c>
      <c r="K4" s="25">
        <v>40.516240000000003</v>
      </c>
    </row>
    <row r="5" spans="1:11" x14ac:dyDescent="0.3">
      <c r="A5" s="23" t="s">
        <v>295</v>
      </c>
      <c r="B5" s="8">
        <v>4</v>
      </c>
      <c r="C5" s="8">
        <v>-3.6347689999999999</v>
      </c>
      <c r="D5" s="8">
        <v>40.527467000000001</v>
      </c>
      <c r="F5" s="13">
        <v>1.9963728119526163</v>
      </c>
      <c r="H5" s="25"/>
      <c r="I5" s="25"/>
      <c r="J5" s="25"/>
      <c r="K5" s="25"/>
    </row>
    <row r="6" spans="1:11" x14ac:dyDescent="0.3">
      <c r="A6" s="23" t="s">
        <v>295</v>
      </c>
      <c r="B6" s="8">
        <v>5</v>
      </c>
      <c r="C6" s="8">
        <v>-3.638871</v>
      </c>
      <c r="D6" s="8">
        <v>40.515403999999997</v>
      </c>
      <c r="F6" s="13">
        <v>1.4397198856898681</v>
      </c>
      <c r="H6" s="25"/>
      <c r="I6" s="25"/>
      <c r="J6" s="25"/>
      <c r="K6" s="25"/>
    </row>
    <row r="7" spans="1:11" x14ac:dyDescent="0.3">
      <c r="A7" s="23" t="s">
        <v>295</v>
      </c>
      <c r="B7" s="8">
        <v>6</v>
      </c>
      <c r="C7" s="8">
        <v>-3.6260970000000001</v>
      </c>
      <c r="D7" s="8">
        <v>40.527455000000003</v>
      </c>
      <c r="F7" s="13">
        <v>2.6591149829553604</v>
      </c>
      <c r="H7" s="25"/>
      <c r="I7" s="25"/>
      <c r="J7" s="25"/>
      <c r="K7" s="25"/>
    </row>
    <row r="8" spans="1:11" x14ac:dyDescent="0.3">
      <c r="A8" s="23" t="s">
        <v>295</v>
      </c>
      <c r="B8" s="8">
        <v>7</v>
      </c>
      <c r="C8" s="8">
        <v>-3.608314</v>
      </c>
      <c r="D8" s="8">
        <v>40.527723999999999</v>
      </c>
      <c r="F8" s="13">
        <v>4.1016546446183435</v>
      </c>
      <c r="H8" s="25"/>
      <c r="I8" s="25"/>
      <c r="J8" s="25"/>
      <c r="K8" s="25"/>
    </row>
    <row r="9" spans="1:11" x14ac:dyDescent="0.3">
      <c r="A9" s="23" t="s">
        <v>295</v>
      </c>
      <c r="B9" s="8">
        <v>8</v>
      </c>
      <c r="C9" s="8">
        <v>-3.6174430000000002</v>
      </c>
      <c r="D9" s="8">
        <v>40.527611</v>
      </c>
      <c r="F9" s="13">
        <v>3.3552775822504071</v>
      </c>
      <c r="H9" s="25"/>
      <c r="I9" s="25"/>
      <c r="J9" s="25"/>
      <c r="K9" s="25"/>
    </row>
    <row r="10" spans="1:11" x14ac:dyDescent="0.3">
      <c r="A10" s="23" t="s">
        <v>295</v>
      </c>
      <c r="B10" s="8">
        <v>9</v>
      </c>
      <c r="C10" s="8">
        <v>-3.6438410000000001</v>
      </c>
      <c r="D10" s="8">
        <v>40.521279999999997</v>
      </c>
      <c r="F10" s="13">
        <v>1.0157157931105176</v>
      </c>
      <c r="H10" s="25"/>
      <c r="I10" s="25"/>
      <c r="J10" s="25"/>
      <c r="K10" s="25"/>
    </row>
    <row r="11" spans="1:11" x14ac:dyDescent="0.3">
      <c r="A11" s="23" t="s">
        <v>295</v>
      </c>
      <c r="B11" s="8">
        <v>10</v>
      </c>
      <c r="C11" s="8">
        <v>-3.6387130000000001</v>
      </c>
      <c r="D11" s="8">
        <v>40.518833999999998</v>
      </c>
      <c r="F11" s="13">
        <v>1.4067849088073781</v>
      </c>
      <c r="H11" s="25"/>
      <c r="I11" s="25"/>
      <c r="J11" s="25"/>
      <c r="K11" s="25"/>
    </row>
    <row r="12" spans="1:11" x14ac:dyDescent="0.3">
      <c r="A12" s="23" t="s">
        <v>295</v>
      </c>
      <c r="B12" s="8">
        <v>11</v>
      </c>
      <c r="C12" s="8">
        <v>-3.6353870000000001</v>
      </c>
      <c r="D12" s="8">
        <v>40.523432999999997</v>
      </c>
      <c r="F12" s="13">
        <v>1.7690933497307364</v>
      </c>
    </row>
    <row r="13" spans="1:11" x14ac:dyDescent="0.3">
      <c r="A13" s="23" t="s">
        <v>295</v>
      </c>
      <c r="B13" s="8">
        <v>12</v>
      </c>
      <c r="C13" s="8">
        <v>-3.646744</v>
      </c>
      <c r="D13" s="8">
        <v>40.516244999999998</v>
      </c>
      <c r="F13" s="13">
        <v>0.7759279873524092</v>
      </c>
    </row>
    <row r="14" spans="1:11" x14ac:dyDescent="0.3">
      <c r="A14" s="23" t="s">
        <v>295</v>
      </c>
      <c r="B14" s="8">
        <v>13</v>
      </c>
      <c r="C14" s="8">
        <v>-3.6277309999999998</v>
      </c>
      <c r="D14" s="8">
        <v>40.520766999999999</v>
      </c>
      <c r="F14" s="13">
        <v>2.3466093026789516</v>
      </c>
    </row>
    <row r="15" spans="1:11" x14ac:dyDescent="0.3">
      <c r="A15" s="23" t="s">
        <v>295</v>
      </c>
      <c r="B15" s="8">
        <v>14</v>
      </c>
      <c r="C15" s="8">
        <v>-3.619405</v>
      </c>
      <c r="D15" s="8">
        <v>40.52093</v>
      </c>
      <c r="F15" s="13">
        <v>3.0491374610009547</v>
      </c>
    </row>
    <row r="16" spans="1:11" x14ac:dyDescent="0.3">
      <c r="A16" s="23" t="s">
        <v>295</v>
      </c>
      <c r="B16" s="8">
        <v>15</v>
      </c>
      <c r="C16" s="8">
        <v>-3.6133760000000001</v>
      </c>
      <c r="D16" s="8">
        <v>40.52243</v>
      </c>
      <c r="F16" s="13">
        <v>3.5729154846425377</v>
      </c>
    </row>
    <row r="17" spans="1:6" x14ac:dyDescent="0.3">
      <c r="A17" s="23" t="s">
        <v>295</v>
      </c>
      <c r="B17" s="8">
        <v>16</v>
      </c>
      <c r="C17" s="8">
        <v>-3.6069599999999999</v>
      </c>
      <c r="D17" s="8">
        <v>40.521974</v>
      </c>
      <c r="F17" s="13">
        <v>4.1071565555387588</v>
      </c>
    </row>
    <row r="18" spans="1:6" x14ac:dyDescent="0.3">
      <c r="A18" s="23" t="s">
        <v>295</v>
      </c>
      <c r="B18" s="8">
        <v>17</v>
      </c>
      <c r="C18" s="8">
        <v>-3.6535229999999999</v>
      </c>
      <c r="D18" s="8">
        <v>40.513165000000001</v>
      </c>
      <c r="F18" s="13">
        <v>0.63074669060359634</v>
      </c>
    </row>
    <row r="19" spans="1:6" x14ac:dyDescent="0.3">
      <c r="A19" s="23" t="s">
        <v>295</v>
      </c>
      <c r="B19" s="8">
        <v>18</v>
      </c>
      <c r="C19" s="8">
        <v>-3.64561</v>
      </c>
      <c r="D19" s="8">
        <v>40.512858000000001</v>
      </c>
      <c r="F19" s="13">
        <v>1.0465503463857275</v>
      </c>
    </row>
    <row r="20" spans="1:6" x14ac:dyDescent="0.3">
      <c r="A20" s="23" t="s">
        <v>295</v>
      </c>
      <c r="B20" s="8">
        <v>19</v>
      </c>
      <c r="C20" s="8">
        <v>-3.64697</v>
      </c>
      <c r="D20" s="8">
        <v>40.508760000000002</v>
      </c>
      <c r="F20" s="13">
        <v>1.3096304660908531</v>
      </c>
    </row>
    <row r="21" spans="1:6" x14ac:dyDescent="0.3">
      <c r="A21" s="23" t="s">
        <v>295</v>
      </c>
      <c r="B21" s="8">
        <v>20</v>
      </c>
      <c r="C21" s="8">
        <v>-3.6411910000000001</v>
      </c>
      <c r="D21" s="8">
        <v>40.505940000000002</v>
      </c>
      <c r="F21" s="13">
        <v>1.8534648586242142</v>
      </c>
    </row>
    <row r="22" spans="1:6" x14ac:dyDescent="0.3">
      <c r="A22" s="23" t="s">
        <v>295</v>
      </c>
      <c r="B22" s="8">
        <v>21</v>
      </c>
      <c r="C22" s="8">
        <v>-3.6334810000000002</v>
      </c>
      <c r="D22" s="8">
        <v>40.504686</v>
      </c>
      <c r="F22" s="13">
        <v>2.4155765765628905</v>
      </c>
    </row>
    <row r="23" spans="1:6" x14ac:dyDescent="0.3">
      <c r="A23" s="23" t="s">
        <v>295</v>
      </c>
      <c r="B23" s="8">
        <v>22</v>
      </c>
      <c r="C23" s="8">
        <v>-3.642792</v>
      </c>
      <c r="D23" s="8">
        <v>40.500771999999998</v>
      </c>
      <c r="F23" s="13">
        <v>2.2552078132056281</v>
      </c>
    </row>
    <row r="24" spans="1:6" x14ac:dyDescent="0.3">
      <c r="A24" s="23" t="s">
        <v>295</v>
      </c>
      <c r="B24" s="8">
        <v>23</v>
      </c>
      <c r="C24" s="8">
        <v>-3.6309459999999998</v>
      </c>
      <c r="D24" s="8">
        <v>40.516778000000002</v>
      </c>
      <c r="F24" s="13">
        <v>2.0738619300275554</v>
      </c>
    </row>
    <row r="25" spans="1:6" x14ac:dyDescent="0.3">
      <c r="A25" s="23" t="s">
        <v>295</v>
      </c>
      <c r="B25" s="8">
        <v>24</v>
      </c>
      <c r="C25" s="8">
        <v>-3.6314609999999998</v>
      </c>
      <c r="D25" s="8">
        <v>40.509721999999996</v>
      </c>
      <c r="F25" s="13">
        <v>2.2512777126092445</v>
      </c>
    </row>
    <row r="26" spans="1:6" x14ac:dyDescent="0.3">
      <c r="A26" s="23" t="s">
        <v>295</v>
      </c>
      <c r="B26" s="8">
        <v>25</v>
      </c>
      <c r="C26" s="8">
        <v>-3.6398299999999999</v>
      </c>
      <c r="D26" s="8">
        <v>40.509689999999999</v>
      </c>
      <c r="F26" s="13">
        <v>1.6486161686962384</v>
      </c>
    </row>
    <row r="27" spans="1:6" x14ac:dyDescent="0.3">
      <c r="A27" s="23" t="s">
        <v>295</v>
      </c>
      <c r="B27" s="8">
        <v>26</v>
      </c>
      <c r="C27" s="8">
        <v>-3.6235219999999999</v>
      </c>
      <c r="D27" s="8">
        <v>40.511108999999998</v>
      </c>
      <c r="F27" s="13">
        <v>2.8189871321943585</v>
      </c>
    </row>
    <row r="28" spans="1:6" x14ac:dyDescent="0.3">
      <c r="A28" s="23" t="s">
        <v>295</v>
      </c>
      <c r="B28" s="8">
        <v>27</v>
      </c>
      <c r="C28" s="8">
        <v>-3.6238220000000001</v>
      </c>
      <c r="D28" s="8">
        <v>40.515023999999997</v>
      </c>
      <c r="F28" s="13">
        <v>2.6960200188116916</v>
      </c>
    </row>
    <row r="29" spans="1:6" x14ac:dyDescent="0.3">
      <c r="A29" s="23" t="s">
        <v>295</v>
      </c>
      <c r="B29" s="8">
        <v>28</v>
      </c>
      <c r="C29" s="8">
        <v>-3.6162800000000002</v>
      </c>
      <c r="D29" s="8">
        <v>40.516105000000003</v>
      </c>
      <c r="F29" s="13">
        <v>3.3152128109031009</v>
      </c>
    </row>
    <row r="30" spans="1:6" x14ac:dyDescent="0.3">
      <c r="A30" s="23" t="s">
        <v>295</v>
      </c>
      <c r="B30" s="8">
        <v>29</v>
      </c>
      <c r="C30" s="8">
        <v>-3.6153360000000001</v>
      </c>
      <c r="D30" s="8">
        <v>40.511814999999999</v>
      </c>
      <c r="F30" s="13">
        <v>3.4675500049444921</v>
      </c>
    </row>
    <row r="31" spans="1:6" x14ac:dyDescent="0.3">
      <c r="A31" s="23" t="s">
        <v>295</v>
      </c>
      <c r="B31" s="8">
        <v>30</v>
      </c>
      <c r="C31" s="8">
        <v>-3.610023</v>
      </c>
      <c r="D31" s="8">
        <v>40.51493</v>
      </c>
      <c r="F31" s="13">
        <v>3.8543536967526864</v>
      </c>
    </row>
    <row r="32" spans="1:6" x14ac:dyDescent="0.3">
      <c r="A32" s="23" t="s">
        <v>307</v>
      </c>
      <c r="B32" s="8" t="s">
        <v>306</v>
      </c>
      <c r="C32" s="8" t="str">
        <f>MID(Table5[[#This Row],[Lugar]],8,9)</f>
        <v>-3.871508</v>
      </c>
      <c r="D32" s="8" t="str">
        <f>MID(Table5[[#This Row],[Lugar]],19,9)</f>
        <v>40.487380</v>
      </c>
      <c r="E32" s="8" t="s">
        <v>308</v>
      </c>
      <c r="F32" s="13">
        <f>ACOS(COS(RADIANS(90-$K$2)) *COS(RADIANS(90-D32)) +SIN(RADIANS(90-$K$2)) *SIN(RADIANS(90-D32)) *COS(RADIANS($J$2-C32))) *6371</f>
        <v>3.6241617520008274</v>
      </c>
    </row>
    <row r="33" spans="1:6" x14ac:dyDescent="0.3">
      <c r="A33" s="23" t="s">
        <v>305</v>
      </c>
      <c r="B33" s="8" t="s">
        <v>304</v>
      </c>
      <c r="C33" s="8" t="str">
        <f>MID(Table5[[#This Row],[Lugar]],8,9)</f>
        <v>-3.877903</v>
      </c>
      <c r="D33" s="8" t="str">
        <f>MID(Table5[[#This Row],[Lugar]],19,9)</f>
        <v>40.490023</v>
      </c>
      <c r="E33" s="8" t="s">
        <v>308</v>
      </c>
      <c r="F33" s="13">
        <f t="shared" ref="F33:F97" si="0">ACOS(COS(RADIANS(90-$K$2)) *COS(RADIANS(90-D33)) +SIN(RADIANS(90-$K$2)) *SIN(RADIANS(90-D33)) *COS(RADIANS($J$2-C33))) *6371</f>
        <v>3.9168718926591408</v>
      </c>
    </row>
    <row r="34" spans="1:6" x14ac:dyDescent="0.3">
      <c r="A34" s="23" t="s">
        <v>303</v>
      </c>
      <c r="B34" s="8" t="s">
        <v>302</v>
      </c>
      <c r="C34" s="8" t="str">
        <f>MID(Table5[[#This Row],[Lugar]],8,9)</f>
        <v>-3.892108</v>
      </c>
      <c r="D34" s="8" t="str">
        <f>MID(Table5[[#This Row],[Lugar]],19,9)</f>
        <v>40.488587</v>
      </c>
      <c r="E34" s="8" t="s">
        <v>308</v>
      </c>
      <c r="F34" s="13">
        <f t="shared" si="0"/>
        <v>4.0256964051483344</v>
      </c>
    </row>
    <row r="35" spans="1:6" x14ac:dyDescent="0.3">
      <c r="A35" s="23" t="s">
        <v>301</v>
      </c>
      <c r="B35" s="8" t="s">
        <v>300</v>
      </c>
      <c r="C35" s="8" t="str">
        <f>MID(Table5[[#This Row],[Lugar]],8,9)</f>
        <v>-3.884372</v>
      </c>
      <c r="D35" s="8" t="str">
        <f>MID(Table5[[#This Row],[Lugar]],19,9)</f>
        <v>40.489166</v>
      </c>
      <c r="E35" s="8" t="s">
        <v>308</v>
      </c>
      <c r="F35" s="13">
        <f t="shared" si="0"/>
        <v>3.8985183584633738</v>
      </c>
    </row>
    <row r="36" spans="1:6" x14ac:dyDescent="0.3">
      <c r="A36" s="23" t="s">
        <v>299</v>
      </c>
      <c r="B36" s="8" t="s">
        <v>298</v>
      </c>
      <c r="C36" s="8" t="str">
        <f>MID(Table5[[#This Row],[Lugar]],8,9)</f>
        <v>-3.875016</v>
      </c>
      <c r="D36" s="8" t="str">
        <f>MID(Table5[[#This Row],[Lugar]],19,9)</f>
        <v>40.496216</v>
      </c>
      <c r="E36" s="8" t="s">
        <v>308</v>
      </c>
      <c r="F36" s="13">
        <f t="shared" si="0"/>
        <v>4.5964127737151133</v>
      </c>
    </row>
    <row r="37" spans="1:6" x14ac:dyDescent="0.3">
      <c r="A37" s="23" t="s">
        <v>297</v>
      </c>
      <c r="B37" s="8" t="s">
        <v>296</v>
      </c>
      <c r="C37" s="8" t="str">
        <f>MID(Table5[[#This Row],[Lugar]],8,9)</f>
        <v>-3.877248</v>
      </c>
      <c r="D37" s="8" t="str">
        <f>MID(Table5[[#This Row],[Lugar]],19,9)</f>
        <v>40.503917</v>
      </c>
      <c r="E37" s="8" t="s">
        <v>308</v>
      </c>
      <c r="F37" s="13">
        <f t="shared" si="0"/>
        <v>5.4567901960442047</v>
      </c>
    </row>
    <row r="38" spans="1:6" x14ac:dyDescent="0.3">
      <c r="A38" t="s">
        <v>364</v>
      </c>
      <c r="B38" s="26">
        <v>7</v>
      </c>
      <c r="C38" s="8" t="str">
        <f>MID(Table5[[#This Row],[Lugar]],8,9)</f>
        <v>-3.876767</v>
      </c>
      <c r="D38" s="8" t="str">
        <f>MID(Table5[[#This Row],[Lugar]],19,9)</f>
        <v>40.483148</v>
      </c>
      <c r="E38" s="8" t="s">
        <v>308</v>
      </c>
      <c r="F38" s="13">
        <f t="shared" si="0"/>
        <v>3.147931626796479</v>
      </c>
    </row>
    <row r="39" spans="1:6" x14ac:dyDescent="0.3">
      <c r="A39" t="s">
        <v>365</v>
      </c>
      <c r="B39" s="26">
        <v>8</v>
      </c>
      <c r="C39" s="8" t="str">
        <f>MID(Table5[[#This Row],[Lugar]],8,9)</f>
        <v>-3.870244</v>
      </c>
      <c r="D39" s="8" t="str">
        <f>MID(Table5[[#This Row],[Lugar]],19,9)</f>
        <v>40.483148</v>
      </c>
      <c r="E39" s="8" t="s">
        <v>308</v>
      </c>
      <c r="F39" s="13">
        <f t="shared" si="0"/>
        <v>3.1661839370190874</v>
      </c>
    </row>
    <row r="40" spans="1:6" x14ac:dyDescent="0.3">
      <c r="A40" t="s">
        <v>366</v>
      </c>
      <c r="B40" s="26">
        <v>9</v>
      </c>
      <c r="C40" s="8" t="str">
        <f>MID(Table5[[#This Row],[Lugar]],8,9)</f>
        <v>-3.864922</v>
      </c>
      <c r="D40" s="8" t="str">
        <f>MID(Table5[[#This Row],[Lugar]],19,9)</f>
        <v>40.483278</v>
      </c>
      <c r="E40" s="8" t="s">
        <v>308</v>
      </c>
      <c r="F40" s="13">
        <f t="shared" si="0"/>
        <v>3.2651078409648218</v>
      </c>
    </row>
    <row r="41" spans="1:6" x14ac:dyDescent="0.3">
      <c r="A41" t="s">
        <v>367</v>
      </c>
      <c r="B41" s="26">
        <v>10</v>
      </c>
      <c r="C41" s="8" t="str">
        <f>MID(Table5[[#This Row],[Lugar]],8,9)</f>
        <v>-3.859258</v>
      </c>
      <c r="D41" s="8" t="str">
        <f>MID(Table5[[#This Row],[Lugar]],19,9)</f>
        <v>40.481450</v>
      </c>
      <c r="E41" s="8" t="s">
        <v>308</v>
      </c>
      <c r="F41" s="13">
        <f t="shared" si="0"/>
        <v>3.2317206758040578</v>
      </c>
    </row>
    <row r="42" spans="1:6" x14ac:dyDescent="0.3">
      <c r="A42" t="s">
        <v>368</v>
      </c>
      <c r="B42" s="26">
        <v>11</v>
      </c>
      <c r="C42" s="8" t="str">
        <f>MID(Table5[[#This Row],[Lugar]],8,9)</f>
        <v>-3.854279</v>
      </c>
      <c r="D42" s="8" t="str">
        <f>MID(Table5[[#This Row],[Lugar]],19,9)</f>
        <v>40.479622</v>
      </c>
      <c r="E42" s="8" t="s">
        <v>308</v>
      </c>
      <c r="F42" s="13">
        <f t="shared" si="0"/>
        <v>3.2503838227315844</v>
      </c>
    </row>
    <row r="43" spans="1:6" x14ac:dyDescent="0.3">
      <c r="A43" t="s">
        <v>369</v>
      </c>
      <c r="B43" s="26">
        <v>12</v>
      </c>
      <c r="C43" s="8" t="str">
        <f>MID(Table5[[#This Row],[Lugar]],8,9)</f>
        <v>-3.866467</v>
      </c>
      <c r="D43" s="8" t="str">
        <f>MID(Table5[[#This Row],[Lugar]],19,9)</f>
        <v>40.479687</v>
      </c>
      <c r="E43" s="8" t="s">
        <v>308</v>
      </c>
      <c r="F43" s="13">
        <f t="shared" si="0"/>
        <v>2.8458092467617733</v>
      </c>
    </row>
    <row r="44" spans="1:6" x14ac:dyDescent="0.3">
      <c r="A44" t="s">
        <v>370</v>
      </c>
      <c r="B44" s="26">
        <v>13</v>
      </c>
      <c r="C44" s="8" t="str">
        <f>MID(Table5[[#This Row],[Lugar]],8,9)</f>
        <v>-3.860803</v>
      </c>
      <c r="D44" s="8" t="str">
        <f>MID(Table5[[#This Row],[Lugar]],19,9)</f>
        <v>40.478578</v>
      </c>
      <c r="E44" s="8" t="s">
        <v>308</v>
      </c>
      <c r="F44" s="13">
        <f t="shared" si="0"/>
        <v>2.8868299359438914</v>
      </c>
    </row>
    <row r="45" spans="1:6" x14ac:dyDescent="0.3">
      <c r="A45" t="s">
        <v>371</v>
      </c>
      <c r="B45" s="26">
        <v>14</v>
      </c>
      <c r="C45" s="8" t="str">
        <f>MID(Table5[[#This Row],[Lugar]],8,9)</f>
        <v>-3.856082</v>
      </c>
      <c r="D45" s="8" t="str">
        <f>MID(Table5[[#This Row],[Lugar]],19,9)</f>
        <v>40.477664</v>
      </c>
      <c r="E45" s="8" t="s">
        <v>308</v>
      </c>
      <c r="F45" s="13">
        <f t="shared" si="0"/>
        <v>2.9849212433246919</v>
      </c>
    </row>
    <row r="46" spans="1:6" x14ac:dyDescent="0.3">
      <c r="A46" t="s">
        <v>372</v>
      </c>
      <c r="B46" s="26">
        <v>15</v>
      </c>
      <c r="C46" s="8" t="str">
        <f>MID(Table5[[#This Row],[Lugar]],8,9)</f>
        <v>-3.850160</v>
      </c>
      <c r="D46" s="8" t="str">
        <f>MID(Table5[[#This Row],[Lugar]],19,9)</f>
        <v>40.477141</v>
      </c>
      <c r="E46" s="8" t="s">
        <v>308</v>
      </c>
      <c r="F46" s="13">
        <f t="shared" si="0"/>
        <v>3.2327929554352153</v>
      </c>
    </row>
    <row r="47" spans="1:6" x14ac:dyDescent="0.3">
      <c r="A47" t="s">
        <v>373</v>
      </c>
      <c r="B47" s="26">
        <v>16</v>
      </c>
      <c r="C47" s="8" t="str">
        <f>MID(Table5[[#This Row],[Lugar]],8,9)</f>
        <v>-3.844237</v>
      </c>
      <c r="D47" s="8" t="str">
        <f>MID(Table5[[#This Row],[Lugar]],19,9)</f>
        <v>40.476554</v>
      </c>
      <c r="E47" s="8" t="s">
        <v>308</v>
      </c>
      <c r="F47" s="13">
        <f t="shared" si="0"/>
        <v>3.5308626085132282</v>
      </c>
    </row>
    <row r="48" spans="1:6" x14ac:dyDescent="0.3">
      <c r="A48" t="s">
        <v>374</v>
      </c>
      <c r="B48" s="26">
        <v>17</v>
      </c>
      <c r="C48" s="8" t="str">
        <f>MID(Table5[[#This Row],[Lugar]],8,9)</f>
        <v>-3.866296</v>
      </c>
      <c r="D48" s="8" t="str">
        <f>MID(Table5[[#This Row],[Lugar]],19,8)</f>
        <v>40.47675</v>
      </c>
      <c r="E48" s="8" t="s">
        <v>308</v>
      </c>
      <c r="F48" s="13">
        <f t="shared" si="0"/>
        <v>2.534577211067726</v>
      </c>
    </row>
    <row r="49" spans="1:6" x14ac:dyDescent="0.3">
      <c r="A49" t="s">
        <v>375</v>
      </c>
      <c r="B49" s="26">
        <v>18</v>
      </c>
      <c r="C49" s="8" t="str">
        <f>MID(Table5[[#This Row],[Lugar]],8,9)</f>
        <v>-3.860717</v>
      </c>
      <c r="D49" s="8" t="str">
        <f>MID(Table5[[#This Row],[Lugar]],19,9)</f>
        <v>40.476227</v>
      </c>
      <c r="E49" s="8" t="s">
        <v>308</v>
      </c>
      <c r="F49" s="13">
        <f t="shared" si="0"/>
        <v>2.6536114598433307</v>
      </c>
    </row>
    <row r="50" spans="1:6" x14ac:dyDescent="0.3">
      <c r="A50" t="s">
        <v>376</v>
      </c>
      <c r="B50" s="26">
        <v>19</v>
      </c>
      <c r="C50" s="8" t="str">
        <f>MID(Table5[[#This Row],[Lugar]],8,9)</f>
        <v>-3.855653</v>
      </c>
      <c r="D50" s="8" t="str">
        <f>MID(Table5[[#This Row],[Lugar]],19,9)</f>
        <v>40.474660</v>
      </c>
      <c r="E50" s="8" t="s">
        <v>308</v>
      </c>
      <c r="F50" s="13">
        <f t="shared" si="0"/>
        <v>2.7285205076655226</v>
      </c>
    </row>
    <row r="51" spans="1:6" x14ac:dyDescent="0.3">
      <c r="A51" t="s">
        <v>377</v>
      </c>
      <c r="B51" s="26">
        <v>20</v>
      </c>
      <c r="C51" s="8" t="str">
        <f>MID(Table5[[#This Row],[Lugar]],8,9)</f>
        <v>-3.851619</v>
      </c>
      <c r="D51" s="8" t="str">
        <f>MID(Table5[[#This Row],[Lugar]],19,9)</f>
        <v>40.474464</v>
      </c>
      <c r="E51" s="8" t="s">
        <v>308</v>
      </c>
      <c r="F51" s="13">
        <f t="shared" si="0"/>
        <v>2.9271149661449982</v>
      </c>
    </row>
    <row r="52" spans="1:6" x14ac:dyDescent="0.3">
      <c r="A52" t="s">
        <v>378</v>
      </c>
      <c r="B52" s="26">
        <v>21</v>
      </c>
      <c r="C52" s="8" t="str">
        <f>MID(Table5[[#This Row],[Lugar]],8,9)</f>
        <v>-3.863120</v>
      </c>
      <c r="D52" s="8" t="str">
        <f>MID(Table5[[#This Row],[Lugar]],19,9)</f>
        <v>40.473616</v>
      </c>
      <c r="E52" s="8" t="s">
        <v>308</v>
      </c>
      <c r="F52" s="13">
        <f t="shared" si="0"/>
        <v>2.3036259589210419</v>
      </c>
    </row>
    <row r="53" spans="1:6" x14ac:dyDescent="0.3">
      <c r="A53" t="s">
        <v>379</v>
      </c>
      <c r="B53" s="26">
        <v>22</v>
      </c>
      <c r="C53" s="8" t="str">
        <f>MID(Table5[[#This Row],[Lugar]],8,9)</f>
        <v>-3.866038</v>
      </c>
      <c r="D53" s="8" t="str">
        <f>MID(Table5[[#This Row],[Lugar]],19,9)</f>
        <v>40.472049</v>
      </c>
      <c r="E53" s="8" t="s">
        <v>308</v>
      </c>
      <c r="F53" s="13">
        <f t="shared" si="0"/>
        <v>2.0461305773743916</v>
      </c>
    </row>
    <row r="54" spans="1:6" x14ac:dyDescent="0.3">
      <c r="A54" t="s">
        <v>380</v>
      </c>
      <c r="B54" s="26">
        <v>23</v>
      </c>
      <c r="C54" s="8" t="str">
        <f>MID(Table5[[#This Row],[Lugar]],8,9)</f>
        <v>-3.858914</v>
      </c>
      <c r="D54" s="8" t="str">
        <f>MID(Table5[[#This Row],[Lugar]],19,9)</f>
        <v>40.472897</v>
      </c>
      <c r="E54" s="8" t="s">
        <v>308</v>
      </c>
      <c r="F54" s="13">
        <f t="shared" si="0"/>
        <v>2.4095963369026068</v>
      </c>
    </row>
    <row r="55" spans="1:6" x14ac:dyDescent="0.3">
      <c r="A55" t="s">
        <v>381</v>
      </c>
      <c r="B55" s="26">
        <v>24</v>
      </c>
      <c r="C55" s="8" t="str">
        <f>MID(Table5[[#This Row],[Lugar]],8,9)</f>
        <v>-3.852906</v>
      </c>
      <c r="D55" s="8" t="str">
        <f>MID(Table5[[#This Row],[Lugar]],19,9)</f>
        <v>40.472114</v>
      </c>
      <c r="E55" s="8" t="s">
        <v>308</v>
      </c>
      <c r="F55" s="13">
        <f t="shared" si="0"/>
        <v>2.6616276775858063</v>
      </c>
    </row>
    <row r="56" spans="1:6" x14ac:dyDescent="0.3">
      <c r="A56" t="s">
        <v>382</v>
      </c>
      <c r="B56" s="26">
        <v>25</v>
      </c>
      <c r="C56" s="8" t="str">
        <f>MID(Table5[[#This Row],[Lugar]],8,9)</f>
        <v>-3.856254</v>
      </c>
      <c r="D56" s="8" t="str">
        <f>MID(Table5[[#This Row],[Lugar]],19,9)</f>
        <v>40.470939</v>
      </c>
      <c r="E56" s="8" t="s">
        <v>308</v>
      </c>
      <c r="F56" s="13">
        <f t="shared" si="0"/>
        <v>2.373706713126162</v>
      </c>
    </row>
    <row r="57" spans="1:6" x14ac:dyDescent="0.3">
      <c r="A57" t="s">
        <v>383</v>
      </c>
      <c r="B57" s="26">
        <v>26</v>
      </c>
      <c r="C57" s="8" t="str">
        <f>MID(Table5[[#This Row],[Lugar]],8,9)</f>
        <v>-3.861318</v>
      </c>
      <c r="D57" s="8" t="str">
        <f>MID(Table5[[#This Row],[Lugar]],19,9)</f>
        <v>40.469894</v>
      </c>
      <c r="E57" s="8" t="s">
        <v>308</v>
      </c>
      <c r="F57" s="13">
        <f t="shared" si="0"/>
        <v>2.0190465769439658</v>
      </c>
    </row>
    <row r="58" spans="1:6" x14ac:dyDescent="0.3">
      <c r="A58" t="s">
        <v>384</v>
      </c>
      <c r="B58" s="26">
        <v>27</v>
      </c>
      <c r="C58" s="8" t="str">
        <f>MID(Table5[[#This Row],[Lugar]],8,9)</f>
        <v>-3.866382</v>
      </c>
      <c r="D58" s="8" t="str">
        <f>MID(Table5[[#This Row],[Lugar]],19,9)</f>
        <v>40.469176</v>
      </c>
      <c r="E58" s="8" t="s">
        <v>308</v>
      </c>
      <c r="F58" s="13">
        <f t="shared" si="0"/>
        <v>1.7398128816491469</v>
      </c>
    </row>
    <row r="59" spans="1:6" x14ac:dyDescent="0.3">
      <c r="A59" t="s">
        <v>385</v>
      </c>
      <c r="B59" s="26">
        <v>28</v>
      </c>
      <c r="C59" s="8" t="str">
        <f>MID(Table5[[#This Row],[Lugar]],8,9)</f>
        <v>-3.862777</v>
      </c>
      <c r="D59" s="8" t="str">
        <f>MID(Table5[[#This Row],[Lugar]],19,9)</f>
        <v>40.466955</v>
      </c>
      <c r="E59" s="8" t="s">
        <v>308</v>
      </c>
      <c r="F59" s="13">
        <f t="shared" si="0"/>
        <v>1.681407924936581</v>
      </c>
    </row>
    <row r="60" spans="1:6" x14ac:dyDescent="0.3">
      <c r="A60" t="s">
        <v>386</v>
      </c>
      <c r="B60" s="26">
        <v>29</v>
      </c>
      <c r="C60" s="8" t="str">
        <f>MID(Table5[[#This Row],[Lugar]],8,9)</f>
        <v>-3.857198</v>
      </c>
      <c r="D60" s="8" t="str">
        <f>MID(Table5[[#This Row],[Lugar]],19,9)</f>
        <v>40.468784</v>
      </c>
      <c r="E60" s="8" t="s">
        <v>308</v>
      </c>
      <c r="F60" s="13">
        <f t="shared" si="0"/>
        <v>2.1430746958926354</v>
      </c>
    </row>
    <row r="61" spans="1:6" x14ac:dyDescent="0.3">
      <c r="A61" t="s">
        <v>387</v>
      </c>
      <c r="B61" s="26">
        <v>30</v>
      </c>
      <c r="C61" s="8" t="str">
        <f>MID(Table5[[#This Row],[Lugar]],8,9)</f>
        <v>-3.858313</v>
      </c>
      <c r="D61" s="8" t="str">
        <f>MID(Table5[[#This Row],[Lugar]],19,9)</f>
        <v>40.466041</v>
      </c>
      <c r="E61" s="8" t="s">
        <v>308</v>
      </c>
      <c r="F61" s="13">
        <f t="shared" si="0"/>
        <v>1.863242204334</v>
      </c>
    </row>
    <row r="62" spans="1:6" x14ac:dyDescent="0.3">
      <c r="A62" t="s">
        <v>388</v>
      </c>
      <c r="B62" s="26">
        <v>31</v>
      </c>
      <c r="C62" s="8" t="str">
        <f>MID(Table5[[#This Row],[Lugar]],8,9)</f>
        <v>-3.867068</v>
      </c>
      <c r="D62" s="8" t="str">
        <f>MID(Table5[[#This Row],[Lugar]],19,9)</f>
        <v>40.465127</v>
      </c>
      <c r="E62" s="8" t="s">
        <v>308</v>
      </c>
      <c r="F62" s="13">
        <f t="shared" si="0"/>
        <v>1.3113234825100417</v>
      </c>
    </row>
    <row r="63" spans="1:6" x14ac:dyDescent="0.3">
      <c r="A63" s="23"/>
      <c r="C63" s="27">
        <v>-3.88198</v>
      </c>
      <c r="D63" s="27">
        <v>40.485770000000002</v>
      </c>
      <c r="F63" s="28">
        <f t="shared" ref="F63" si="1">ACOS(COS(RADIANS(90-$K$4)) *COS(RADIANS(90-D63)) +SIN(RADIANS(90-$K$4)) *SIN(RADIANS(90-D63)) *COS(RADIANS($J$4-C63))) *6371</f>
        <v>3.6541982386568801</v>
      </c>
    </row>
    <row r="64" spans="1:6" x14ac:dyDescent="0.3">
      <c r="A64" t="s">
        <v>389</v>
      </c>
      <c r="B64" s="26">
        <v>32</v>
      </c>
      <c r="C64" s="8" t="str">
        <f>MID(Table5[[#This Row],[Lugar]],8,9)</f>
        <v>-3.868356</v>
      </c>
      <c r="D64" s="8" t="str">
        <f>MID(Table5[[#This Row],[Lugar]],19,9)</f>
        <v>40.461274</v>
      </c>
      <c r="E64" s="8" t="s">
        <v>308</v>
      </c>
      <c r="F64" s="13">
        <f t="shared" si="0"/>
        <v>0.89287651665725654</v>
      </c>
    </row>
    <row r="65" spans="1:6" x14ac:dyDescent="0.3">
      <c r="A65" t="s">
        <v>390</v>
      </c>
      <c r="B65" s="26">
        <v>33</v>
      </c>
      <c r="C65" s="8" t="str">
        <f>MID(Table5[[#This Row],[Lugar]],8,9)</f>
        <v>-3.863635</v>
      </c>
      <c r="D65" s="8" t="str">
        <f>MID(Table5[[#This Row],[Lugar]],19,9)</f>
        <v>40.463821</v>
      </c>
      <c r="E65" s="8" t="s">
        <v>308</v>
      </c>
      <c r="F65" s="13">
        <f t="shared" si="0"/>
        <v>1.3678974994665694</v>
      </c>
    </row>
    <row r="66" spans="1:6" x14ac:dyDescent="0.3">
      <c r="A66" t="s">
        <v>391</v>
      </c>
      <c r="B66" s="26">
        <v>34</v>
      </c>
      <c r="C66" s="8" t="str">
        <f>MID(Table5[[#This Row],[Lugar]],8,9)</f>
        <v>-3.862176</v>
      </c>
      <c r="D66" s="8" t="str">
        <f>MID(Table5[[#This Row],[Lugar]],19,9)</f>
        <v>40.460817</v>
      </c>
      <c r="E66" s="8" t="s">
        <v>308</v>
      </c>
      <c r="F66" s="13">
        <f t="shared" si="0"/>
        <v>1.2513091445009739</v>
      </c>
    </row>
    <row r="67" spans="1:6" x14ac:dyDescent="0.3">
      <c r="A67" t="s">
        <v>392</v>
      </c>
      <c r="B67" s="26">
        <v>35</v>
      </c>
      <c r="C67" s="8" t="str">
        <f>MID(Table5[[#This Row],[Lugar]],8,9)</f>
        <v>-3.878741</v>
      </c>
      <c r="D67" s="8" t="str">
        <f>MID(Table5[[#This Row],[Lugar]],19,9)</f>
        <v>40.459838</v>
      </c>
      <c r="E67" s="8" t="s">
        <v>308</v>
      </c>
      <c r="F67" s="13">
        <f t="shared" si="0"/>
        <v>0.64693693480964587</v>
      </c>
    </row>
    <row r="68" spans="1:6" x14ac:dyDescent="0.3">
      <c r="A68" t="s">
        <v>393</v>
      </c>
      <c r="B68" s="26">
        <v>36</v>
      </c>
      <c r="C68" s="8" t="str">
        <f>MID(Table5[[#This Row],[Lugar]],8,9)</f>
        <v>-3.857112</v>
      </c>
      <c r="D68" s="8" t="str">
        <f>MID(Table5[[#This Row],[Lugar]],19,9)</f>
        <v>40.457617</v>
      </c>
      <c r="E68" s="8" t="s">
        <v>308</v>
      </c>
      <c r="F68" s="13">
        <f t="shared" si="0"/>
        <v>1.5222111152718185</v>
      </c>
    </row>
    <row r="69" spans="1:6" x14ac:dyDescent="0.3">
      <c r="A69" t="s">
        <v>394</v>
      </c>
      <c r="B69" s="26">
        <v>37</v>
      </c>
      <c r="C69" s="8" t="str">
        <f>MID(Table5[[#This Row],[Lugar]],8,9)</f>
        <v>-3.854880</v>
      </c>
      <c r="D69" s="8" t="str">
        <f>MID(Table5[[#This Row],[Lugar]],19,9)</f>
        <v>40.450433</v>
      </c>
      <c r="E69" s="8" t="s">
        <v>308</v>
      </c>
      <c r="F69" s="13">
        <f t="shared" si="0"/>
        <v>1.7516567220116455</v>
      </c>
    </row>
    <row r="70" spans="1:6" x14ac:dyDescent="0.3">
      <c r="A70" t="s">
        <v>395</v>
      </c>
      <c r="B70" s="26">
        <v>38</v>
      </c>
      <c r="C70" s="8" t="str">
        <f>MID(Table5[[#This Row],[Lugar]],8,9)</f>
        <v>-3.855255</v>
      </c>
      <c r="D70" s="8" t="str">
        <f>MID(Table5[[#This Row],[Lugar]],19,9)</f>
        <v>40.454509</v>
      </c>
      <c r="E70" s="8" t="s">
        <v>308</v>
      </c>
      <c r="F70" s="13">
        <f t="shared" si="0"/>
        <v>1.6491489540483359</v>
      </c>
    </row>
    <row r="71" spans="1:6" x14ac:dyDescent="0.3">
      <c r="A71" t="s">
        <v>396</v>
      </c>
      <c r="B71" s="26">
        <v>39</v>
      </c>
      <c r="C71" s="8" t="str">
        <f>MID(Table5[[#This Row],[Lugar]],8,9)</f>
        <v>-3.892128</v>
      </c>
      <c r="D71" s="8" t="str">
        <f>MID(Table5[[#This Row],[Lugar]],19,9)</f>
        <v>40.454538</v>
      </c>
      <c r="E71" s="8" t="s">
        <v>308</v>
      </c>
      <c r="F71" s="13">
        <f t="shared" si="0"/>
        <v>1.4716960681804472</v>
      </c>
    </row>
    <row r="72" spans="1:6" x14ac:dyDescent="0.3">
      <c r="A72" t="s">
        <v>397</v>
      </c>
      <c r="B72" s="26">
        <v>40</v>
      </c>
      <c r="C72" s="8" t="str">
        <f>MID(Table5[[#This Row],[Lugar]],8,9)</f>
        <v>-3.884746</v>
      </c>
      <c r="D72" s="8" t="str">
        <f>MID(Table5[[#This Row],[Lugar]],19,9)</f>
        <v>40.452971</v>
      </c>
      <c r="E72" s="8" t="s">
        <v>308</v>
      </c>
      <c r="F72" s="13">
        <f t="shared" si="0"/>
        <v>0.87282649777972954</v>
      </c>
    </row>
    <row r="73" spans="1:6" x14ac:dyDescent="0.3">
      <c r="A73" t="s">
        <v>398</v>
      </c>
      <c r="B73" s="26">
        <v>41</v>
      </c>
      <c r="C73" s="8" t="str">
        <f>MID(Table5[[#This Row],[Lugar]],8,9)</f>
        <v>-3.885090</v>
      </c>
      <c r="D73" s="8" t="str">
        <f>MID(Table5[[#This Row],[Lugar]],19,9)</f>
        <v>40.449313</v>
      </c>
      <c r="E73" s="8" t="s">
        <v>308</v>
      </c>
      <c r="F73" s="13">
        <f t="shared" si="0"/>
        <v>1.0724404048763494</v>
      </c>
    </row>
    <row r="74" spans="1:6" x14ac:dyDescent="0.3">
      <c r="A74" t="s">
        <v>399</v>
      </c>
      <c r="B74" s="26">
        <v>42</v>
      </c>
      <c r="C74" s="8" t="str">
        <f>MID(Table5[[#This Row],[Lugar]],8,9)</f>
        <v>-3.897964</v>
      </c>
      <c r="D74" s="8" t="str">
        <f>MID(Table5[[#This Row],[Lugar]],19,9)</f>
        <v>40.453036</v>
      </c>
      <c r="E74" s="8" t="s">
        <v>308</v>
      </c>
      <c r="F74" s="13">
        <f t="shared" si="0"/>
        <v>1.9756814623900034</v>
      </c>
    </row>
    <row r="75" spans="1:6" x14ac:dyDescent="0.3">
      <c r="A75" t="s">
        <v>400</v>
      </c>
      <c r="B75" s="26">
        <v>43</v>
      </c>
      <c r="C75" s="8" t="str">
        <f>MID(Table5[[#This Row],[Lugar]],8,9)</f>
        <v>-3.906032</v>
      </c>
      <c r="D75" s="8" t="str">
        <f>MID(Table5[[#This Row],[Lugar]],19,9)</f>
        <v>40.455453</v>
      </c>
      <c r="E75" s="8" t="s">
        <v>308</v>
      </c>
      <c r="F75" s="13">
        <f t="shared" si="0"/>
        <v>2.648375371088429</v>
      </c>
    </row>
    <row r="76" spans="1:6" x14ac:dyDescent="0.3">
      <c r="A76" t="s">
        <v>401</v>
      </c>
      <c r="B76" s="26">
        <v>44</v>
      </c>
      <c r="C76" s="8" t="str">
        <f>MID(Table5[[#This Row],[Lugar]],8,9)</f>
        <v>-3.913499</v>
      </c>
      <c r="D76" s="8" t="str">
        <f>MID(Table5[[#This Row],[Lugar]],19,9)</f>
        <v>40.456759</v>
      </c>
      <c r="E76" s="8" t="s">
        <v>308</v>
      </c>
      <c r="F76" s="13">
        <f t="shared" si="0"/>
        <v>3.2860072123890611</v>
      </c>
    </row>
    <row r="77" spans="1:6" x14ac:dyDescent="0.3">
      <c r="A77" t="s">
        <v>402</v>
      </c>
      <c r="B77" s="26">
        <v>45</v>
      </c>
      <c r="C77" s="8" t="str">
        <f>MID(Table5[[#This Row],[Lugar]],8,9)</f>
        <v>-3.913757</v>
      </c>
      <c r="D77" s="8" t="str">
        <f>MID(Table5[[#This Row],[Lugar]],19,9)</f>
        <v>40.452122</v>
      </c>
      <c r="E77" s="8" t="s">
        <v>308</v>
      </c>
      <c r="F77" s="13">
        <f t="shared" si="0"/>
        <v>3.3155148762174007</v>
      </c>
    </row>
    <row r="78" spans="1:6" x14ac:dyDescent="0.3">
      <c r="A78" t="s">
        <v>403</v>
      </c>
      <c r="B78" s="26">
        <v>46</v>
      </c>
      <c r="C78" s="8" t="str">
        <f>MID(Table5[[#This Row],[Lugar]],8,9)</f>
        <v>-3.908092</v>
      </c>
      <c r="D78" s="8" t="str">
        <f>MID(Table5[[#This Row],[Lugar]],19,9)</f>
        <v>40.450424</v>
      </c>
      <c r="E78" s="8" t="s">
        <v>308</v>
      </c>
      <c r="F78" s="13">
        <f t="shared" si="0"/>
        <v>2.8651786219581483</v>
      </c>
    </row>
    <row r="79" spans="1:6" x14ac:dyDescent="0.3">
      <c r="A79" t="s">
        <v>404</v>
      </c>
      <c r="B79" s="26">
        <v>47</v>
      </c>
      <c r="C79" s="8" t="str">
        <f>MID(Table5[[#This Row],[Lugar]],8,9)</f>
        <v>-3.902084</v>
      </c>
      <c r="D79" s="8" t="str">
        <f>MID(Table5[[#This Row],[Lugar]],19,9)</f>
        <v>40.448399</v>
      </c>
      <c r="E79" s="8" t="s">
        <v>308</v>
      </c>
      <c r="F79" s="13">
        <f t="shared" si="0"/>
        <v>2.4233258743772481</v>
      </c>
    </row>
    <row r="80" spans="1:6" x14ac:dyDescent="0.3">
      <c r="A80" t="s">
        <v>405</v>
      </c>
      <c r="B80" s="26">
        <v>48</v>
      </c>
      <c r="C80" s="8" t="str">
        <f>MID(Table5[[#This Row],[Lugar]],8,9)</f>
        <v>-3.894188</v>
      </c>
      <c r="D80" s="8" t="str">
        <f>MID(Table5[[#This Row],[Lugar]],19,9)</f>
        <v>40.449705</v>
      </c>
      <c r="E80" s="8" t="s">
        <v>308</v>
      </c>
      <c r="F80" s="13">
        <f t="shared" si="0"/>
        <v>1.7432714793856678</v>
      </c>
    </row>
    <row r="81" spans="1:6" x14ac:dyDescent="0.3">
      <c r="A81" t="s">
        <v>406</v>
      </c>
      <c r="B81" s="26">
        <v>49</v>
      </c>
      <c r="C81" s="8" t="str">
        <f>MID(Table5[[#This Row],[Lugar]],8,9)</f>
        <v>-3.889553</v>
      </c>
      <c r="D81" s="8" t="str">
        <f>MID(Table5[[#This Row],[Lugar]],19,9)</f>
        <v>40.442520</v>
      </c>
      <c r="E81" s="8" t="s">
        <v>308</v>
      </c>
      <c r="F81" s="13">
        <f t="shared" si="0"/>
        <v>1.8601117045009437</v>
      </c>
    </row>
    <row r="82" spans="1:6" x14ac:dyDescent="0.3">
      <c r="A82" t="s">
        <v>407</v>
      </c>
      <c r="B82" s="26">
        <v>50</v>
      </c>
      <c r="C82" s="8" t="str">
        <f>MID(Table5[[#This Row],[Lugar]],8,9)</f>
        <v>-3.883630</v>
      </c>
      <c r="D82" s="8" t="str">
        <f>MID(Table5[[#This Row],[Lugar]],19,9)</f>
        <v>40.443761</v>
      </c>
      <c r="E82" s="8" t="s">
        <v>308</v>
      </c>
      <c r="F82" s="13">
        <f t="shared" si="0"/>
        <v>1.4472391095508985</v>
      </c>
    </row>
    <row r="83" spans="1:6" x14ac:dyDescent="0.3">
      <c r="A83" t="s">
        <v>408</v>
      </c>
      <c r="B83" s="26">
        <v>51</v>
      </c>
      <c r="C83" s="8" t="str">
        <f>MID(Table5[[#This Row],[Lugar]],8,9)</f>
        <v>-3.896848</v>
      </c>
      <c r="D83" s="8" t="str">
        <f>MID(Table5[[#This Row],[Lugar]],19,9)</f>
        <v>40.445394</v>
      </c>
      <c r="E83" s="8" t="s">
        <v>308</v>
      </c>
      <c r="F83" s="13">
        <f t="shared" si="0"/>
        <v>2.1475763009955955</v>
      </c>
    </row>
    <row r="84" spans="1:6" x14ac:dyDescent="0.3">
      <c r="A84" t="s">
        <v>409</v>
      </c>
      <c r="B84" s="26">
        <v>52</v>
      </c>
      <c r="C84" s="8" t="str">
        <f>MID(Table5[[#This Row],[Lugar]],8,9)</f>
        <v>-3.901226</v>
      </c>
      <c r="D84" s="8" t="str">
        <f>MID(Table5[[#This Row],[Lugar]],19,9)</f>
        <v>40.442651</v>
      </c>
      <c r="E84" s="8" t="s">
        <v>308</v>
      </c>
      <c r="F84" s="13">
        <f t="shared" si="0"/>
        <v>2.6214473302696182</v>
      </c>
    </row>
    <row r="85" spans="1:6" x14ac:dyDescent="0.3">
      <c r="A85" t="s">
        <v>410</v>
      </c>
      <c r="B85" s="26">
        <v>53</v>
      </c>
      <c r="C85" s="8" t="str">
        <f>MID(Table5[[#This Row],[Lugar]],8,9)</f>
        <v>-3.904487</v>
      </c>
      <c r="D85" s="8" t="str">
        <f>MID(Table5[[#This Row],[Lugar]],19,9)</f>
        <v>40.438862</v>
      </c>
      <c r="E85" s="8" t="s">
        <v>308</v>
      </c>
      <c r="F85" s="13">
        <f t="shared" si="0"/>
        <v>3.0836135564797105</v>
      </c>
    </row>
    <row r="86" spans="1:6" x14ac:dyDescent="0.3">
      <c r="A86" t="s">
        <v>411</v>
      </c>
      <c r="B86" s="26">
        <v>54</v>
      </c>
      <c r="C86" s="8" t="str">
        <f>MID(Table5[[#This Row],[Lugar]],8,9)</f>
        <v>-3.908350</v>
      </c>
      <c r="D86" s="8" t="str">
        <f>MID(Table5[[#This Row],[Lugar]],19,9)</f>
        <v>40.441083</v>
      </c>
      <c r="E86" s="8" t="s">
        <v>308</v>
      </c>
      <c r="F86" s="13">
        <f t="shared" si="0"/>
        <v>3.231437736878136</v>
      </c>
    </row>
    <row r="87" spans="1:6" x14ac:dyDescent="0.3">
      <c r="A87" t="s">
        <v>412</v>
      </c>
      <c r="B87" s="26">
        <v>55</v>
      </c>
      <c r="C87" s="8" t="str">
        <f>MID(Table5[[#This Row],[Lugar]],8,9)</f>
        <v>-3.920709</v>
      </c>
      <c r="D87" s="8" t="str">
        <f>MID(Table5[[#This Row],[Lugar]],19,9)</f>
        <v>40.440103</v>
      </c>
      <c r="E87" s="8" t="s">
        <v>308</v>
      </c>
      <c r="F87" s="13">
        <f t="shared" si="0"/>
        <v>4.2226722361345717</v>
      </c>
    </row>
    <row r="88" spans="1:6" x14ac:dyDescent="0.3">
      <c r="A88" t="s">
        <v>413</v>
      </c>
      <c r="B88" s="26">
        <v>56</v>
      </c>
      <c r="C88" s="8" t="str">
        <f>MID(Table5[[#This Row],[Lugar]],8,9)</f>
        <v>-3.921825</v>
      </c>
      <c r="D88" s="8" t="str">
        <f>MID(Table5[[#This Row],[Lugar]],19,9)</f>
        <v>40.436314</v>
      </c>
      <c r="E88" s="8" t="s">
        <v>308</v>
      </c>
      <c r="F88" s="13">
        <f t="shared" si="0"/>
        <v>4.4874849411262501</v>
      </c>
    </row>
    <row r="89" spans="1:6" x14ac:dyDescent="0.3">
      <c r="A89" t="s">
        <v>414</v>
      </c>
      <c r="B89" s="26">
        <v>57</v>
      </c>
      <c r="C89" s="8" t="str">
        <f>MID(Table5[[#This Row],[Lugar]],8,9)</f>
        <v>-3.922769</v>
      </c>
      <c r="D89" s="8" t="str">
        <f>MID(Table5[[#This Row],[Lugar]],19,9)</f>
        <v>40.431741</v>
      </c>
      <c r="E89" s="8" t="s">
        <v>308</v>
      </c>
      <c r="F89" s="13">
        <f t="shared" si="0"/>
        <v>4.8103725915063178</v>
      </c>
    </row>
    <row r="90" spans="1:6" x14ac:dyDescent="0.3">
      <c r="A90" t="s">
        <v>415</v>
      </c>
      <c r="B90" s="26">
        <v>58</v>
      </c>
      <c r="C90" s="8" t="str">
        <f>MID(Table5[[#This Row],[Lugar]],8,9)</f>
        <v>-3.922512</v>
      </c>
      <c r="D90" s="8" t="str">
        <f>MID(Table5[[#This Row],[Lugar]],19,9)</f>
        <v>40.427233</v>
      </c>
      <c r="E90" s="8" t="s">
        <v>308</v>
      </c>
      <c r="F90" s="13">
        <f t="shared" si="0"/>
        <v>5.078896346405001</v>
      </c>
    </row>
    <row r="91" spans="1:6" x14ac:dyDescent="0.3">
      <c r="A91" t="s">
        <v>416</v>
      </c>
      <c r="B91" s="26">
        <v>59</v>
      </c>
      <c r="C91" s="8" t="str">
        <f>MID(Table5[[#This Row],[Lugar]],8,9)</f>
        <v>-3.921224</v>
      </c>
      <c r="D91" s="8" t="str">
        <f>MID(Table5[[#This Row],[Lugar]],19,9)</f>
        <v>40.422463</v>
      </c>
      <c r="E91" s="8" t="s">
        <v>308</v>
      </c>
      <c r="F91" s="13">
        <f t="shared" si="0"/>
        <v>5.3356601489615851</v>
      </c>
    </row>
    <row r="92" spans="1:6" x14ac:dyDescent="0.3">
      <c r="A92" t="s">
        <v>417</v>
      </c>
      <c r="B92" s="26">
        <v>60</v>
      </c>
      <c r="C92" s="8" t="str">
        <f>MID(Table5[[#This Row],[Lugar]],8,9)</f>
        <v>-3.915474</v>
      </c>
      <c r="D92" s="8" t="str">
        <f>MID(Table5[[#This Row],[Lugar]],19,9)</f>
        <v>40.425861</v>
      </c>
      <c r="E92" s="8" t="s">
        <v>308</v>
      </c>
      <c r="F92" s="13">
        <f t="shared" si="0"/>
        <v>4.721818401864347</v>
      </c>
    </row>
    <row r="93" spans="1:6" x14ac:dyDescent="0.3">
      <c r="A93" t="s">
        <v>418</v>
      </c>
      <c r="B93" s="26">
        <v>61</v>
      </c>
      <c r="C93" s="8" t="str">
        <f>MID(Table5[[#This Row],[Lugar]],8,9)</f>
        <v>-3.917104</v>
      </c>
      <c r="D93" s="8" t="str">
        <f>MID(Table5[[#This Row],[Lugar]],19,9)</f>
        <v>40.430108</v>
      </c>
      <c r="E93" s="8" t="s">
        <v>308</v>
      </c>
      <c r="F93" s="13">
        <f t="shared" si="0"/>
        <v>4.5210852485425317</v>
      </c>
    </row>
    <row r="94" spans="1:6" x14ac:dyDescent="0.3">
      <c r="A94" t="s">
        <v>419</v>
      </c>
      <c r="B94" s="26">
        <v>62</v>
      </c>
      <c r="C94" s="8" t="str">
        <f>MID(Table5[[#This Row],[Lugar]],8,9)</f>
        <v>-3.912126</v>
      </c>
      <c r="D94" s="8" t="str">
        <f>MID(Table5[[#This Row],[Lugar]],19,9)</f>
        <v>40.432198</v>
      </c>
      <c r="E94" s="8" t="s">
        <v>308</v>
      </c>
      <c r="F94" s="13">
        <f t="shared" si="0"/>
        <v>4.0460516741048096</v>
      </c>
    </row>
    <row r="95" spans="1:6" x14ac:dyDescent="0.3">
      <c r="A95" t="s">
        <v>420</v>
      </c>
      <c r="B95" s="26">
        <v>63</v>
      </c>
      <c r="C95" s="8" t="str">
        <f>MID(Table5[[#This Row],[Lugar]],8,9)</f>
        <v>-3.917877</v>
      </c>
      <c r="D95" s="8" t="str">
        <f>MID(Table5[[#This Row],[Lugar]],19,9)</f>
        <v>40.417824</v>
      </c>
      <c r="E95" s="8" t="s">
        <v>308</v>
      </c>
      <c r="F95" s="13">
        <f t="shared" si="0"/>
        <v>5.5051431975874667</v>
      </c>
    </row>
    <row r="96" spans="1:6" x14ac:dyDescent="0.3">
      <c r="A96" t="s">
        <v>421</v>
      </c>
      <c r="B96" s="26">
        <v>64</v>
      </c>
      <c r="C96" s="8" t="str">
        <f>MID(Table5[[#This Row],[Lugar]],8,9)</f>
        <v>-3.913242</v>
      </c>
      <c r="D96" s="8" t="str">
        <f>MID(Table5[[#This Row],[Lugar]],19,9)</f>
        <v>40.421156</v>
      </c>
      <c r="E96" s="8" t="s">
        <v>308</v>
      </c>
      <c r="F96" s="13">
        <f t="shared" si="0"/>
        <v>4.9678668503874839</v>
      </c>
    </row>
    <row r="97" spans="1:6" x14ac:dyDescent="0.3">
      <c r="A97" t="s">
        <v>422</v>
      </c>
      <c r="B97" s="26">
        <v>65</v>
      </c>
      <c r="C97" s="8" t="str">
        <f>MID(Table5[[#This Row],[Lugar]],8,9)</f>
        <v>-3.896934</v>
      </c>
      <c r="D97" s="8" t="str">
        <f>MID(Table5[[#This Row],[Lugar]],19,9)</f>
        <v>40.433309</v>
      </c>
      <c r="E97" s="8" t="s">
        <v>308</v>
      </c>
      <c r="F97" s="13">
        <f t="shared" si="0"/>
        <v>3.0464106816423415</v>
      </c>
    </row>
    <row r="98" spans="1:6" x14ac:dyDescent="0.3">
      <c r="A98" t="s">
        <v>423</v>
      </c>
      <c r="B98" s="26">
        <v>66</v>
      </c>
      <c r="C98" s="8" t="str">
        <f>MID(Table5[[#This Row],[Lugar]],8,9)</f>
        <v>-3.909380</v>
      </c>
      <c r="D98" s="8" t="str">
        <f>MID(Table5[[#This Row],[Lugar]],19,9)</f>
        <v>40.428801</v>
      </c>
      <c r="E98" s="8" t="s">
        <v>308</v>
      </c>
      <c r="F98" s="13">
        <f t="shared" ref="F98:F157" si="2">ACOS(COS(RADIANS(90-$K$2)) *COS(RADIANS(90-D98)) +SIN(RADIANS(90-$K$2)) *SIN(RADIANS(90-D98)) *COS(RADIANS($J$2-C98))) *6371</f>
        <v>4.1234236332331102</v>
      </c>
    </row>
    <row r="99" spans="1:6" x14ac:dyDescent="0.3">
      <c r="A99" t="s">
        <v>424</v>
      </c>
      <c r="B99" s="26">
        <v>67</v>
      </c>
      <c r="C99" s="8" t="str">
        <f>MID(Table5[[#This Row],[Lugar]],8,9)</f>
        <v>-3.907663</v>
      </c>
      <c r="D99" s="8" t="str">
        <f>MID(Table5[[#This Row],[Lugar]],19,9)</f>
        <v>40.423835</v>
      </c>
      <c r="E99" s="8" t="s">
        <v>308</v>
      </c>
      <c r="F99" s="13">
        <f t="shared" si="2"/>
        <v>4.4362015348864343</v>
      </c>
    </row>
    <row r="100" spans="1:6" x14ac:dyDescent="0.3">
      <c r="A100" t="s">
        <v>425</v>
      </c>
      <c r="B100" s="26">
        <v>68</v>
      </c>
      <c r="C100" s="8" t="str">
        <f>MID(Table5[[#This Row],[Lugar]],8,9)</f>
        <v>-3.915903</v>
      </c>
      <c r="D100" s="8" t="str">
        <f>MID(Table5[[#This Row],[Lugar]],19,9)</f>
        <v>40.436445</v>
      </c>
      <c r="E100" s="8" t="s">
        <v>308</v>
      </c>
      <c r="F100" s="13">
        <f t="shared" si="2"/>
        <v>4.0416916934506162</v>
      </c>
    </row>
    <row r="101" spans="1:6" x14ac:dyDescent="0.3">
      <c r="A101" t="s">
        <v>426</v>
      </c>
      <c r="B101" s="26">
        <v>69</v>
      </c>
      <c r="C101" s="8" t="str">
        <f>MID(Table5[[#This Row],[Lugar]],8,9)</f>
        <v>-3.908607</v>
      </c>
      <c r="D101" s="8" t="str">
        <f>MID(Table5[[#This Row],[Lugar]],19,9)</f>
        <v>40.418085</v>
      </c>
      <c r="E101" s="8" t="s">
        <v>308</v>
      </c>
      <c r="F101" s="13">
        <f t="shared" si="2"/>
        <v>4.9955210827568823</v>
      </c>
    </row>
    <row r="102" spans="1:6" x14ac:dyDescent="0.3">
      <c r="A102" t="s">
        <v>427</v>
      </c>
      <c r="B102" s="26">
        <v>70</v>
      </c>
      <c r="C102" s="8" t="str">
        <f>MID(Table5[[#This Row],[Lugar]],8,9)</f>
        <v>-3.903715</v>
      </c>
      <c r="D102" s="8" t="str">
        <f>MID(Table5[[#This Row],[Lugar]],19,9)</f>
        <v>40.420176</v>
      </c>
      <c r="E102" s="8" t="s">
        <v>308</v>
      </c>
      <c r="F102" s="13">
        <f t="shared" si="2"/>
        <v>4.5721457832807655</v>
      </c>
    </row>
    <row r="103" spans="1:6" x14ac:dyDescent="0.3">
      <c r="A103" t="s">
        <v>428</v>
      </c>
      <c r="B103" s="26">
        <v>71</v>
      </c>
      <c r="C103" s="8" t="str">
        <f>MID(Table5[[#This Row],[Lugar]],8,9)</f>
        <v>-3.902427</v>
      </c>
      <c r="D103" s="8" t="str">
        <f>MID(Table5[[#This Row],[Lugar]],19,9)</f>
        <v>40.415733</v>
      </c>
      <c r="E103" s="8" t="s">
        <v>308</v>
      </c>
      <c r="F103" s="13">
        <f t="shared" si="2"/>
        <v>4.9435946983859687</v>
      </c>
    </row>
    <row r="104" spans="1:6" x14ac:dyDescent="0.3">
      <c r="A104" t="s">
        <v>429</v>
      </c>
      <c r="B104" s="26">
        <v>72</v>
      </c>
      <c r="C104" s="8" t="str">
        <f>MID(Table5[[#This Row],[Lugar]],8,9)</f>
        <v>-3.895818</v>
      </c>
      <c r="D104" s="8" t="str">
        <f>MID(Table5[[#This Row],[Lugar]],19,9)</f>
        <v>40.414426</v>
      </c>
      <c r="E104" s="8" t="s">
        <v>308</v>
      </c>
      <c r="F104" s="13">
        <f t="shared" si="2"/>
        <v>4.8391107419481028</v>
      </c>
    </row>
    <row r="105" spans="1:6" x14ac:dyDescent="0.3">
      <c r="A105" t="s">
        <v>430</v>
      </c>
      <c r="B105" s="26">
        <v>73</v>
      </c>
      <c r="C105" s="8" t="str">
        <f>MID(Table5[[#This Row],[Lugar]],8,9)</f>
        <v>-3.896677</v>
      </c>
      <c r="D105" s="8" t="str">
        <f>MID(Table5[[#This Row],[Lugar]],19,9)</f>
        <v>40.419523</v>
      </c>
      <c r="E105" s="8" t="s">
        <v>308</v>
      </c>
      <c r="F105" s="13">
        <f t="shared" si="2"/>
        <v>4.3478423561737243</v>
      </c>
    </row>
    <row r="106" spans="1:6" x14ac:dyDescent="0.3">
      <c r="A106" t="s">
        <v>431</v>
      </c>
      <c r="B106" s="26">
        <v>74</v>
      </c>
      <c r="C106" s="8" t="str">
        <f>MID(Table5[[#This Row],[Lugar]],8,9)</f>
        <v>-3.893587</v>
      </c>
      <c r="D106" s="8" t="str">
        <f>MID(Table5[[#This Row],[Lugar]],19,9)</f>
        <v>40.423378</v>
      </c>
      <c r="E106" s="8" t="s">
        <v>308</v>
      </c>
      <c r="F106" s="13">
        <f t="shared" si="2"/>
        <v>3.8489138116927792</v>
      </c>
    </row>
    <row r="107" spans="1:6" x14ac:dyDescent="0.3">
      <c r="A107" t="s">
        <v>432</v>
      </c>
      <c r="B107" s="26">
        <v>75</v>
      </c>
      <c r="C107" s="8" t="str">
        <f>MID(Table5[[#This Row],[Lugar]],8,9)</f>
        <v>-3.911611</v>
      </c>
      <c r="D107" s="8" t="str">
        <f>MID(Table5[[#This Row],[Lugar]],19,9)</f>
        <v>40.438013</v>
      </c>
      <c r="E107" s="8" t="s">
        <v>308</v>
      </c>
      <c r="F107" s="13">
        <f t="shared" si="2"/>
        <v>3.6403728953605277</v>
      </c>
    </row>
    <row r="108" spans="1:6" x14ac:dyDescent="0.3">
      <c r="A108" t="s">
        <v>433</v>
      </c>
      <c r="B108" s="26">
        <v>76</v>
      </c>
      <c r="C108" s="8" t="str">
        <f>MID(Table5[[#This Row],[Lugar]],8,9)</f>
        <v>-3.898737</v>
      </c>
      <c r="D108" s="8" t="str">
        <f>MID(Table5[[#This Row],[Lugar]],19,9)</f>
        <v>40.438013</v>
      </c>
      <c r="E108" s="8" t="s">
        <v>308</v>
      </c>
      <c r="F108" s="13">
        <f t="shared" si="2"/>
        <v>2.7642555248319085</v>
      </c>
    </row>
    <row r="109" spans="1:6" x14ac:dyDescent="0.3">
      <c r="A109" t="s">
        <v>434</v>
      </c>
      <c r="B109" s="26">
        <v>77</v>
      </c>
      <c r="C109" s="8" t="str">
        <f>MID(Table5[[#This Row],[Lugar]],8,9)</f>
        <v>-3.907663</v>
      </c>
      <c r="D109" s="8" t="str">
        <f>MID(Table5[[#This Row],[Lugar]],19,9)</f>
        <v>40.434354</v>
      </c>
      <c r="E109" s="8" t="s">
        <v>308</v>
      </c>
      <c r="F109" s="13">
        <f t="shared" si="2"/>
        <v>3.6015740163812104</v>
      </c>
    </row>
    <row r="110" spans="1:6" x14ac:dyDescent="0.3">
      <c r="A110" t="s">
        <v>435</v>
      </c>
      <c r="B110" s="26">
        <v>78</v>
      </c>
      <c r="C110" s="8" t="str">
        <f>MID(Table5[[#This Row],[Lugar]],8,9)</f>
        <v>-3.902170</v>
      </c>
      <c r="D110" s="8" t="str">
        <f>MID(Table5[[#This Row],[Lugar]],19,9)</f>
        <v>40.434224</v>
      </c>
      <c r="E110" s="8" t="s">
        <v>308</v>
      </c>
      <c r="F110" s="13">
        <f t="shared" si="2"/>
        <v>3.265503387431159</v>
      </c>
    </row>
    <row r="111" spans="1:6" x14ac:dyDescent="0.3">
      <c r="A111" t="s">
        <v>436</v>
      </c>
      <c r="B111" s="26">
        <v>79</v>
      </c>
      <c r="C111" s="8" t="str">
        <f>MID(Table5[[#This Row],[Lugar]],8,9)</f>
        <v>-3.898994</v>
      </c>
      <c r="D111" s="8" t="str">
        <f>MID(Table5[[#This Row],[Lugar]],19,9)</f>
        <v>40.428866</v>
      </c>
      <c r="E111" s="8" t="s">
        <v>308</v>
      </c>
      <c r="F111" s="13">
        <f t="shared" si="2"/>
        <v>3.5468524996842898</v>
      </c>
    </row>
    <row r="112" spans="1:6" x14ac:dyDescent="0.3">
      <c r="A112" t="s">
        <v>437</v>
      </c>
      <c r="B112" s="26">
        <v>80</v>
      </c>
      <c r="C112" s="8" t="str">
        <f>MID(Table5[[#This Row],[Lugar]],8,9)</f>
        <v>-3.887750</v>
      </c>
      <c r="D112" s="8" t="str">
        <f>MID(Table5[[#This Row],[Lugar]],19,9)</f>
        <v>40.428278</v>
      </c>
      <c r="E112" s="8" t="s">
        <v>308</v>
      </c>
      <c r="F112" s="13">
        <f t="shared" si="2"/>
        <v>3.1562635102757564</v>
      </c>
    </row>
    <row r="113" spans="1:6" x14ac:dyDescent="0.3">
      <c r="A113" t="s">
        <v>438</v>
      </c>
      <c r="B113" s="26">
        <v>81</v>
      </c>
      <c r="C113" s="8" t="str">
        <f>MID(Table5[[#This Row],[Lugar]],8,9)</f>
        <v>-3.904745</v>
      </c>
      <c r="D113" s="8" t="str">
        <f>MID(Table5[[#This Row],[Lugar]],19,9)</f>
        <v>40.429846</v>
      </c>
      <c r="E113" s="8" t="s">
        <v>308</v>
      </c>
      <c r="F113" s="13">
        <f t="shared" si="2"/>
        <v>3.7677929284273022</v>
      </c>
    </row>
    <row r="114" spans="1:6" x14ac:dyDescent="0.3">
      <c r="A114" t="s">
        <v>439</v>
      </c>
      <c r="B114" s="26">
        <v>82</v>
      </c>
      <c r="C114" s="8" t="str">
        <f>MID(Table5[[#This Row],[Lugar]],8,9)</f>
        <v>-3.901140</v>
      </c>
      <c r="D114" s="8" t="str">
        <f>MID(Table5[[#This Row],[Lugar]],19,9)</f>
        <v>40.425077</v>
      </c>
      <c r="E114" s="8" t="s">
        <v>308</v>
      </c>
      <c r="F114" s="13">
        <f t="shared" si="2"/>
        <v>3.9967331046612466</v>
      </c>
    </row>
    <row r="115" spans="1:6" x14ac:dyDescent="0.3">
      <c r="A115" t="s">
        <v>440</v>
      </c>
      <c r="B115" s="26">
        <v>83</v>
      </c>
      <c r="C115" s="8" t="str">
        <f>MID(Table5[[#This Row],[Lugar]],8,9)</f>
        <v>-3.894617</v>
      </c>
      <c r="D115" s="8" t="str">
        <f>MID(Table5[[#This Row],[Lugar]],19,9)</f>
        <v>40.427886</v>
      </c>
      <c r="E115" s="8" t="s">
        <v>308</v>
      </c>
      <c r="F115" s="13">
        <f t="shared" si="2"/>
        <v>3.4408065796944314</v>
      </c>
    </row>
    <row r="116" spans="1:6" x14ac:dyDescent="0.3">
      <c r="A116" t="s">
        <v>441</v>
      </c>
      <c r="B116" s="26">
        <v>84</v>
      </c>
      <c r="C116" s="8" t="str">
        <f>MID(Table5[[#This Row],[Lugar]],8,9)</f>
        <v>-3.892042</v>
      </c>
      <c r="D116" s="8" t="str">
        <f>MID(Table5[[#This Row],[Lugar]],19,9)</f>
        <v>40.432068</v>
      </c>
      <c r="E116" s="8" t="s">
        <v>308</v>
      </c>
      <c r="F116" s="13">
        <f t="shared" si="2"/>
        <v>2.9288280197145062</v>
      </c>
    </row>
    <row r="117" spans="1:6" x14ac:dyDescent="0.3">
      <c r="A117" t="s">
        <v>442</v>
      </c>
      <c r="B117" s="26">
        <v>85</v>
      </c>
      <c r="C117" s="8" t="str">
        <f>MID(Table5[[#This Row],[Lugar]],8,9)</f>
        <v>-3.885519</v>
      </c>
      <c r="D117" s="8" t="str">
        <f>MID(Table5[[#This Row],[Lugar]],19,9)</f>
        <v>40.432852</v>
      </c>
      <c r="E117" s="8" t="s">
        <v>308</v>
      </c>
      <c r="F117" s="13">
        <f t="shared" si="2"/>
        <v>2.6137346804149537</v>
      </c>
    </row>
    <row r="118" spans="1:6" x14ac:dyDescent="0.3">
      <c r="A118" t="s">
        <v>443</v>
      </c>
      <c r="B118" s="26">
        <v>86</v>
      </c>
      <c r="C118" s="8" t="str">
        <f>MID(Table5[[#This Row],[Lugar]],8,9)</f>
        <v>-3.889381</v>
      </c>
      <c r="D118" s="8" t="str">
        <f>MID(Table5[[#This Row],[Lugar]],19,8)</f>
        <v>40.43736</v>
      </c>
      <c r="E118" s="8" t="s">
        <v>308</v>
      </c>
      <c r="F118" s="13">
        <f t="shared" si="2"/>
        <v>2.3087223090467281</v>
      </c>
    </row>
    <row r="119" spans="1:6" x14ac:dyDescent="0.3">
      <c r="A119" t="s">
        <v>444</v>
      </c>
      <c r="B119" s="26">
        <v>87</v>
      </c>
      <c r="C119" s="8" t="str">
        <f>MID(Table5[[#This Row],[Lugar]],8,9)</f>
        <v>-3.894788</v>
      </c>
      <c r="D119" s="8" t="str">
        <f>MID(Table5[[#This Row],[Lugar]],19,9)</f>
        <v>40.440168</v>
      </c>
      <c r="E119" s="8" t="s">
        <v>308</v>
      </c>
      <c r="F119" s="13">
        <f t="shared" si="2"/>
        <v>2.3567157262430731</v>
      </c>
    </row>
    <row r="120" spans="1:6" x14ac:dyDescent="0.3">
      <c r="A120" t="s">
        <v>445</v>
      </c>
      <c r="B120" s="26">
        <v>88</v>
      </c>
      <c r="C120" s="8" t="str">
        <f>MID(Table5[[#This Row],[Lugar]],8,9)</f>
        <v>-3.888094</v>
      </c>
      <c r="D120" s="8" t="str">
        <f>MID(Table5[[#This Row],[Lugar]],19,9)</f>
        <v>40.446374</v>
      </c>
      <c r="E120" s="8" t="s">
        <v>308</v>
      </c>
      <c r="F120" s="13">
        <f t="shared" si="2"/>
        <v>1.4735609275883397</v>
      </c>
    </row>
    <row r="121" spans="1:6" x14ac:dyDescent="0.3">
      <c r="A121" t="s">
        <v>446</v>
      </c>
      <c r="B121" s="26">
        <v>89</v>
      </c>
      <c r="C121" s="8" t="str">
        <f>MID(Table5[[#This Row],[Lugar]],8,9)</f>
        <v>-3.883201</v>
      </c>
      <c r="D121" s="8" t="str">
        <f>MID(Table5[[#This Row],[Lugar]],19,9)</f>
        <v>40.438666</v>
      </c>
      <c r="E121" s="8" t="s">
        <v>308</v>
      </c>
      <c r="F121" s="13">
        <f t="shared" si="2"/>
        <v>1.9398756871214746</v>
      </c>
    </row>
    <row r="122" spans="1:6" x14ac:dyDescent="0.3">
      <c r="A122" t="s">
        <v>447</v>
      </c>
      <c r="B122" s="26">
        <v>90</v>
      </c>
      <c r="C122" s="8" t="str">
        <f>MID(Table5[[#This Row],[Lugar]],8,9)</f>
        <v>-3.888179</v>
      </c>
      <c r="D122" s="8" t="str">
        <f>MID(Table5[[#This Row],[Lugar]],19,9)</f>
        <v>40.422006</v>
      </c>
      <c r="E122" s="8" t="s">
        <v>308</v>
      </c>
      <c r="F122" s="13">
        <f t="shared" si="2"/>
        <v>3.8282741926626249</v>
      </c>
    </row>
    <row r="123" spans="1:6" x14ac:dyDescent="0.3">
      <c r="A123" t="s">
        <v>448</v>
      </c>
      <c r="B123" s="26">
        <v>91</v>
      </c>
      <c r="C123" s="8" t="str">
        <f>MID(Table5[[#This Row],[Lugar]],8,9)</f>
        <v>-3.873502</v>
      </c>
      <c r="D123" s="8" t="str">
        <f>MID(Table5[[#This Row],[Lugar]],19,9)</f>
        <v>40.431153</v>
      </c>
      <c r="E123" s="8" t="s">
        <v>308</v>
      </c>
      <c r="F123" s="13">
        <f t="shared" si="2"/>
        <v>2.640401291737025</v>
      </c>
    </row>
    <row r="124" spans="1:6" x14ac:dyDescent="0.3">
      <c r="A124" t="s">
        <v>449</v>
      </c>
      <c r="B124" s="26">
        <v>92</v>
      </c>
      <c r="C124" s="8" t="str">
        <f>MID(Table5[[#This Row],[Lugar]],8,9)</f>
        <v>-3.874447</v>
      </c>
      <c r="D124" s="8" t="str">
        <f>MID(Table5[[#This Row],[Lugar]],19,9)</f>
        <v>40.424554</v>
      </c>
      <c r="E124" s="8" t="s">
        <v>308</v>
      </c>
      <c r="F124" s="13">
        <f t="shared" si="2"/>
        <v>3.3721885119353372</v>
      </c>
    </row>
    <row r="125" spans="1:6" x14ac:dyDescent="0.3">
      <c r="A125" t="s">
        <v>450</v>
      </c>
      <c r="B125" s="26">
        <v>93</v>
      </c>
      <c r="C125" s="8" t="str">
        <f>MID(Table5[[#This Row],[Lugar]],8,9)</f>
        <v>-3.881313</v>
      </c>
      <c r="D125" s="8" t="str">
        <f>MID(Table5[[#This Row],[Lugar]],19,9)</f>
        <v>40.423378</v>
      </c>
      <c r="E125" s="8" t="s">
        <v>308</v>
      </c>
      <c r="F125" s="13">
        <f t="shared" si="2"/>
        <v>3.5467570491325757</v>
      </c>
    </row>
    <row r="126" spans="1:6" x14ac:dyDescent="0.3">
      <c r="A126" t="s">
        <v>451</v>
      </c>
      <c r="B126" s="26">
        <v>94</v>
      </c>
      <c r="C126" s="8" t="str">
        <f>MID(Table5[[#This Row],[Lugar]],8,9)</f>
        <v>-3.879425</v>
      </c>
      <c r="D126" s="8" t="str">
        <f>MID(Table5[[#This Row],[Lugar]],19,9)</f>
        <v>40.418281</v>
      </c>
      <c r="E126" s="8" t="s">
        <v>308</v>
      </c>
      <c r="F126" s="13">
        <f t="shared" si="2"/>
        <v>4.0888934497352603</v>
      </c>
    </row>
    <row r="127" spans="1:6" x14ac:dyDescent="0.3">
      <c r="A127" t="s">
        <v>452</v>
      </c>
      <c r="B127" s="26">
        <v>95</v>
      </c>
      <c r="C127" s="8" t="str">
        <f>MID(Table5[[#This Row],[Lugar]],8,9)</f>
        <v>-3.883716</v>
      </c>
      <c r="D127" s="8" t="str">
        <f>MID(Table5[[#This Row],[Lugar]],19,9)</f>
        <v>40.414491</v>
      </c>
      <c r="E127" s="8" t="s">
        <v>308</v>
      </c>
      <c r="F127" s="13">
        <f t="shared" si="2"/>
        <v>4.554851697361805</v>
      </c>
    </row>
    <row r="128" spans="1:6" x14ac:dyDescent="0.3">
      <c r="A128" t="s">
        <v>453</v>
      </c>
      <c r="B128" s="26">
        <v>96</v>
      </c>
      <c r="C128" s="8" t="str">
        <f>MID(Table5[[#This Row],[Lugar]],8,9)</f>
        <v>-3.851959</v>
      </c>
      <c r="D128" s="8" t="str">
        <f>MID(Table5[[#This Row],[Lugar]],19,9)</f>
        <v>40.410309</v>
      </c>
      <c r="E128" s="8" t="s">
        <v>308</v>
      </c>
      <c r="F128" s="13">
        <f t="shared" si="2"/>
        <v>5.3179275570227187</v>
      </c>
    </row>
    <row r="129" spans="1:6" x14ac:dyDescent="0.3">
      <c r="A129" t="s">
        <v>454</v>
      </c>
      <c r="B129" s="26">
        <v>97</v>
      </c>
      <c r="C129" s="8" t="str">
        <f>MID(Table5[[#This Row],[Lugar]],8,9)</f>
        <v>-3.845264</v>
      </c>
      <c r="D129" s="8" t="str">
        <f>MID(Table5[[#This Row],[Lugar]],19,9)</f>
        <v>40.411354</v>
      </c>
      <c r="E129" s="8" t="s">
        <v>308</v>
      </c>
      <c r="F129" s="13">
        <f t="shared" si="2"/>
        <v>5.4450206864076973</v>
      </c>
    </row>
    <row r="130" spans="1:6" x14ac:dyDescent="0.3">
      <c r="A130" t="s">
        <v>455</v>
      </c>
      <c r="B130" s="26">
        <v>98</v>
      </c>
      <c r="C130" s="8" t="str">
        <f>MID(Table5[[#This Row],[Lugar]],8,9)</f>
        <v>-3.846380</v>
      </c>
      <c r="D130" s="8" t="str">
        <f>MID(Table5[[#This Row],[Lugar]],19,9)</f>
        <v>40.407302</v>
      </c>
      <c r="E130" s="8" t="s">
        <v>308</v>
      </c>
      <c r="F130" s="13">
        <f t="shared" si="2"/>
        <v>5.8095229178704262</v>
      </c>
    </row>
    <row r="131" spans="1:6" x14ac:dyDescent="0.3">
      <c r="A131" t="s">
        <v>456</v>
      </c>
      <c r="B131" s="26">
        <v>99</v>
      </c>
      <c r="C131" s="8" t="str">
        <f>MID(Table5[[#This Row],[Lugar]],8,9)</f>
        <v>-3.840458</v>
      </c>
      <c r="D131" s="8" t="str">
        <f>MID(Table5[[#This Row],[Lugar]],19,9)</f>
        <v>40.398217</v>
      </c>
      <c r="E131" s="8" t="s">
        <v>308</v>
      </c>
      <c r="F131" s="13">
        <f t="shared" si="2"/>
        <v>6.9367599869043417</v>
      </c>
    </row>
    <row r="132" spans="1:6" x14ac:dyDescent="0.3">
      <c r="A132" t="s">
        <v>457</v>
      </c>
      <c r="B132" s="26">
        <v>100</v>
      </c>
      <c r="C132" s="8" t="str">
        <f>MID(Table5[[#This Row],[Lugar]],8,9)</f>
        <v>-3.850843</v>
      </c>
      <c r="D132" s="8" t="str">
        <f>MID(Table5[[#This Row],[Lugar]],19,9)</f>
        <v>40.398479</v>
      </c>
      <c r="E132" s="8" t="s">
        <v>308</v>
      </c>
      <c r="F132" s="13">
        <f t="shared" si="2"/>
        <v>6.5896433731372515</v>
      </c>
    </row>
    <row r="133" spans="1:6" x14ac:dyDescent="0.3">
      <c r="A133" t="s">
        <v>458</v>
      </c>
      <c r="B133" s="26">
        <v>101</v>
      </c>
      <c r="C133" s="8" t="str">
        <f>MID(Table5[[#This Row],[Lugar]],8,9)</f>
        <v>-3.844148</v>
      </c>
      <c r="D133" s="8" t="str">
        <f>MID(Table5[[#This Row],[Lugar]],19,9)</f>
        <v>40.403054</v>
      </c>
      <c r="E133" s="8" t="s">
        <v>308</v>
      </c>
      <c r="F133" s="13">
        <f t="shared" si="2"/>
        <v>6.3178060224638326</v>
      </c>
    </row>
    <row r="134" spans="1:6" x14ac:dyDescent="0.3">
      <c r="A134" t="s">
        <v>459</v>
      </c>
      <c r="B134" s="26">
        <v>102</v>
      </c>
      <c r="C134" s="8" t="str">
        <f>MID(Table5[[#This Row],[Lugar]],8,9)</f>
        <v>-3.828699</v>
      </c>
      <c r="D134" s="8" t="str">
        <f>MID(Table5[[#This Row],[Lugar]],19,9)</f>
        <v>40.414230</v>
      </c>
      <c r="E134" s="8" t="s">
        <v>308</v>
      </c>
      <c r="F134" s="13">
        <f t="shared" si="2"/>
        <v>5.9678670443002462</v>
      </c>
    </row>
    <row r="135" spans="1:6" x14ac:dyDescent="0.3">
      <c r="A135" t="s">
        <v>460</v>
      </c>
      <c r="B135" s="26">
        <v>103</v>
      </c>
      <c r="C135" s="8" t="str">
        <f>MID(Table5[[#This Row],[Lugar]],8,9)</f>
        <v>-3.834020</v>
      </c>
      <c r="D135" s="8" t="str">
        <f>MID(Table5[[#This Row],[Lugar]],19,9)</f>
        <v>40.415929</v>
      </c>
      <c r="E135" s="8" t="s">
        <v>308</v>
      </c>
      <c r="F135" s="13">
        <f t="shared" si="2"/>
        <v>5.5349824711232358</v>
      </c>
    </row>
    <row r="136" spans="1:6" x14ac:dyDescent="0.3">
      <c r="A136" t="s">
        <v>461</v>
      </c>
      <c r="B136" s="26">
        <v>104</v>
      </c>
      <c r="C136" s="8" t="str">
        <f>MID(Table5[[#This Row],[Lugar]],8,9)</f>
        <v>-3.835737</v>
      </c>
      <c r="D136" s="8" t="str">
        <f>MID(Table5[[#This Row],[Lugar]],19,9)</f>
        <v>40.420634</v>
      </c>
      <c r="E136" s="8" t="s">
        <v>308</v>
      </c>
      <c r="F136" s="13">
        <f t="shared" si="2"/>
        <v>5.0395033663046291</v>
      </c>
    </row>
    <row r="137" spans="1:6" x14ac:dyDescent="0.3">
      <c r="A137" t="s">
        <v>462</v>
      </c>
      <c r="B137" s="26">
        <v>105</v>
      </c>
      <c r="C137" s="8" t="str">
        <f>MID(Table5[[#This Row],[Lugar]],8,9)</f>
        <v>-3.845178</v>
      </c>
      <c r="D137" s="8" t="str">
        <f>MID(Table5[[#This Row],[Lugar]],19,9)</f>
        <v>40.421026</v>
      </c>
      <c r="E137" s="8" t="s">
        <v>308</v>
      </c>
      <c r="F137" s="13">
        <f t="shared" si="2"/>
        <v>4.5199591815102513</v>
      </c>
    </row>
    <row r="138" spans="1:6" x14ac:dyDescent="0.3">
      <c r="A138" t="s">
        <v>463</v>
      </c>
      <c r="B138" s="26">
        <v>106</v>
      </c>
      <c r="C138" s="8" t="str">
        <f>MID(Table5[[#This Row],[Lugar]],8,9)</f>
        <v>-3.840801</v>
      </c>
      <c r="D138" s="8" t="str">
        <f>MID(Table5[[#This Row],[Lugar]],19,9)</f>
        <v>40.423966</v>
      </c>
      <c r="E138" s="8" t="s">
        <v>308</v>
      </c>
      <c r="F138" s="13">
        <f t="shared" si="2"/>
        <v>4.4795146190849975</v>
      </c>
    </row>
    <row r="139" spans="1:6" x14ac:dyDescent="0.3">
      <c r="A139" t="s">
        <v>464</v>
      </c>
      <c r="B139" s="26">
        <v>107</v>
      </c>
      <c r="C139" s="8" t="str">
        <f>MID(Table5[[#This Row],[Lugar]],8,9)</f>
        <v>-3.849212</v>
      </c>
      <c r="D139" s="8" t="str">
        <f>MID(Table5[[#This Row],[Lugar]],19,9)</f>
        <v>40.425926</v>
      </c>
      <c r="E139" s="8" t="s">
        <v>308</v>
      </c>
      <c r="F139" s="13">
        <f t="shared" si="2"/>
        <v>3.8772052355929869</v>
      </c>
    </row>
    <row r="140" spans="1:6" x14ac:dyDescent="0.3">
      <c r="A140" t="s">
        <v>465</v>
      </c>
      <c r="B140" s="26">
        <v>108</v>
      </c>
      <c r="C140" s="8" t="str">
        <f>MID(Table5[[#This Row],[Lugar]],8,9)</f>
        <v>-3.843547</v>
      </c>
      <c r="D140" s="8" t="str">
        <f>MID(Table5[[#This Row],[Lugar]],19,9)</f>
        <v>40.428213</v>
      </c>
      <c r="E140" s="8" t="s">
        <v>308</v>
      </c>
      <c r="F140" s="13">
        <f t="shared" si="2"/>
        <v>3.9700114194347691</v>
      </c>
    </row>
    <row r="141" spans="1:6" x14ac:dyDescent="0.3">
      <c r="A141" t="s">
        <v>466</v>
      </c>
      <c r="B141" s="26">
        <v>109</v>
      </c>
      <c r="C141" s="8" t="str">
        <f>MID(Table5[[#This Row],[Lugar]],8,9)</f>
        <v>-3.852045</v>
      </c>
      <c r="D141" s="8" t="str">
        <f>MID(Table5[[#This Row],[Lugar]],19,9)</f>
        <v>40.431480</v>
      </c>
      <c r="E141" s="8" t="s">
        <v>308</v>
      </c>
      <c r="F141" s="13">
        <f t="shared" si="2"/>
        <v>3.2340002513732293</v>
      </c>
    </row>
    <row r="142" spans="1:6" x14ac:dyDescent="0.3">
      <c r="A142" t="s">
        <v>467</v>
      </c>
      <c r="B142" s="26">
        <v>110</v>
      </c>
      <c r="C142" s="8" t="str">
        <f>MID(Table5[[#This Row],[Lugar]],8,9)</f>
        <v>-3.847152</v>
      </c>
      <c r="D142" s="8" t="str">
        <f>MID(Table5[[#This Row],[Lugar]],19,9)</f>
        <v>40.433505</v>
      </c>
      <c r="E142" s="8" t="s">
        <v>308</v>
      </c>
      <c r="F142" s="13">
        <f t="shared" si="2"/>
        <v>3.3315872844073464</v>
      </c>
    </row>
    <row r="143" spans="1:6" x14ac:dyDescent="0.3">
      <c r="A143" t="s">
        <v>468</v>
      </c>
      <c r="B143" s="26">
        <v>111</v>
      </c>
      <c r="C143" s="8" t="str">
        <f>MID(Table5[[#This Row],[Lugar]],8,9)</f>
        <v>-3.856851</v>
      </c>
      <c r="D143" s="8" t="str">
        <f>MID(Table5[[#This Row],[Lugar]],19,9)</f>
        <v>40.438405</v>
      </c>
      <c r="E143" s="8" t="s">
        <v>308</v>
      </c>
      <c r="F143" s="13">
        <f t="shared" si="2"/>
        <v>2.3764488554347549</v>
      </c>
    </row>
    <row r="144" spans="1:6" x14ac:dyDescent="0.3">
      <c r="A144" t="s">
        <v>469</v>
      </c>
      <c r="B144" s="26">
        <v>112</v>
      </c>
      <c r="C144" s="8" t="str">
        <f>MID(Table5[[#This Row],[Lugar]],8,9)</f>
        <v>-3.850328</v>
      </c>
      <c r="D144" s="8" t="str">
        <f>MID(Table5[[#This Row],[Lugar]],19,9)</f>
        <v>40.438078</v>
      </c>
      <c r="E144" s="8" t="s">
        <v>308</v>
      </c>
      <c r="F144" s="13">
        <f t="shared" si="2"/>
        <v>2.785300941960859</v>
      </c>
    </row>
    <row r="145" spans="1:6" x14ac:dyDescent="0.3">
      <c r="A145" t="s">
        <v>470</v>
      </c>
      <c r="B145" s="26">
        <v>113</v>
      </c>
      <c r="C145" s="8" t="str">
        <f>MID(Table5[[#This Row],[Lugar]],8,9)</f>
        <v>-3.860113</v>
      </c>
      <c r="D145" s="8" t="str">
        <f>MID(Table5[[#This Row],[Lugar]],19,9)</f>
        <v>40.442455</v>
      </c>
      <c r="E145" s="8" t="s">
        <v>308</v>
      </c>
      <c r="F145" s="13">
        <f t="shared" si="2"/>
        <v>1.8549199954728106</v>
      </c>
    </row>
    <row r="146" spans="1:6" x14ac:dyDescent="0.3">
      <c r="A146" t="s">
        <v>471</v>
      </c>
      <c r="B146" s="26">
        <v>114</v>
      </c>
      <c r="C146" s="8" t="str">
        <f>MID(Table5[[#This Row],[Lugar]],8,9)</f>
        <v>-3.854190</v>
      </c>
      <c r="D146" s="8" t="str">
        <f>MID(Table5[[#This Row],[Lugar]],19,9)</f>
        <v>40.442912</v>
      </c>
      <c r="E146" s="8" t="s">
        <v>308</v>
      </c>
      <c r="F146" s="13">
        <f t="shared" si="2"/>
        <v>2.1896863915629798</v>
      </c>
    </row>
    <row r="147" spans="1:6" x14ac:dyDescent="0.3">
      <c r="A147" t="s">
        <v>472</v>
      </c>
      <c r="B147" s="26">
        <v>115</v>
      </c>
      <c r="C147" s="8" t="str">
        <f>MID(Table5[[#This Row],[Lugar]],8,9)</f>
        <v>-3.848440</v>
      </c>
      <c r="D147" s="8" t="str">
        <f>MID(Table5[[#This Row],[Lugar]],19,9)</f>
        <v>40.441932</v>
      </c>
      <c r="E147" s="8" t="s">
        <v>308</v>
      </c>
      <c r="F147" s="13">
        <f t="shared" si="2"/>
        <v>2.6505775009443839</v>
      </c>
    </row>
    <row r="148" spans="1:6" x14ac:dyDescent="0.3">
      <c r="A148" t="s">
        <v>473</v>
      </c>
      <c r="B148" s="26">
        <v>116</v>
      </c>
      <c r="C148" s="8" t="str">
        <f>MID(Table5[[#This Row],[Lugar]],8,9)</f>
        <v>-3.847925</v>
      </c>
      <c r="D148" s="8" t="str">
        <f>MID(Table5[[#This Row],[Lugar]],19,9)</f>
        <v>40.447288</v>
      </c>
      <c r="E148" s="8" t="s">
        <v>308</v>
      </c>
      <c r="F148" s="13">
        <f t="shared" si="2"/>
        <v>2.4209065184991401</v>
      </c>
    </row>
    <row r="149" spans="1:6" x14ac:dyDescent="0.3">
      <c r="A149" t="s">
        <v>474</v>
      </c>
      <c r="B149" s="26">
        <v>117</v>
      </c>
      <c r="C149" s="8" t="str">
        <f>MID(Table5[[#This Row],[Lugar]],8,9)</f>
        <v>-3.843805</v>
      </c>
      <c r="D149" s="8" t="str">
        <f>MID(Table5[[#This Row],[Lugar]],19,9)</f>
        <v>40.444284</v>
      </c>
      <c r="E149" s="8" t="s">
        <v>308</v>
      </c>
      <c r="F149" s="13">
        <f t="shared" si="2"/>
        <v>2.8705650511406784</v>
      </c>
    </row>
    <row r="150" spans="1:6" x14ac:dyDescent="0.3">
      <c r="A150" t="s">
        <v>475</v>
      </c>
      <c r="B150" s="26">
        <v>118</v>
      </c>
      <c r="C150" s="8" t="str">
        <f>MID(Table5[[#This Row],[Lugar]],8,9)</f>
        <v>-3.839771</v>
      </c>
      <c r="D150" s="8" t="str">
        <f>MID(Table5[[#This Row],[Lugar]],19,9)</f>
        <v>40.441540</v>
      </c>
      <c r="E150" s="8" t="s">
        <v>308</v>
      </c>
      <c r="F150" s="13">
        <f t="shared" si="2"/>
        <v>3.310004350130054</v>
      </c>
    </row>
    <row r="151" spans="1:6" x14ac:dyDescent="0.3">
      <c r="A151" t="s">
        <v>476</v>
      </c>
      <c r="B151" s="26">
        <v>119</v>
      </c>
      <c r="C151" s="8" t="str">
        <f>MID(Table5[[#This Row],[Lugar]],8,9)</f>
        <v>-3.838998</v>
      </c>
      <c r="D151" s="8" t="str">
        <f>MID(Table5[[#This Row],[Lugar]],19,9)</f>
        <v>40.447092</v>
      </c>
      <c r="E151" s="8" t="s">
        <v>308</v>
      </c>
      <c r="F151" s="13">
        <f t="shared" si="2"/>
        <v>3.1458521135270425</v>
      </c>
    </row>
    <row r="152" spans="1:6" x14ac:dyDescent="0.3">
      <c r="A152" t="s">
        <v>477</v>
      </c>
      <c r="B152" s="26">
        <v>120</v>
      </c>
      <c r="C152" s="8" t="str">
        <f>MID(Table5[[#This Row],[Lugar]],8,9)</f>
        <v>-3.824236</v>
      </c>
      <c r="D152" s="8" t="str">
        <f>MID(Table5[[#This Row],[Lugar]],19,9)</f>
        <v>40.437490</v>
      </c>
      <c r="E152" s="8" t="s">
        <v>308</v>
      </c>
      <c r="F152" s="13">
        <f t="shared" si="2"/>
        <v>4.6908051034129983</v>
      </c>
    </row>
    <row r="153" spans="1:6" x14ac:dyDescent="0.3">
      <c r="A153" t="s">
        <v>478</v>
      </c>
      <c r="B153" s="26">
        <v>121</v>
      </c>
      <c r="C153" s="8" t="str">
        <f>MID(Table5[[#This Row],[Lugar]],8,9)</f>
        <v>-3.818485</v>
      </c>
      <c r="D153" s="8" t="str">
        <f>MID(Table5[[#This Row],[Lugar]],19,9)</f>
        <v>40.441540</v>
      </c>
      <c r="E153" s="8" t="s">
        <v>308</v>
      </c>
      <c r="F153" s="13">
        <f t="shared" si="2"/>
        <v>4.9859749752740328</v>
      </c>
    </row>
    <row r="154" spans="1:6" x14ac:dyDescent="0.3">
      <c r="A154" t="s">
        <v>479</v>
      </c>
      <c r="B154" s="26">
        <v>122</v>
      </c>
      <c r="C154" s="8" t="str">
        <f>MID(Table5[[#This Row],[Lugar]],8,9)</f>
        <v>-3.822777</v>
      </c>
      <c r="D154" s="8" t="str">
        <f>MID(Table5[[#This Row],[Lugar]],19,9)</f>
        <v>40.445721</v>
      </c>
      <c r="E154" s="8" t="s">
        <v>308</v>
      </c>
      <c r="F154" s="13">
        <f t="shared" si="2"/>
        <v>4.5133025555040485</v>
      </c>
    </row>
    <row r="155" spans="1:6" x14ac:dyDescent="0.3">
      <c r="A155" t="s">
        <v>480</v>
      </c>
      <c r="B155" s="26">
        <v>123</v>
      </c>
      <c r="C155" s="8" t="str">
        <f>MID(Table5[[#This Row],[Lugar]],8,9)</f>
        <v>-3.816167</v>
      </c>
      <c r="D155" s="8" t="str">
        <f>MID(Table5[[#This Row],[Lugar]],19,9)</f>
        <v>40.446635</v>
      </c>
      <c r="E155" s="8" t="s">
        <v>308</v>
      </c>
      <c r="F155" s="13">
        <f t="shared" si="2"/>
        <v>5.0402556470839857</v>
      </c>
    </row>
    <row r="156" spans="1:6" x14ac:dyDescent="0.3">
      <c r="A156" t="s">
        <v>481</v>
      </c>
      <c r="B156" s="26">
        <v>124</v>
      </c>
      <c r="C156" s="8" t="str">
        <f>MID(Table5[[#This Row],[Lugar]],8,9)</f>
        <v>-3.814708</v>
      </c>
      <c r="D156" s="8" t="str">
        <f>MID(Table5[[#This Row],[Lugar]],19,9)</f>
        <v>40.451795</v>
      </c>
      <c r="E156" s="8" t="s">
        <v>308</v>
      </c>
      <c r="F156" s="13">
        <f t="shared" si="2"/>
        <v>5.0910019289491419</v>
      </c>
    </row>
    <row r="157" spans="1:6" x14ac:dyDescent="0.3">
      <c r="A157" t="s">
        <v>482</v>
      </c>
      <c r="B157" s="26">
        <v>125</v>
      </c>
      <c r="C157" s="8" t="str">
        <f>MID(Table5[[#This Row],[Lugar]],8,9)</f>
        <v>-3.840801</v>
      </c>
      <c r="D157" s="8" t="str">
        <f>MID(Table5[[#This Row],[Lugar]],19,9)</f>
        <v>40.417824</v>
      </c>
      <c r="E157" s="8" t="s">
        <v>308</v>
      </c>
      <c r="F157" s="13">
        <f t="shared" si="2"/>
        <v>5.0228035375860509</v>
      </c>
    </row>
    <row r="158" spans="1:6" x14ac:dyDescent="0.3">
      <c r="A158" s="23" t="s">
        <v>307</v>
      </c>
      <c r="B158" s="8" t="s">
        <v>306</v>
      </c>
      <c r="C158" s="8" t="str">
        <f>MID(Table5[[#This Row],[Lugar]],8,9)</f>
        <v>-3.871508</v>
      </c>
      <c r="D158" s="8" t="str">
        <f>MID(Table5[[#This Row],[Lugar]],19,9)</f>
        <v>40.487380</v>
      </c>
      <c r="E158" s="8" t="s">
        <v>311</v>
      </c>
      <c r="F158" s="13">
        <f>ACOS(COS(RADIANS(90-$K$4)) *COS(RADIANS(90-D158)) +SIN(RADIANS(90-$K$4)) *SIN(RADIANS(90-D158)) *COS(RADIANS($J$4-C158))) *6371</f>
        <v>3.9217462076531877</v>
      </c>
    </row>
    <row r="159" spans="1:6" x14ac:dyDescent="0.3">
      <c r="A159" s="23" t="s">
        <v>305</v>
      </c>
      <c r="B159" s="8" t="s">
        <v>304</v>
      </c>
      <c r="C159" s="8" t="str">
        <f>MID(Table5[[#This Row],[Lugar]],8,9)</f>
        <v>-3.877903</v>
      </c>
      <c r="D159" s="8" t="str">
        <f>MID(Table5[[#This Row],[Lugar]],19,9)</f>
        <v>40.490023</v>
      </c>
      <c r="E159" s="8" t="s">
        <v>311</v>
      </c>
      <c r="F159" s="13">
        <f>ACOS(COS(RADIANS(90-$K$4)) *COS(RADIANS(90-D159)) +SIN(RADIANS(90-$K$4)) *SIN(RADIANS(90-D159)) *COS(RADIANS($J$4-C159))) *6371</f>
        <v>3.3815186632008341</v>
      </c>
    </row>
    <row r="160" spans="1:6" x14ac:dyDescent="0.3">
      <c r="A160" s="23" t="s">
        <v>303</v>
      </c>
      <c r="B160" s="8" t="s">
        <v>302</v>
      </c>
      <c r="C160" s="8" t="str">
        <f>MID(Table5[[#This Row],[Lugar]],8,9)</f>
        <v>-3.892108</v>
      </c>
      <c r="D160" s="8" t="str">
        <f>MID(Table5[[#This Row],[Lugar]],19,9)</f>
        <v>40.488587</v>
      </c>
      <c r="E160" s="8" t="s">
        <v>311</v>
      </c>
      <c r="F160" s="13">
        <f t="shared" ref="F160:F162" si="3">ACOS(COS(RADIANS(90-$K$4)) *COS(RADIANS(90-D160)) +SIN(RADIANS(90-$K$4)) *SIN(RADIANS(90-D160)) *COS(RADIANS($J$4-C160))) *6371</f>
        <v>3.1172979875554185</v>
      </c>
    </row>
    <row r="161" spans="1:6" x14ac:dyDescent="0.3">
      <c r="A161" s="23" t="s">
        <v>301</v>
      </c>
      <c r="B161" s="8" t="s">
        <v>300</v>
      </c>
      <c r="C161" s="8" t="str">
        <f>MID(Table5[[#This Row],[Lugar]],8,9)</f>
        <v>-3.884372</v>
      </c>
      <c r="D161" s="8" t="str">
        <f>MID(Table5[[#This Row],[Lugar]],19,9)</f>
        <v>40.489166</v>
      </c>
      <c r="E161" s="8" t="s">
        <v>311</v>
      </c>
      <c r="F161" s="13">
        <f t="shared" si="3"/>
        <v>3.228631142967135</v>
      </c>
    </row>
    <row r="162" spans="1:6" x14ac:dyDescent="0.3">
      <c r="A162" s="23" t="s">
        <v>299</v>
      </c>
      <c r="B162" s="8" t="s">
        <v>298</v>
      </c>
      <c r="C162" s="8" t="str">
        <f>MID(Table5[[#This Row],[Lugar]],8,9)</f>
        <v>-3.875016</v>
      </c>
      <c r="D162" s="8" t="str">
        <f>MID(Table5[[#This Row],[Lugar]],19,9)</f>
        <v>40.496216</v>
      </c>
      <c r="E162" s="8" t="s">
        <v>311</v>
      </c>
      <c r="F162" s="13">
        <f t="shared" si="3"/>
        <v>2.9647364396315936</v>
      </c>
    </row>
    <row r="163" spans="1:6" x14ac:dyDescent="0.3">
      <c r="A163" s="23" t="s">
        <v>297</v>
      </c>
      <c r="B163" s="8" t="s">
        <v>296</v>
      </c>
      <c r="C163" s="8" t="str">
        <f>MID(Table5[[#This Row],[Lugar]],8,9)</f>
        <v>-3.877248</v>
      </c>
      <c r="D163" s="8" t="str">
        <f>MID(Table5[[#This Row],[Lugar]],19,9)</f>
        <v>40.503917</v>
      </c>
      <c r="E163" s="8" t="s">
        <v>311</v>
      </c>
      <c r="F163" s="13">
        <f>ACOS(COS(RADIANS(90-$K$4)) *COS(RADIANS(90-D163)) +SIN(RADIANS(90-$K$4)) *SIN(RADIANS(90-D163)) *COS(RADIANS($J$4-C163))) *6371</f>
        <v>2.2374324453130474</v>
      </c>
    </row>
    <row r="164" spans="1:6" x14ac:dyDescent="0.3">
      <c r="A164" s="23" t="s">
        <v>357</v>
      </c>
      <c r="B164" s="8">
        <v>1</v>
      </c>
      <c r="C164" s="8" t="str">
        <f>MID(Table5[[#This Row],[Lugar]],8,9)</f>
        <v>-3.895172</v>
      </c>
      <c r="D164" s="8" t="str">
        <f>MID(Table5[[#This Row],[Lugar]],19,9)</f>
        <v>40.504394</v>
      </c>
      <c r="E164" s="8" t="s">
        <v>311</v>
      </c>
      <c r="F164" s="13">
        <f t="shared" ref="F164:F214" si="4">ACOS(COS(RADIANS(90-$K$4)) *COS(RADIANS(90-D164)) +SIN(RADIANS(90-$K$4)) *SIN(RADIANS(90-D164)) *COS(RADIANS($J$4-C164))) *6371</f>
        <v>1.3413774296742067</v>
      </c>
    </row>
    <row r="165" spans="1:6" x14ac:dyDescent="0.3">
      <c r="A165" s="23" t="s">
        <v>359</v>
      </c>
      <c r="B165" s="8">
        <v>2</v>
      </c>
      <c r="C165" s="8" t="str">
        <f>MID(Table5[[#This Row],[Lugar]],8,9)</f>
        <v>-3.906588</v>
      </c>
      <c r="D165" s="8" t="str">
        <f>MID(Table5[[#This Row],[Lugar]],19,9)</f>
        <v>40.505960</v>
      </c>
      <c r="E165" s="8" t="s">
        <v>311</v>
      </c>
      <c r="F165" s="13">
        <f t="shared" si="4"/>
        <v>1.3465099008194454</v>
      </c>
    </row>
    <row r="166" spans="1:6" x14ac:dyDescent="0.3">
      <c r="A166" s="23" t="s">
        <v>356</v>
      </c>
      <c r="B166" s="8">
        <v>3</v>
      </c>
      <c r="C166" s="8" t="str">
        <f>MID(Table5[[#This Row],[Lugar]],8,9)</f>
        <v>-3.905128</v>
      </c>
      <c r="D166" s="8" t="str">
        <f>MID(Table5[[#This Row],[Lugar]],19,9)</f>
        <v>40.510267</v>
      </c>
      <c r="E166" s="8" t="s">
        <v>311</v>
      </c>
      <c r="F166" s="13">
        <f t="shared" si="4"/>
        <v>0.8871887730970569</v>
      </c>
    </row>
    <row r="167" spans="1:6" x14ac:dyDescent="0.3">
      <c r="A167" s="23" t="s">
        <v>355</v>
      </c>
      <c r="B167" s="8">
        <v>4</v>
      </c>
      <c r="C167" s="8" t="str">
        <f>MID(Table5[[#This Row],[Lugar]],8,9)</f>
        <v>-3.912853</v>
      </c>
      <c r="D167" s="8" t="str">
        <f>MID(Table5[[#This Row],[Lugar]],19,9)</f>
        <v>40.511964</v>
      </c>
      <c r="E167" s="8" t="s">
        <v>311</v>
      </c>
      <c r="F167" s="13">
        <f t="shared" si="4"/>
        <v>1.3291859392934153</v>
      </c>
    </row>
    <row r="168" spans="1:6" x14ac:dyDescent="0.3">
      <c r="A168" s="23" t="s">
        <v>354</v>
      </c>
      <c r="B168" s="8">
        <v>5</v>
      </c>
      <c r="C168" s="8" t="str">
        <f>MID(Table5[[#This Row],[Lugar]],8,9)</f>
        <v>-3.908905</v>
      </c>
      <c r="D168" s="8" t="str">
        <f>MID(Table5[[#This Row],[Lugar]],19,9)</f>
        <v>40.515161</v>
      </c>
      <c r="E168" s="8" t="s">
        <v>311</v>
      </c>
      <c r="F168" s="13">
        <f t="shared" si="4"/>
        <v>0.91536412533919109</v>
      </c>
    </row>
    <row r="169" spans="1:6" x14ac:dyDescent="0.3">
      <c r="A169" s="23" t="s">
        <v>360</v>
      </c>
      <c r="B169" s="8">
        <v>6</v>
      </c>
      <c r="C169" s="8" t="str">
        <f>MID(Table5[[#This Row],[Lugar]],8,9)</f>
        <v>-3.905558</v>
      </c>
      <c r="D169" s="8" t="str">
        <f>MID(Table5[[#This Row],[Lugar]],19,9)</f>
        <v>40.518228</v>
      </c>
      <c r="E169" s="8" t="s">
        <v>311</v>
      </c>
      <c r="F169" s="13">
        <f>ACOS(COS(RADIANS(90-$K$4)) *COS(RADIANS(90-D169)) +SIN(RADIANS(90-$K$4)) *SIN(RADIANS(90-D169)) *COS(RADIANS($J$4-C169))) *6371</f>
        <v>0.662487528214458</v>
      </c>
    </row>
    <row r="170" spans="1:6" x14ac:dyDescent="0.3">
      <c r="A170" s="23" t="s">
        <v>353</v>
      </c>
      <c r="B170" s="8">
        <v>7</v>
      </c>
      <c r="C170" s="8" t="str">
        <f>MID(Table5[[#This Row],[Lugar]],8,9)</f>
        <v>-3.916029</v>
      </c>
      <c r="D170" s="8" t="str">
        <f>MID(Table5[[#This Row],[Lugar]],19,9)</f>
        <v>40.515879</v>
      </c>
      <c r="E170" s="8" t="s">
        <v>311</v>
      </c>
      <c r="F170" s="13">
        <f t="shared" si="4"/>
        <v>1.5102091499327519</v>
      </c>
    </row>
    <row r="171" spans="1:6" x14ac:dyDescent="0.3">
      <c r="A171" s="23" t="s">
        <v>352</v>
      </c>
      <c r="B171" s="8">
        <v>8</v>
      </c>
      <c r="C171" s="8" t="str">
        <f>MID(Table5[[#This Row],[Lugar]],8,9)</f>
        <v>-3.912252</v>
      </c>
      <c r="D171" s="8" t="str">
        <f>MID(Table5[[#This Row],[Lugar]],19,9)</f>
        <v>40.519272</v>
      </c>
      <c r="E171" s="8" t="s">
        <v>311</v>
      </c>
      <c r="F171" s="13">
        <f t="shared" si="4"/>
        <v>1.237187232793707</v>
      </c>
    </row>
    <row r="172" spans="1:6" x14ac:dyDescent="0.3">
      <c r="A172" s="23" t="s">
        <v>351</v>
      </c>
      <c r="B172" s="8">
        <v>9</v>
      </c>
      <c r="C172" s="8" t="str">
        <f>MID(Table5[[#This Row],[Lugar]],8,9)</f>
        <v>-3.920578</v>
      </c>
      <c r="D172" s="8" t="str">
        <f>MID(Table5[[#This Row],[Lugar]],19,9)</f>
        <v>40.517510</v>
      </c>
      <c r="E172" s="8" t="s">
        <v>311</v>
      </c>
      <c r="F172" s="13">
        <f t="shared" si="4"/>
        <v>1.8994501275011093</v>
      </c>
    </row>
    <row r="173" spans="1:6" x14ac:dyDescent="0.3">
      <c r="A173" s="23" t="s">
        <v>350</v>
      </c>
      <c r="B173" s="8">
        <v>10</v>
      </c>
      <c r="C173" s="8" t="str">
        <f>MID(Table5[[#This Row],[Lugar]],8,9)</f>
        <v>-3.917917</v>
      </c>
      <c r="D173" s="8" t="str">
        <f>MID(Table5[[#This Row],[Lugar]],19,9)</f>
        <v>40.521425</v>
      </c>
      <c r="E173" s="8" t="s">
        <v>311</v>
      </c>
      <c r="F173" s="13">
        <f t="shared" si="4"/>
        <v>1.7659699799676387</v>
      </c>
    </row>
    <row r="174" spans="1:6" x14ac:dyDescent="0.3">
      <c r="A174" s="23" t="s">
        <v>349</v>
      </c>
      <c r="B174" s="8">
        <v>11</v>
      </c>
      <c r="C174" s="8" t="str">
        <f>MID(Table5[[#This Row],[Lugar]],8,9)</f>
        <v>-3.915342</v>
      </c>
      <c r="D174" s="8" t="str">
        <f>MID(Table5[[#This Row],[Lugar]],19,9)</f>
        <v>40.525274</v>
      </c>
      <c r="E174" s="8" t="s">
        <v>311</v>
      </c>
      <c r="F174" s="13">
        <f t="shared" si="4"/>
        <v>1.76520304121025</v>
      </c>
    </row>
    <row r="175" spans="1:6" x14ac:dyDescent="0.3">
      <c r="A175" s="23" t="s">
        <v>348</v>
      </c>
      <c r="B175" s="8">
        <v>12</v>
      </c>
      <c r="C175" s="8" t="str">
        <f>MID(Table5[[#This Row],[Lugar]],8,9)</f>
        <v>-3.909849</v>
      </c>
      <c r="D175" s="8" t="str">
        <f>MID(Table5[[#This Row],[Lugar]],19,9)</f>
        <v>40.523643</v>
      </c>
      <c r="E175" s="8" t="s">
        <v>311</v>
      </c>
      <c r="F175" s="13">
        <f t="shared" si="4"/>
        <v>1.2853758055060545</v>
      </c>
    </row>
    <row r="176" spans="1:6" x14ac:dyDescent="0.3">
      <c r="A176" s="23" t="s">
        <v>358</v>
      </c>
      <c r="B176" s="8">
        <v>13</v>
      </c>
      <c r="C176" s="8" t="str">
        <f>MID(Table5[[#This Row],[Lugar]],8,9)</f>
        <v>-3.906073</v>
      </c>
      <c r="D176" s="8" t="str">
        <f>MID(Table5[[#This Row],[Lugar]],19,9)</f>
        <v>40.522077</v>
      </c>
      <c r="E176" s="8" t="s">
        <v>311</v>
      </c>
      <c r="F176" s="13">
        <f t="shared" si="4"/>
        <v>0.93141194608875133</v>
      </c>
    </row>
    <row r="177" spans="1:6" x14ac:dyDescent="0.3">
      <c r="A177" s="23" t="s">
        <v>347</v>
      </c>
      <c r="B177" s="8">
        <v>14</v>
      </c>
      <c r="C177" s="8" t="str">
        <f>MID(Table5[[#This Row],[Lugar]],8,9)</f>
        <v>-3.921093</v>
      </c>
      <c r="D177" s="8" t="str">
        <f>MID(Table5[[#This Row],[Lugar]],19,9)</f>
        <v>40.522991</v>
      </c>
      <c r="E177" s="8" t="s">
        <v>311</v>
      </c>
      <c r="F177" s="13">
        <f t="shared" si="4"/>
        <v>2.0779788476792174</v>
      </c>
    </row>
    <row r="178" spans="1:6" x14ac:dyDescent="0.3">
      <c r="A178" s="23" t="s">
        <v>346</v>
      </c>
      <c r="B178" s="8">
        <v>15</v>
      </c>
      <c r="C178" s="8" t="str">
        <f>MID(Table5[[#This Row],[Lugar]],8,9)</f>
        <v>-3.931307</v>
      </c>
      <c r="D178" s="8" t="str">
        <f>MID(Table5[[#This Row],[Lugar]],19,9)</f>
        <v>40.520903</v>
      </c>
      <c r="E178" s="8" t="s">
        <v>311</v>
      </c>
      <c r="F178" s="13">
        <f t="shared" si="4"/>
        <v>2.8486518320626386</v>
      </c>
    </row>
    <row r="179" spans="1:6" x14ac:dyDescent="0.3">
      <c r="A179" s="23" t="s">
        <v>345</v>
      </c>
      <c r="B179" s="8">
        <v>16</v>
      </c>
      <c r="C179" s="8" t="str">
        <f>MID(Table5[[#This Row],[Lugar]],8,9)</f>
        <v>-3.925985</v>
      </c>
      <c r="D179" s="8" t="str">
        <f>MID(Table5[[#This Row],[Lugar]],19,9)</f>
        <v>40.522143</v>
      </c>
      <c r="E179" s="8" t="s">
        <v>311</v>
      </c>
      <c r="F179" s="13">
        <f t="shared" si="4"/>
        <v>2.4410799396774783</v>
      </c>
    </row>
    <row r="180" spans="1:6" x14ac:dyDescent="0.3">
      <c r="A180" s="23" t="s">
        <v>344</v>
      </c>
      <c r="B180" s="8">
        <v>17</v>
      </c>
      <c r="C180" s="8" t="str">
        <f>MID(Table5[[#This Row],[Lugar]],8,9)</f>
        <v>-3.909028</v>
      </c>
      <c r="D180" s="8" t="str">
        <f>MID(Table5[[#This Row],[Lugar]],19,9)</f>
        <v>40.529981</v>
      </c>
      <c r="E180" s="8" t="s">
        <v>311</v>
      </c>
      <c r="F180" s="13">
        <f t="shared" si="4"/>
        <v>1.7823742150811062</v>
      </c>
    </row>
    <row r="181" spans="1:6" x14ac:dyDescent="0.3">
      <c r="A181" s="23" t="s">
        <v>343</v>
      </c>
      <c r="B181" s="8">
        <v>18</v>
      </c>
      <c r="C181" s="8" t="str">
        <f>MID(Table5[[#This Row],[Lugar]],8,9)</f>
        <v>-3.907397</v>
      </c>
      <c r="D181" s="8" t="str">
        <f>MID(Table5[[#This Row],[Lugar]],19,9)</f>
        <v>40.534221</v>
      </c>
      <c r="E181" s="8" t="s">
        <v>311</v>
      </c>
      <c r="F181" s="13">
        <f t="shared" si="4"/>
        <v>2.1461119586807547</v>
      </c>
    </row>
    <row r="182" spans="1:6" x14ac:dyDescent="0.3">
      <c r="A182" s="23" t="s">
        <v>342</v>
      </c>
      <c r="B182" s="8">
        <v>19</v>
      </c>
      <c r="C182" s="8" t="str">
        <f>MID(Table5[[#This Row],[Lugar]],8,9)</f>
        <v>-3.901647</v>
      </c>
      <c r="D182" s="8" t="str">
        <f>MID(Table5[[#This Row],[Lugar]],19,9)</f>
        <v>40.535265</v>
      </c>
      <c r="E182" s="8" t="s">
        <v>311</v>
      </c>
      <c r="F182" s="13">
        <f t="shared" si="4"/>
        <v>2.1357984801246443</v>
      </c>
    </row>
    <row r="183" spans="1:6" x14ac:dyDescent="0.3">
      <c r="A183" s="23" t="s">
        <v>341</v>
      </c>
      <c r="B183" s="8">
        <v>20</v>
      </c>
      <c r="C183" s="8" t="str">
        <f>MID(Table5[[#This Row],[Lugar]],8,9)</f>
        <v>-3.900874</v>
      </c>
      <c r="D183" s="8" t="str">
        <f>MID(Table5[[#This Row],[Lugar]],19,9)</f>
        <v>40.531611</v>
      </c>
      <c r="E183" s="8" t="s">
        <v>311</v>
      </c>
      <c r="F183" s="13">
        <f t="shared" si="4"/>
        <v>1.7243903556620424</v>
      </c>
    </row>
    <row r="184" spans="1:6" x14ac:dyDescent="0.3">
      <c r="A184" s="23" t="s">
        <v>340</v>
      </c>
      <c r="B184" s="8">
        <v>21</v>
      </c>
      <c r="C184" s="8" t="str">
        <f>MID(Table5[[#This Row],[Lugar]],8,9)</f>
        <v>-3.894952</v>
      </c>
      <c r="D184" s="8" t="str">
        <f>MID(Table5[[#This Row],[Lugar]],19,9)</f>
        <v>40.533634</v>
      </c>
      <c r="E184" s="8" t="s">
        <v>311</v>
      </c>
      <c r="F184" s="13">
        <f t="shared" si="4"/>
        <v>1.9531556650487358</v>
      </c>
    </row>
    <row r="185" spans="1:6" x14ac:dyDescent="0.3">
      <c r="A185" s="23" t="s">
        <v>361</v>
      </c>
      <c r="B185" s="8">
        <v>22</v>
      </c>
      <c r="C185" s="8" t="str">
        <f>MID(Table5[[#This Row],[Lugar]],8,9)</f>
        <v>-3.898729</v>
      </c>
      <c r="D185" s="8" t="str">
        <f>MID(Table5[[#This Row],[Lugar]],19,9)</f>
        <v>40.539831</v>
      </c>
      <c r="E185" s="8" t="s">
        <v>311</v>
      </c>
      <c r="F185" s="13">
        <f t="shared" si="4"/>
        <v>2.6236249396531233</v>
      </c>
    </row>
    <row r="186" spans="1:6" x14ac:dyDescent="0.3">
      <c r="A186" s="23" t="s">
        <v>339</v>
      </c>
      <c r="B186" s="8">
        <v>23</v>
      </c>
      <c r="C186" s="8" t="str">
        <f>MID(Table5[[#This Row],[Lugar]],8,9)</f>
        <v>-3.893836</v>
      </c>
      <c r="D186" s="8" t="str">
        <f>MID(Table5[[#This Row],[Lugar]],19,9)</f>
        <v>40.538004</v>
      </c>
      <c r="E186" s="8" t="s">
        <v>311</v>
      </c>
      <c r="F186" s="13">
        <f t="shared" si="4"/>
        <v>2.4476119767168258</v>
      </c>
    </row>
    <row r="187" spans="1:6" x14ac:dyDescent="0.3">
      <c r="A187" s="23" t="s">
        <v>338</v>
      </c>
      <c r="B187" s="8">
        <v>24</v>
      </c>
      <c r="C187" s="8" t="str">
        <f>MID(Table5[[#This Row],[Lugar]],8,9)</f>
        <v>-3.901647</v>
      </c>
      <c r="D187" s="8" t="str">
        <f>MID(Table5[[#This Row],[Lugar]],19,9)</f>
        <v>40.544136</v>
      </c>
      <c r="E187" s="8" t="s">
        <v>311</v>
      </c>
      <c r="F187" s="13">
        <f t="shared" si="4"/>
        <v>3.1157820409511445</v>
      </c>
    </row>
    <row r="188" spans="1:6" x14ac:dyDescent="0.3">
      <c r="A188" s="23" t="s">
        <v>337</v>
      </c>
      <c r="B188" s="8">
        <v>25</v>
      </c>
      <c r="C188" s="8" t="str">
        <f>MID(Table5[[#This Row],[Lugar]],8,9)</f>
        <v>-3.896840</v>
      </c>
      <c r="D188" s="8" t="str">
        <f>MID(Table5[[#This Row],[Lugar]],19,9)</f>
        <v>40.546092</v>
      </c>
      <c r="E188" s="8" t="s">
        <v>311</v>
      </c>
      <c r="F188" s="13">
        <f t="shared" si="4"/>
        <v>3.3212935502065779</v>
      </c>
    </row>
    <row r="189" spans="1:6" x14ac:dyDescent="0.3">
      <c r="A189" s="23" t="s">
        <v>336</v>
      </c>
      <c r="B189" s="8">
        <v>26</v>
      </c>
      <c r="C189" s="8" t="str">
        <f>MID(Table5[[#This Row],[Lugar]],8,9)</f>
        <v>-3.900788</v>
      </c>
      <c r="D189" s="8" t="str">
        <f>MID(Table5[[#This Row],[Lugar]],19,9)</f>
        <v>40.548897</v>
      </c>
      <c r="E189" s="8" t="s">
        <v>311</v>
      </c>
      <c r="F189" s="13">
        <f t="shared" si="4"/>
        <v>3.6380268958567097</v>
      </c>
    </row>
    <row r="190" spans="1:6" x14ac:dyDescent="0.3">
      <c r="A190" s="23" t="s">
        <v>335</v>
      </c>
      <c r="B190" s="8">
        <v>27</v>
      </c>
      <c r="C190" s="8" t="str">
        <f>MID(Table5[[#This Row],[Lugar]],8,9)</f>
        <v>-3.906711</v>
      </c>
      <c r="D190" s="8" t="str">
        <f>MID(Table5[[#This Row],[Lugar]],19,9)</f>
        <v>40.548766</v>
      </c>
      <c r="E190" s="8" t="s">
        <v>311</v>
      </c>
      <c r="F190" s="13">
        <f t="shared" si="4"/>
        <v>3.6880525722921549</v>
      </c>
    </row>
    <row r="191" spans="1:6" x14ac:dyDescent="0.3">
      <c r="A191" s="23" t="s">
        <v>334</v>
      </c>
      <c r="B191" s="8">
        <v>28</v>
      </c>
      <c r="C191" s="8" t="str">
        <f>MID(Table5[[#This Row],[Lugar]],8,9)</f>
        <v>-3.913663</v>
      </c>
      <c r="D191" s="8" t="str">
        <f>MID(Table5[[#This Row],[Lugar]],19,9)</f>
        <v>40.542179</v>
      </c>
      <c r="E191" s="8" t="s">
        <v>311</v>
      </c>
      <c r="F191" s="13">
        <f t="shared" si="4"/>
        <v>3.1675960519508539</v>
      </c>
    </row>
    <row r="192" spans="1:6" x14ac:dyDescent="0.3">
      <c r="A192" s="23" t="s">
        <v>333</v>
      </c>
      <c r="B192" s="8">
        <v>29</v>
      </c>
      <c r="C192" s="8" t="str">
        <f>MID(Table5[[#This Row],[Lugar]],8,9)</f>
        <v>-3.921989</v>
      </c>
      <c r="D192" s="8" t="str">
        <f>MID(Table5[[#This Row],[Lugar]],19,9)</f>
        <v>40.547657</v>
      </c>
      <c r="E192" s="8" t="s">
        <v>311</v>
      </c>
      <c r="F192" s="13">
        <f t="shared" si="4"/>
        <v>4.0318916858588212</v>
      </c>
    </row>
    <row r="193" spans="1:6" x14ac:dyDescent="0.3">
      <c r="A193" s="23" t="s">
        <v>362</v>
      </c>
      <c r="B193" s="8">
        <v>30</v>
      </c>
      <c r="C193" s="8" t="str">
        <f>MID(Table5[[#This Row],[Lugar]],8,9)</f>
        <v>-3.917955</v>
      </c>
      <c r="D193" s="8" t="str">
        <f>MID(Table5[[#This Row],[Lugar]],19,9)</f>
        <v>40.544331</v>
      </c>
      <c r="E193" s="8" t="s">
        <v>311</v>
      </c>
      <c r="F193" s="13">
        <f t="shared" si="4"/>
        <v>3.5429866173034021</v>
      </c>
    </row>
    <row r="194" spans="1:6" x14ac:dyDescent="0.3">
      <c r="A194" s="23" t="s">
        <v>332</v>
      </c>
      <c r="B194" s="8">
        <v>31</v>
      </c>
      <c r="C194" s="8" t="str">
        <f>MID(Table5[[#This Row],[Lugar]],8,9)</f>
        <v>-3.924306</v>
      </c>
      <c r="D194" s="8" t="str">
        <f>MID(Table5[[#This Row],[Lugar]],19,9)</f>
        <v>40.541983</v>
      </c>
      <c r="E194" s="8" t="s">
        <v>311</v>
      </c>
      <c r="F194" s="13">
        <f t="shared" si="4"/>
        <v>3.6156888467842019</v>
      </c>
    </row>
    <row r="195" spans="1:6" x14ac:dyDescent="0.3">
      <c r="A195" s="23" t="s">
        <v>331</v>
      </c>
      <c r="B195" s="8">
        <v>32</v>
      </c>
      <c r="C195" s="8" t="str">
        <f>MID(Table5[[#This Row],[Lugar]],8,9)</f>
        <v>-3.919585</v>
      </c>
      <c r="D195" s="8" t="str">
        <f>MID(Table5[[#This Row],[Lugar]],19,9)</f>
        <v>40.538852</v>
      </c>
      <c r="E195" s="8" t="s">
        <v>311</v>
      </c>
      <c r="F195" s="13">
        <f t="shared" si="4"/>
        <v>3.0980440270667495</v>
      </c>
    </row>
    <row r="196" spans="1:6" x14ac:dyDescent="0.3">
      <c r="A196" s="23" t="s">
        <v>330</v>
      </c>
      <c r="B196" s="8">
        <v>33</v>
      </c>
      <c r="C196" s="8" t="str">
        <f>MID(Table5[[#This Row],[Lugar]],8,9)</f>
        <v>-3.922761</v>
      </c>
      <c r="D196" s="8" t="str">
        <f>MID(Table5[[#This Row],[Lugar]],19,9)</f>
        <v>40.535526</v>
      </c>
      <c r="E196" s="8" t="s">
        <v>311</v>
      </c>
      <c r="F196" s="13">
        <f t="shared" si="4"/>
        <v>2.9864438169139631</v>
      </c>
    </row>
    <row r="197" spans="1:6" x14ac:dyDescent="0.3">
      <c r="A197" s="23" t="s">
        <v>329</v>
      </c>
      <c r="B197" s="8">
        <v>34</v>
      </c>
      <c r="C197" s="8" t="str">
        <f>MID(Table5[[#This Row],[Lugar]],8,9)</f>
        <v>-3.927653</v>
      </c>
      <c r="D197" s="8" t="str">
        <f>MID(Table5[[#This Row],[Lugar]],19,9)</f>
        <v>40.536634</v>
      </c>
      <c r="E197" s="8" t="s">
        <v>311</v>
      </c>
      <c r="F197" s="13">
        <f t="shared" si="4"/>
        <v>3.3692848151856913</v>
      </c>
    </row>
    <row r="198" spans="1:6" x14ac:dyDescent="0.3">
      <c r="A198" s="23" t="s">
        <v>328</v>
      </c>
      <c r="B198" s="8">
        <v>35</v>
      </c>
      <c r="C198" s="8" t="str">
        <f>MID(Table5[[#This Row],[Lugar]],8,9)</f>
        <v>-3.922933</v>
      </c>
      <c r="D198" s="8" t="str">
        <f>MID(Table5[[#This Row],[Lugar]],19,9)</f>
        <v>40.530372</v>
      </c>
      <c r="E198" s="8" t="s">
        <v>311</v>
      </c>
      <c r="F198" s="13">
        <f t="shared" si="4"/>
        <v>2.617296663044768</v>
      </c>
    </row>
    <row r="199" spans="1:6" x14ac:dyDescent="0.3">
      <c r="A199" s="23" t="s">
        <v>327</v>
      </c>
      <c r="B199" s="8">
        <v>36</v>
      </c>
      <c r="C199" s="8" t="str">
        <f>MID(Table5[[#This Row],[Lugar]],8,9)</f>
        <v>-3.931773</v>
      </c>
      <c r="D199" s="8" t="str">
        <f>MID(Table5[[#This Row],[Lugar]],19,9)</f>
        <v>40.533438</v>
      </c>
      <c r="E199" s="8" t="s">
        <v>311</v>
      </c>
      <c r="F199" s="13">
        <f t="shared" si="4"/>
        <v>3.4239883765821943</v>
      </c>
    </row>
    <row r="200" spans="1:6" x14ac:dyDescent="0.3">
      <c r="A200" s="23" t="s">
        <v>326</v>
      </c>
      <c r="B200" s="8">
        <v>37</v>
      </c>
      <c r="C200" s="8" t="str">
        <f>MID(Table5[[#This Row],[Lugar]],8,9)</f>
        <v>-3.934606</v>
      </c>
      <c r="D200" s="8" t="str">
        <f>MID(Table5[[#This Row],[Lugar]],19,9)</f>
        <v>40.529720</v>
      </c>
      <c r="E200" s="8" t="s">
        <v>311</v>
      </c>
      <c r="F200" s="13">
        <f t="shared" si="4"/>
        <v>3.4251201309504555</v>
      </c>
    </row>
    <row r="201" spans="1:6" x14ac:dyDescent="0.3">
      <c r="A201" s="23" t="s">
        <v>325</v>
      </c>
      <c r="B201" s="8">
        <v>38</v>
      </c>
      <c r="C201" s="8" t="str">
        <f>MID(Table5[[#This Row],[Lugar]],8,9)</f>
        <v>-3.932717</v>
      </c>
      <c r="D201" s="8" t="str">
        <f>MID(Table5[[#This Row],[Lugar]],19,9)</f>
        <v>40.526653</v>
      </c>
      <c r="E201" s="8" t="s">
        <v>311</v>
      </c>
      <c r="F201" s="13">
        <f t="shared" si="4"/>
        <v>3.1413084082001639</v>
      </c>
    </row>
    <row r="202" spans="1:6" x14ac:dyDescent="0.3">
      <c r="A202" s="23" t="s">
        <v>324</v>
      </c>
      <c r="B202" s="8">
        <v>39</v>
      </c>
      <c r="C202" s="8" t="str">
        <f>MID(Table5[[#This Row],[Lugar]],8,9)</f>
        <v>-3.928426</v>
      </c>
      <c r="D202" s="8" t="str">
        <f>MID(Table5[[#This Row],[Lugar]],19,9)</f>
        <v>40.531416</v>
      </c>
      <c r="E202" s="8" t="s">
        <v>311</v>
      </c>
      <c r="F202" s="13">
        <f t="shared" si="4"/>
        <v>3.0639191302405653</v>
      </c>
    </row>
    <row r="203" spans="1:6" x14ac:dyDescent="0.3">
      <c r="A203" s="23" t="s">
        <v>323</v>
      </c>
      <c r="B203" s="8">
        <v>40</v>
      </c>
      <c r="C203" s="8" t="str">
        <f>MID(Table5[[#This Row],[Lugar]],8,9)</f>
        <v>-3.913577</v>
      </c>
      <c r="D203" s="8" t="str">
        <f>MID(Table5[[#This Row],[Lugar]],19,9)</f>
        <v>40.547266</v>
      </c>
      <c r="E203" s="8" t="s">
        <v>311</v>
      </c>
      <c r="F203" s="13">
        <f t="shared" si="4"/>
        <v>3.6874782918918712</v>
      </c>
    </row>
    <row r="204" spans="1:6" x14ac:dyDescent="0.3">
      <c r="A204" s="23" t="s">
        <v>322</v>
      </c>
      <c r="B204" s="8">
        <v>41</v>
      </c>
      <c r="C204" s="8" t="str">
        <f>MID(Table5[[#This Row],[Lugar]],8,9)</f>
        <v>-3.908084</v>
      </c>
      <c r="D204" s="8" t="str">
        <f>MID(Table5[[#This Row],[Lugar]],19,9)</f>
        <v>40.544462</v>
      </c>
      <c r="E204" s="8" t="s">
        <v>311</v>
      </c>
      <c r="F204" s="13">
        <f t="shared" si="4"/>
        <v>3.2480746455468452</v>
      </c>
    </row>
    <row r="205" spans="1:6" x14ac:dyDescent="0.3">
      <c r="A205" s="23" t="s">
        <v>321</v>
      </c>
      <c r="B205" s="8">
        <v>42</v>
      </c>
      <c r="C205" s="8" t="str">
        <f>MID(Table5[[#This Row],[Lugar]],8,9)</f>
        <v>-3.901361</v>
      </c>
      <c r="D205" s="8" t="str">
        <f>MID(Table5[[#This Row],[Lugar]],19,9)</f>
        <v>40.552933</v>
      </c>
      <c r="E205" s="8" t="s">
        <v>311</v>
      </c>
      <c r="F205" s="13">
        <f t="shared" si="4"/>
        <v>4.0889775895400442</v>
      </c>
    </row>
    <row r="206" spans="1:6" x14ac:dyDescent="0.3">
      <c r="A206" s="23" t="s">
        <v>320</v>
      </c>
      <c r="B206" s="8">
        <v>43</v>
      </c>
      <c r="C206" s="8" t="str">
        <f>MID(Table5[[#This Row],[Lugar]],8,9)</f>
        <v>-3.907970</v>
      </c>
      <c r="D206" s="8" t="str">
        <f>MID(Table5[[#This Row],[Lugar]],19,9)</f>
        <v>40.557628</v>
      </c>
      <c r="E206" s="8" t="s">
        <v>311</v>
      </c>
      <c r="F206" s="13">
        <f t="shared" si="4"/>
        <v>4.6760571884743234</v>
      </c>
    </row>
    <row r="207" spans="1:6" x14ac:dyDescent="0.3">
      <c r="A207" s="23" t="s">
        <v>319</v>
      </c>
      <c r="B207" s="8">
        <v>44</v>
      </c>
      <c r="C207" s="8" t="str">
        <f>MID(Table5[[#This Row],[Lugar]],8,9)</f>
        <v>-3.940328</v>
      </c>
      <c r="D207" s="8" t="str">
        <f>MID(Table5[[#This Row],[Lugar]],19,9)</f>
        <v>40.531604</v>
      </c>
      <c r="E207" s="8" t="s">
        <v>311</v>
      </c>
      <c r="F207" s="13">
        <f t="shared" si="4"/>
        <v>3.9516981494926706</v>
      </c>
    </row>
    <row r="208" spans="1:6" x14ac:dyDescent="0.3">
      <c r="A208" s="23" t="s">
        <v>318</v>
      </c>
      <c r="B208" s="8">
        <v>45</v>
      </c>
      <c r="C208" s="8" t="str">
        <f>MID(Table5[[#This Row],[Lugar]],8,9)</f>
        <v>-3.943332</v>
      </c>
      <c r="D208" s="8" t="str">
        <f>MID(Table5[[#This Row],[Lugar]],19,9)</f>
        <v>40.535714</v>
      </c>
      <c r="E208" s="8" t="s">
        <v>311</v>
      </c>
      <c r="F208" s="13">
        <f t="shared" si="4"/>
        <v>4.3885507328850242</v>
      </c>
    </row>
    <row r="209" spans="1:6" x14ac:dyDescent="0.3">
      <c r="A209" s="23" t="s">
        <v>317</v>
      </c>
      <c r="B209" s="8">
        <v>46</v>
      </c>
      <c r="C209" s="8" t="str">
        <f>MID(Table5[[#This Row],[Lugar]],8,9)</f>
        <v>-3.946680</v>
      </c>
      <c r="D209" s="8" t="str">
        <f>MID(Table5[[#This Row],[Lugar]],19,9)</f>
        <v>40.540345</v>
      </c>
      <c r="E209" s="8" t="s">
        <v>311</v>
      </c>
      <c r="F209" s="13">
        <f t="shared" si="4"/>
        <v>4.8983549196019922</v>
      </c>
    </row>
    <row r="210" spans="1:6" x14ac:dyDescent="0.3">
      <c r="A210" s="23" t="s">
        <v>316</v>
      </c>
      <c r="B210" s="8">
        <v>47</v>
      </c>
      <c r="C210" s="8" t="str">
        <f>MID(Table5[[#This Row],[Lugar]],8,9)</f>
        <v>-3.938440</v>
      </c>
      <c r="D210" s="8" t="str">
        <f>MID(Table5[[#This Row],[Lugar]],19,9)</f>
        <v>40.538975</v>
      </c>
      <c r="E210" s="8" t="s">
        <v>311</v>
      </c>
      <c r="F210" s="13">
        <f t="shared" si="4"/>
        <v>4.2397031163779797</v>
      </c>
    </row>
    <row r="211" spans="1:6" x14ac:dyDescent="0.3">
      <c r="A211" s="23" t="s">
        <v>363</v>
      </c>
      <c r="B211" s="8">
        <v>48</v>
      </c>
      <c r="C211" s="8" t="str">
        <f>MID(Table5[[#This Row],[Lugar]],8,9)</f>
        <v>-3.935179</v>
      </c>
      <c r="D211" s="8" t="str">
        <f>MID(Table5[[#This Row],[Lugar]],19,9)</f>
        <v>40.545759</v>
      </c>
      <c r="E211" s="8" t="s">
        <v>311</v>
      </c>
      <c r="F211" s="13">
        <f t="shared" si="4"/>
        <v>4.5339775131157838</v>
      </c>
    </row>
    <row r="212" spans="1:6" x14ac:dyDescent="0.3">
      <c r="A212" s="23" t="s">
        <v>315</v>
      </c>
      <c r="B212" s="8">
        <v>49</v>
      </c>
      <c r="C212" s="8" t="str">
        <f>MID(Table5[[#This Row],[Lugar]],8,9)</f>
        <v>-3.928484</v>
      </c>
      <c r="D212" s="8" t="str">
        <f>MID(Table5[[#This Row],[Lugar]],19,9)</f>
        <v>40.545759</v>
      </c>
      <c r="E212" s="8" t="s">
        <v>311</v>
      </c>
      <c r="F212" s="13">
        <f t="shared" si="4"/>
        <v>4.1638400068499335</v>
      </c>
    </row>
    <row r="213" spans="1:6" x14ac:dyDescent="0.3">
      <c r="A213" s="23" t="s">
        <v>314</v>
      </c>
      <c r="B213" s="8">
        <v>50</v>
      </c>
      <c r="C213" s="8" t="str">
        <f>MID(Table5[[#This Row],[Lugar]],8,9)</f>
        <v>-3.931831</v>
      </c>
      <c r="D213" s="8" t="str">
        <f>MID(Table5[[#This Row],[Lugar]],19,9)</f>
        <v>40.540345</v>
      </c>
      <c r="E213" s="8" t="s">
        <v>311</v>
      </c>
      <c r="F213" s="13">
        <f t="shared" si="4"/>
        <v>3.9087109819008732</v>
      </c>
    </row>
    <row r="214" spans="1:6" x14ac:dyDescent="0.3">
      <c r="A214" s="23" t="s">
        <v>313</v>
      </c>
      <c r="B214" s="8">
        <v>51</v>
      </c>
      <c r="C214" s="8" t="str">
        <f>MID(Table5[[#This Row],[Lugar]],8,9)</f>
        <v>-3.936037</v>
      </c>
      <c r="D214" s="8" t="str">
        <f>MID(Table5[[#This Row],[Lugar]],19,9)</f>
        <v>40.536236</v>
      </c>
      <c r="E214" s="8" t="s">
        <v>311</v>
      </c>
      <c r="F214" s="13">
        <f t="shared" si="4"/>
        <v>3.8970651753472474</v>
      </c>
    </row>
  </sheetData>
  <phoneticPr fontId="8" type="noConversion"/>
  <pageMargins left="0.7" right="0.7" top="0.75" bottom="0.75" header="0.3" footer="0.3"/>
  <pageSetup paperSize="9" orientation="portrait" horizontalDpi="0" verticalDpi="0" r:id="rId1"/>
  <ignoredErrors>
    <ignoredError sqref="D48 D118" formula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828E-62C7-4EE2-BA95-A1CF89F1A8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706B-5EF8-4470-B3E2-CDB06A90405C}">
  <dimension ref="B2:K22"/>
  <sheetViews>
    <sheetView topLeftCell="A16" workbookViewId="0">
      <selection activeCell="H9" sqref="H9"/>
    </sheetView>
  </sheetViews>
  <sheetFormatPr defaultRowHeight="14.4" x14ac:dyDescent="0.3"/>
  <cols>
    <col min="3" max="3" width="5.6640625" customWidth="1"/>
    <col min="4" max="4" width="16.6640625" customWidth="1"/>
    <col min="6" max="6" width="19.21875" customWidth="1"/>
    <col min="8" max="8" width="17.88671875" customWidth="1"/>
    <col min="10" max="10" width="19.5546875" customWidth="1"/>
    <col min="11" max="11" width="12.109375" customWidth="1"/>
  </cols>
  <sheetData>
    <row r="2" spans="4:11" ht="15" thickBot="1" x14ac:dyDescent="0.35">
      <c r="J2" t="s">
        <v>541</v>
      </c>
      <c r="K2" t="s">
        <v>542</v>
      </c>
    </row>
    <row r="3" spans="4:11" ht="15" thickBot="1" x14ac:dyDescent="0.35">
      <c r="D3" s="34">
        <v>400</v>
      </c>
      <c r="E3" s="37"/>
      <c r="F3" s="34">
        <v>400</v>
      </c>
      <c r="G3" s="37"/>
      <c r="H3" s="34">
        <v>400</v>
      </c>
      <c r="J3" s="34">
        <v>70</v>
      </c>
      <c r="K3" s="38">
        <v>13.3</v>
      </c>
    </row>
    <row r="4" spans="4:11" ht="15" thickBot="1" x14ac:dyDescent="0.35">
      <c r="D4" s="35">
        <v>111.857</v>
      </c>
      <c r="E4" s="37"/>
      <c r="F4" s="35">
        <v>164.584</v>
      </c>
      <c r="G4" s="37"/>
      <c r="H4" s="35">
        <v>217.30500000000001</v>
      </c>
      <c r="J4" s="35">
        <v>65</v>
      </c>
      <c r="K4" s="39">
        <v>5.4</v>
      </c>
    </row>
    <row r="5" spans="4:11" ht="15" thickBot="1" x14ac:dyDescent="0.35">
      <c r="D5" s="36">
        <v>28.597999999999999</v>
      </c>
      <c r="E5" s="37"/>
      <c r="F5" s="36">
        <v>42.128</v>
      </c>
      <c r="G5" s="37"/>
      <c r="H5" s="36">
        <v>55.69</v>
      </c>
      <c r="J5" s="36">
        <v>65</v>
      </c>
      <c r="K5" s="40">
        <v>12</v>
      </c>
    </row>
    <row r="6" spans="4:11" ht="15" thickBot="1" x14ac:dyDescent="0.35">
      <c r="D6" s="34">
        <v>2.2069999999999999</v>
      </c>
      <c r="E6" s="37"/>
      <c r="F6" s="34">
        <v>3.2480000000000002</v>
      </c>
      <c r="G6" s="37"/>
      <c r="H6" s="34">
        <v>4.2880000000000003</v>
      </c>
      <c r="J6" s="34">
        <v>50.7</v>
      </c>
      <c r="K6" s="38">
        <v>7.2</v>
      </c>
    </row>
    <row r="7" spans="4:11" ht="15" thickBot="1" x14ac:dyDescent="0.35">
      <c r="D7" s="36">
        <v>2.9</v>
      </c>
      <c r="E7" s="37"/>
      <c r="F7" s="36">
        <v>4.3</v>
      </c>
      <c r="G7" s="37"/>
      <c r="H7" s="36">
        <v>5.75</v>
      </c>
      <c r="J7" s="36">
        <v>77</v>
      </c>
      <c r="K7" s="40">
        <v>12</v>
      </c>
    </row>
    <row r="8" spans="4:11" ht="15" thickBot="1" x14ac:dyDescent="0.35">
      <c r="D8" s="34">
        <v>7.4569999999999999</v>
      </c>
      <c r="E8" s="37"/>
      <c r="F8" s="34">
        <v>10.936</v>
      </c>
      <c r="G8" s="37"/>
      <c r="H8" s="34">
        <v>14.512</v>
      </c>
      <c r="J8" s="34">
        <v>72</v>
      </c>
      <c r="K8" s="38">
        <v>24</v>
      </c>
    </row>
    <row r="9" spans="4:11" ht="15" thickBot="1" x14ac:dyDescent="0.35">
      <c r="D9" s="36">
        <v>50</v>
      </c>
      <c r="E9" s="37"/>
      <c r="F9" s="36">
        <v>50</v>
      </c>
      <c r="G9" s="37"/>
      <c r="H9" s="36">
        <v>50</v>
      </c>
      <c r="J9" s="36">
        <v>27</v>
      </c>
      <c r="K9" s="40">
        <v>12</v>
      </c>
    </row>
    <row r="10" spans="4:11" ht="15" thickBot="1" x14ac:dyDescent="0.35">
      <c r="D10" s="34">
        <v>150</v>
      </c>
      <c r="E10" s="37"/>
      <c r="F10" s="34">
        <v>150</v>
      </c>
      <c r="G10" s="37"/>
      <c r="H10" s="34">
        <v>150</v>
      </c>
      <c r="J10" s="34">
        <v>45</v>
      </c>
      <c r="K10" s="38">
        <v>5</v>
      </c>
    </row>
    <row r="11" spans="4:11" ht="15" thickBot="1" x14ac:dyDescent="0.35">
      <c r="D11" s="36">
        <v>150</v>
      </c>
      <c r="E11" s="37"/>
      <c r="F11" s="36">
        <v>150</v>
      </c>
      <c r="G11" s="37"/>
      <c r="H11" s="36">
        <v>150</v>
      </c>
    </row>
    <row r="12" spans="4:11" ht="15" thickBot="1" x14ac:dyDescent="0.35">
      <c r="D12" s="34">
        <v>40</v>
      </c>
      <c r="E12" s="37"/>
      <c r="F12" s="34">
        <v>40</v>
      </c>
      <c r="G12" s="37"/>
      <c r="H12" s="34">
        <v>40</v>
      </c>
    </row>
    <row r="13" spans="4:11" ht="15" thickBot="1" x14ac:dyDescent="0.35">
      <c r="D13" s="36">
        <v>5</v>
      </c>
      <c r="E13" s="37"/>
      <c r="F13" s="36">
        <v>5</v>
      </c>
      <c r="G13" s="37"/>
      <c r="H13" s="36">
        <v>5</v>
      </c>
    </row>
    <row r="14" spans="4:11" ht="15" thickBot="1" x14ac:dyDescent="0.35">
      <c r="D14" s="34">
        <v>20</v>
      </c>
      <c r="E14" s="37"/>
      <c r="F14" s="34">
        <v>20</v>
      </c>
      <c r="G14" s="37"/>
      <c r="H14" s="34">
        <v>20</v>
      </c>
    </row>
    <row r="15" spans="4:11" ht="15" thickBot="1" x14ac:dyDescent="0.35">
      <c r="D15" s="35">
        <v>200</v>
      </c>
      <c r="E15" s="37"/>
      <c r="F15" s="35">
        <v>200</v>
      </c>
      <c r="G15" s="37"/>
      <c r="H15" s="35">
        <v>200</v>
      </c>
    </row>
    <row r="16" spans="4:11" ht="15" thickBot="1" x14ac:dyDescent="0.35">
      <c r="D16" s="34">
        <v>30</v>
      </c>
      <c r="E16" s="37"/>
      <c r="F16" s="34">
        <v>30</v>
      </c>
      <c r="G16" s="37"/>
      <c r="H16" s="34">
        <v>30</v>
      </c>
    </row>
    <row r="17" spans="2:11" ht="15" thickBot="1" x14ac:dyDescent="0.35">
      <c r="D17" s="35">
        <v>50</v>
      </c>
      <c r="E17" s="37"/>
      <c r="F17" s="35">
        <v>50</v>
      </c>
      <c r="G17" s="37"/>
      <c r="H17" s="35">
        <v>50</v>
      </c>
    </row>
    <row r="18" spans="2:11" x14ac:dyDescent="0.3">
      <c r="D18" s="36">
        <v>5.28</v>
      </c>
      <c r="E18" s="37"/>
      <c r="F18" s="36">
        <v>5.28</v>
      </c>
      <c r="G18" s="37"/>
      <c r="H18" s="36">
        <v>5.28</v>
      </c>
    </row>
    <row r="19" spans="2:11" x14ac:dyDescent="0.3">
      <c r="D19" s="37">
        <f>SUM(D3:D18)</f>
        <v>1253.2989999999998</v>
      </c>
      <c r="F19" s="37">
        <f>SUM(F3:F18)</f>
        <v>1325.4760000000001</v>
      </c>
      <c r="H19" s="37">
        <f>SUM(H3:H18)</f>
        <v>1397.825</v>
      </c>
      <c r="J19" s="37">
        <f>SUM(J3:J13)</f>
        <v>471.7</v>
      </c>
      <c r="K19" s="37">
        <f>SUM(K3:K10)</f>
        <v>90.9</v>
      </c>
    </row>
    <row r="20" spans="2:11" x14ac:dyDescent="0.3">
      <c r="D20" s="37">
        <f>SUM(D4:D14)+D18</f>
        <v>573.29899999999998</v>
      </c>
      <c r="F20" s="37">
        <f>SUM(F4:F14)+F18</f>
        <v>645.476</v>
      </c>
      <c r="H20" s="37">
        <f>SUM(H4:H14)+H18</f>
        <v>717.82500000000005</v>
      </c>
    </row>
    <row r="21" spans="2:11" x14ac:dyDescent="0.3">
      <c r="B21" t="s">
        <v>543</v>
      </c>
      <c r="D21" s="37">
        <f>D19-D20</f>
        <v>679.99999999999977</v>
      </c>
      <c r="F21" s="37">
        <f>F19-F20</f>
        <v>680.00000000000011</v>
      </c>
      <c r="H21" s="37">
        <f>H19-H20</f>
        <v>680</v>
      </c>
    </row>
    <row r="22" spans="2:11" x14ac:dyDescent="0.3">
      <c r="J22" s="41">
        <f>J19+K19</f>
        <v>562.6</v>
      </c>
      <c r="K22" s="41">
        <f>0.15*J22</f>
        <v>84.39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Ecommerce</vt:lpstr>
      <vt:lpstr>Specs. UAVs</vt:lpstr>
      <vt:lpstr>Batteries</vt:lpstr>
      <vt:lpstr>Consumo+Noise</vt:lpstr>
      <vt:lpstr>Types UAVs</vt:lpstr>
      <vt:lpstr>Macro Drones</vt:lpstr>
      <vt:lpstr>Delivery Fees</vt:lpstr>
      <vt:lpstr>Población</vt:lpstr>
      <vt:lpstr>Location Comparison</vt:lpstr>
      <vt:lpstr>Logística - Distancias</vt:lpstr>
      <vt:lpstr>Logística - Distancias (Malo)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Villa Coronado</dc:creator>
  <cp:lastModifiedBy>Kike</cp:lastModifiedBy>
  <dcterms:created xsi:type="dcterms:W3CDTF">2015-06-05T18:17:20Z</dcterms:created>
  <dcterms:modified xsi:type="dcterms:W3CDTF">2023-01-03T17:44:27Z</dcterms:modified>
</cp:coreProperties>
</file>