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3.xml" ContentType="application/vnd.openxmlformats-officedocument.drawingml.chart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[UGM] Gadjah Mada\[TA] Skripsi\[3] Data Pengolahan Curah Hujan\"/>
    </mc:Choice>
  </mc:AlternateContent>
  <xr:revisionPtr revIDLastSave="0" documentId="13_ncr:1_{6E5C68F0-1736-4FB6-8FC1-86FA51E7B942}" xr6:coauthVersionLast="47" xr6:coauthVersionMax="47" xr10:uidLastSave="{00000000-0000-0000-0000-000000000000}"/>
  <bookViews>
    <workbookView xWindow="-96" yWindow="0" windowWidth="11712" windowHeight="13056" tabRatio="778" firstSheet="13" activeTab="13" xr2:uid="{00000000-000D-0000-FFFF-FFFF00000000}"/>
  </bookViews>
  <sheets>
    <sheet name="Data" sheetId="14" state="hidden" r:id="rId1"/>
    <sheet name="JRBM Rainfall 2014" sheetId="17" state="hidden" r:id="rId2"/>
    <sheet name="JRBM Rainfall 2015-2017" sheetId="21" state="hidden" r:id="rId3"/>
    <sheet name="JRBM Rainfall 2018-May 2022" sheetId="16" state="hidden" r:id="rId4"/>
    <sheet name="JRBM Rainfal June 2022-Oct 2023" sheetId="18" state="hidden" r:id="rId5"/>
    <sheet name="2024" sheetId="45" state="hidden" r:id="rId6"/>
    <sheet name="Rainfall 1 Days (24 Hours)" sheetId="20" r:id="rId7"/>
    <sheet name="Rainfall - Summary - Bakan" sheetId="19" r:id="rId8"/>
    <sheet name="Rainfall Max" sheetId="1" r:id="rId9"/>
    <sheet name="Analisis Frekuensi" sheetId="13" r:id="rId10"/>
    <sheet name="Tabel Ktr Normal" sheetId="2" r:id="rId11"/>
    <sheet name="Tabel Alfa Chi Square" sheetId="12" r:id="rId12"/>
    <sheet name="Tabel Do Smirnov-Kolmogorov" sheetId="15" r:id="rId13"/>
    <sheet name="RTr Normal" sheetId="3" r:id="rId14"/>
    <sheet name="RTr Log Normal" sheetId="4" r:id="rId15"/>
    <sheet name="Tabel Yn &amp; Sn Gumbel" sheetId="5" r:id="rId16"/>
    <sheet name="RTr Gumbel" sheetId="6" r:id="rId17"/>
    <sheet name="Tabel KTr Pearson" sheetId="7" r:id="rId18"/>
    <sheet name="Z_SCORE" sheetId="47" r:id="rId19"/>
    <sheet name="RTr Pearson Type III" sheetId="8" r:id="rId20"/>
    <sheet name="RTr Log Pearson Type III" sheetId="9" r:id="rId21"/>
    <sheet name="Resume RTr" sheetId="10" r:id="rId22"/>
    <sheet name="Sheet1" sheetId="46" r:id="rId23"/>
    <sheet name="Uji Cocok" sheetId="11" r:id="rId24"/>
    <sheet name="Gumbell 2 th" sheetId="25" state="hidden" r:id="rId25"/>
    <sheet name="Gumbell 5 th" sheetId="24" state="hidden" r:id="rId26"/>
    <sheet name="Gumbell 10 th" sheetId="23" state="hidden" r:id="rId27"/>
    <sheet name="Gumbell 25 th" sheetId="22" state="hidden" r:id="rId28"/>
    <sheet name="Summary Intensity (I)" sheetId="26" state="hidden" r:id="rId29"/>
    <sheet name="Runoff Coeff. (C)" sheetId="27" state="hidden" r:id="rId30"/>
    <sheet name="Catchment Area (A)" sheetId="28" state="hidden" r:id="rId31"/>
    <sheet name="Ditch Geometry Reference" sheetId="29" state="hidden" r:id="rId32"/>
    <sheet name="Ditch Calculation" sheetId="30" state="hidden" r:id="rId33"/>
    <sheet name="Summary Ditch" sheetId="33" state="hidden" r:id="rId34"/>
    <sheet name="Culvert" sheetId="31" state="hidden" r:id="rId35"/>
    <sheet name="Culvert (2)" sheetId="32" state="hidden" r:id="rId36"/>
    <sheet name="Kapasitas Pond CH Mrs Nancy" sheetId="34" state="hidden" r:id="rId37"/>
    <sheet name="Kapasitas Pond 84 Jam DRN-MR" sheetId="41" state="hidden" r:id="rId38"/>
    <sheet name="Kapasitas Pond 84 Jam" sheetId="40" state="hidden" r:id="rId39"/>
    <sheet name="Rencana Pompa" sheetId="36" state="hidden" r:id="rId40"/>
    <sheet name="Curve of Pump" sheetId="38" state="hidden" r:id="rId41"/>
    <sheet name="Penjadwalan Pemompaan" sheetId="39" state="hidden" r:id="rId42"/>
    <sheet name="Kapasitas Pompa" sheetId="37" state="hidden" r:id="rId43"/>
    <sheet name="Underdrain East SHLP02" sheetId="42" state="hidden" r:id="rId44"/>
    <sheet name="Culvert_IPD_Durian" sheetId="43" state="hidden" r:id="rId45"/>
    <sheet name="Runoff Discharge to SP" sheetId="35" state="hidden" r:id="rId46"/>
  </sheets>
  <externalReferences>
    <externalReference r:id="rId47"/>
    <externalReference r:id="rId48"/>
    <externalReference r:id="rId49"/>
  </externalReferences>
  <definedNames>
    <definedName name="data" localSheetId="12">'Tabel Do Smirnov-Kolmogorov'!#REF!</definedName>
    <definedName name="data_1" localSheetId="12">'Tabel Do Smirnov-Kolmogorov'!$B$4:$F$52</definedName>
    <definedName name="_xlnm.Print_Area" localSheetId="13">'RTr Normal'!$B$3:$AE$35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9" i="6" l="1"/>
  <c r="U30" i="9"/>
  <c r="U31" i="9"/>
  <c r="U32" i="9"/>
  <c r="U33" i="9"/>
  <c r="U34" i="9"/>
  <c r="U35" i="9"/>
  <c r="U36" i="9"/>
  <c r="U37" i="9"/>
  <c r="U38" i="9"/>
  <c r="U39" i="9"/>
  <c r="U29" i="9"/>
  <c r="S39" i="9"/>
  <c r="S38" i="9"/>
  <c r="S37" i="9"/>
  <c r="S36" i="9"/>
  <c r="S35" i="9"/>
  <c r="S34" i="9"/>
  <c r="S33" i="9"/>
  <c r="S32" i="9"/>
  <c r="S31" i="9"/>
  <c r="S30" i="9"/>
  <c r="S29" i="9"/>
  <c r="R30" i="9"/>
  <c r="R31" i="9"/>
  <c r="R32" i="9"/>
  <c r="R33" i="9"/>
  <c r="R34" i="9"/>
  <c r="R35" i="9"/>
  <c r="R36" i="9"/>
  <c r="R37" i="9"/>
  <c r="R38" i="9"/>
  <c r="R39" i="9"/>
  <c r="R29" i="9"/>
  <c r="R30" i="3" l="1"/>
  <c r="R31" i="3"/>
  <c r="R32" i="3"/>
  <c r="R33" i="3"/>
  <c r="R34" i="3"/>
  <c r="R35" i="3"/>
  <c r="R36" i="3"/>
  <c r="R37" i="3"/>
  <c r="R38" i="3"/>
  <c r="R39" i="3"/>
  <c r="R29" i="3"/>
  <c r="N30" i="3"/>
  <c r="N31" i="3"/>
  <c r="N32" i="3"/>
  <c r="N33" i="3"/>
  <c r="N34" i="3"/>
  <c r="N35" i="3"/>
  <c r="N36" i="3"/>
  <c r="N37" i="3"/>
  <c r="N38" i="3"/>
  <c r="N39" i="3"/>
  <c r="N29" i="3"/>
  <c r="P39" i="3"/>
  <c r="P38" i="3"/>
  <c r="P37" i="3"/>
  <c r="P36" i="3"/>
  <c r="P35" i="3"/>
  <c r="P34" i="3"/>
  <c r="P33" i="3"/>
  <c r="P32" i="3"/>
  <c r="P31" i="3"/>
  <c r="P30" i="3"/>
  <c r="P29" i="3"/>
  <c r="O30" i="3"/>
  <c r="O31" i="3"/>
  <c r="O32" i="3"/>
  <c r="O33" i="3"/>
  <c r="O34" i="3"/>
  <c r="O35" i="3"/>
  <c r="O36" i="3"/>
  <c r="O37" i="3"/>
  <c r="O38" i="3"/>
  <c r="O39" i="3"/>
  <c r="AE84" i="9"/>
  <c r="AE85" i="9"/>
  <c r="AE86" i="9"/>
  <c r="AE87" i="9"/>
  <c r="AD84" i="9"/>
  <c r="AD85" i="9"/>
  <c r="AD86" i="9"/>
  <c r="AD87" i="9"/>
  <c r="AC87" i="9"/>
  <c r="AC83" i="9"/>
  <c r="AC35" i="9"/>
  <c r="Y68" i="4"/>
  <c r="Y67" i="4"/>
  <c r="Y66" i="4"/>
  <c r="Y65" i="4"/>
  <c r="Y64" i="4"/>
  <c r="AA87" i="9"/>
  <c r="AA86" i="9"/>
  <c r="AA85" i="9"/>
  <c r="AA84" i="9"/>
  <c r="AA83" i="9"/>
  <c r="Z85" i="9"/>
  <c r="Z86" i="9"/>
  <c r="Z87" i="9"/>
  <c r="Z84" i="9"/>
  <c r="Y84" i="9"/>
  <c r="Y85" i="9"/>
  <c r="Y86" i="9"/>
  <c r="Y83" i="9"/>
  <c r="AB73" i="9"/>
  <c r="AB74" i="9"/>
  <c r="AB75" i="9"/>
  <c r="AB72" i="9"/>
  <c r="AA75" i="9"/>
  <c r="AA74" i="9"/>
  <c r="T87" i="7"/>
  <c r="V87" i="7"/>
  <c r="AA72" i="9" s="1"/>
  <c r="W87" i="7"/>
  <c r="X87" i="7"/>
  <c r="Y87" i="7"/>
  <c r="Z87" i="7"/>
  <c r="AA87" i="7"/>
  <c r="AB87" i="7"/>
  <c r="U87" i="7"/>
  <c r="AA73" i="9" s="1"/>
  <c r="Z73" i="9"/>
  <c r="Z74" i="9"/>
  <c r="Z75" i="9"/>
  <c r="Z72" i="9"/>
  <c r="Y73" i="9"/>
  <c r="Y74" i="9"/>
  <c r="Y75" i="9"/>
  <c r="Y72" i="9"/>
  <c r="AB87" i="9"/>
  <c r="AB86" i="9"/>
  <c r="AB85" i="9"/>
  <c r="AB84" i="9"/>
  <c r="AB83" i="9"/>
  <c r="Z94" i="8"/>
  <c r="Z91" i="8"/>
  <c r="Z90" i="8"/>
  <c r="Z89" i="8"/>
  <c r="Z88" i="8"/>
  <c r="Z87" i="8"/>
  <c r="Y83" i="8"/>
  <c r="AC82" i="8"/>
  <c r="AC83" i="8" s="1"/>
  <c r="W87" i="8" s="1"/>
  <c r="Y82" i="8"/>
  <c r="Y84" i="8" s="1"/>
  <c r="AC81" i="8"/>
  <c r="Y81" i="8"/>
  <c r="AA64" i="4"/>
  <c r="X50" i="3"/>
  <c r="Y49" i="4"/>
  <c r="Z49" i="4" s="1"/>
  <c r="W65" i="4" s="1"/>
  <c r="X66" i="4" s="1"/>
  <c r="Y51" i="4"/>
  <c r="Y63" i="6"/>
  <c r="X64" i="3"/>
  <c r="X65" i="4"/>
  <c r="W64" i="4"/>
  <c r="W66" i="3"/>
  <c r="W67" i="3"/>
  <c r="W68" i="3"/>
  <c r="X68" i="3" s="1"/>
  <c r="V65" i="3"/>
  <c r="V66" i="3"/>
  <c r="X67" i="3" s="1"/>
  <c r="V67" i="3"/>
  <c r="W65" i="3"/>
  <c r="V64" i="3"/>
  <c r="Z51" i="4"/>
  <c r="W67" i="4" s="1"/>
  <c r="X68" i="4" s="1"/>
  <c r="Z48" i="4"/>
  <c r="Y48" i="4"/>
  <c r="Z64" i="3"/>
  <c r="AA67" i="6"/>
  <c r="X66" i="6"/>
  <c r="X65" i="6"/>
  <c r="X64" i="6"/>
  <c r="Y67" i="6"/>
  <c r="X67" i="6"/>
  <c r="Y66" i="6"/>
  <c r="Y65" i="6"/>
  <c r="Y64" i="6"/>
  <c r="AA63" i="6"/>
  <c r="W66" i="6"/>
  <c r="W65" i="6"/>
  <c r="W64" i="6"/>
  <c r="W63" i="6"/>
  <c r="AA49" i="6"/>
  <c r="AA50" i="6"/>
  <c r="AA51" i="6"/>
  <c r="AA48" i="6"/>
  <c r="Z49" i="6"/>
  <c r="Z50" i="6"/>
  <c r="Z51" i="6"/>
  <c r="Z48" i="6"/>
  <c r="G28" i="6"/>
  <c r="G27" i="6"/>
  <c r="Y49" i="6"/>
  <c r="Y50" i="6"/>
  <c r="Y51" i="6"/>
  <c r="Y48" i="6"/>
  <c r="X49" i="6"/>
  <c r="X50" i="6"/>
  <c r="X51" i="6"/>
  <c r="X48" i="6"/>
  <c r="W49" i="6"/>
  <c r="W50" i="6"/>
  <c r="W51" i="6"/>
  <c r="W48" i="6"/>
  <c r="X49" i="3"/>
  <c r="Y49" i="3" s="1"/>
  <c r="AB50" i="3" s="1"/>
  <c r="X48" i="3"/>
  <c r="Z68" i="3"/>
  <c r="Y65" i="3"/>
  <c r="Y66" i="3"/>
  <c r="Y67" i="3"/>
  <c r="Y68" i="3"/>
  <c r="Y64" i="3"/>
  <c r="Y71" i="3" s="1"/>
  <c r="Z50" i="3"/>
  <c r="Z51" i="3"/>
  <c r="Y51" i="3"/>
  <c r="Y48" i="3"/>
  <c r="AB49" i="3" s="1"/>
  <c r="X51" i="3"/>
  <c r="X49" i="4"/>
  <c r="X50" i="4"/>
  <c r="X51" i="4"/>
  <c r="X48" i="4"/>
  <c r="W49" i="4"/>
  <c r="W50" i="4"/>
  <c r="W51" i="4"/>
  <c r="W48" i="4"/>
  <c r="Z71" i="4"/>
  <c r="Z68" i="4"/>
  <c r="Z67" i="4"/>
  <c r="Z66" i="4"/>
  <c r="Z65" i="4"/>
  <c r="Z64" i="4"/>
  <c r="Z36" i="3"/>
  <c r="P7" i="3"/>
  <c r="N17" i="3"/>
  <c r="N16" i="3"/>
  <c r="N15" i="3"/>
  <c r="N14" i="3"/>
  <c r="N13" i="3"/>
  <c r="N12" i="3"/>
  <c r="N11" i="3"/>
  <c r="N10" i="3"/>
  <c r="N9" i="3"/>
  <c r="N8" i="3"/>
  <c r="N7" i="3"/>
  <c r="V16" i="3"/>
  <c r="AA30" i="9"/>
  <c r="AD83" i="9" l="1"/>
  <c r="AE83" i="9" s="1"/>
  <c r="AB90" i="9"/>
  <c r="X87" i="8"/>
  <c r="W88" i="8" s="1"/>
  <c r="AC84" i="8"/>
  <c r="AA68" i="4"/>
  <c r="AB68" i="4" s="1"/>
  <c r="AC68" i="4" s="1"/>
  <c r="Z49" i="3"/>
  <c r="X66" i="3" s="1"/>
  <c r="AB52" i="3"/>
  <c r="AB48" i="3"/>
  <c r="AB64" i="4"/>
  <c r="AC64" i="4" s="1"/>
  <c r="AA87" i="8" l="1"/>
  <c r="Y87" i="8"/>
  <c r="X88" i="8"/>
  <c r="W89" i="8" s="1"/>
  <c r="AA65" i="4"/>
  <c r="AB65" i="4" s="1"/>
  <c r="AC65" i="4" s="1"/>
  <c r="AC84" i="9" l="1"/>
  <c r="Y88" i="8"/>
  <c r="AA88" i="8"/>
  <c r="AB88" i="8" s="1"/>
  <c r="AC88" i="8" s="1"/>
  <c r="X89" i="8"/>
  <c r="W90" i="8" s="1"/>
  <c r="AA89" i="8"/>
  <c r="AB89" i="8" s="1"/>
  <c r="AC89" i="8" s="1"/>
  <c r="Y89" i="8"/>
  <c r="AB87" i="8"/>
  <c r="AC87" i="8" s="1"/>
  <c r="X65" i="3"/>
  <c r="AA64" i="3"/>
  <c r="AB64" i="3" s="1"/>
  <c r="Z65" i="3"/>
  <c r="AC86" i="9" l="1"/>
  <c r="AC85" i="9"/>
  <c r="AA90" i="8"/>
  <c r="AB90" i="8" s="1"/>
  <c r="AC90" i="8" s="1"/>
  <c r="Y90" i="8"/>
  <c r="X90" i="8"/>
  <c r="W91" i="8" s="1"/>
  <c r="AA65" i="3"/>
  <c r="AB65" i="3" s="1"/>
  <c r="Z66" i="3"/>
  <c r="AA66" i="3" s="1"/>
  <c r="AB66" i="3" s="1"/>
  <c r="X91" i="8" l="1"/>
  <c r="AA91" i="8" s="1"/>
  <c r="Z67" i="3"/>
  <c r="AA67" i="3" s="1"/>
  <c r="AB67" i="3" s="1"/>
  <c r="AE90" i="9" l="1"/>
  <c r="AC90" i="9"/>
  <c r="AB91" i="8"/>
  <c r="AC91" i="8" s="1"/>
  <c r="AC94" i="8" s="1"/>
  <c r="AA94" i="8"/>
  <c r="Y91" i="8"/>
  <c r="AA68" i="3"/>
  <c r="AB68" i="3" s="1"/>
  <c r="AB71" i="3" s="1"/>
  <c r="Z71" i="3" l="1"/>
  <c r="E23" i="13" l="1"/>
  <c r="F7" i="3"/>
  <c r="E6" i="13"/>
  <c r="E7" i="13"/>
  <c r="E8" i="13"/>
  <c r="E9" i="13"/>
  <c r="E10" i="13"/>
  <c r="E11" i="13"/>
  <c r="E12" i="13"/>
  <c r="E13" i="13"/>
  <c r="E14" i="13"/>
  <c r="E15" i="13"/>
  <c r="E5" i="13"/>
  <c r="Q30" i="4"/>
  <c r="Q31" i="4"/>
  <c r="Q32" i="4"/>
  <c r="Q33" i="4"/>
  <c r="R33" i="4" s="1"/>
  <c r="S33" i="4" s="1"/>
  <c r="Q34" i="4"/>
  <c r="Q35" i="4"/>
  <c r="R35" i="4" s="1"/>
  <c r="S35" i="4" s="1"/>
  <c r="Q36" i="4"/>
  <c r="Q37" i="4"/>
  <c r="R37" i="4" s="1"/>
  <c r="Q38" i="4"/>
  <c r="R38" i="4" s="1"/>
  <c r="S38" i="4" s="1"/>
  <c r="Q39" i="4"/>
  <c r="R39" i="4" s="1"/>
  <c r="S39" i="4" s="1"/>
  <c r="Q29" i="4"/>
  <c r="R34" i="4"/>
  <c r="S34" i="4" s="1"/>
  <c r="R36" i="4"/>
  <c r="S36" i="4" s="1"/>
  <c r="R32" i="4"/>
  <c r="S32" i="4" s="1"/>
  <c r="R30" i="4"/>
  <c r="S30" i="4" s="1"/>
  <c r="R31" i="4"/>
  <c r="S31" i="4" s="1"/>
  <c r="M37" i="4"/>
  <c r="P30" i="4"/>
  <c r="P31" i="4"/>
  <c r="P32" i="4"/>
  <c r="P33" i="4"/>
  <c r="P34" i="4"/>
  <c r="P35" i="4"/>
  <c r="P36" i="4"/>
  <c r="P37" i="4"/>
  <c r="P38" i="4"/>
  <c r="P39" i="4"/>
  <c r="N30" i="4"/>
  <c r="N31" i="4"/>
  <c r="N32" i="4"/>
  <c r="N33" i="4"/>
  <c r="N34" i="4"/>
  <c r="N35" i="4"/>
  <c r="N36" i="4"/>
  <c r="N37" i="4"/>
  <c r="N38" i="4"/>
  <c r="N39" i="4"/>
  <c r="M39" i="4"/>
  <c r="O39" i="4" s="1"/>
  <c r="L39" i="3"/>
  <c r="T30" i="9"/>
  <c r="T31" i="9"/>
  <c r="T32" i="9"/>
  <c r="T33" i="9"/>
  <c r="T34" i="9"/>
  <c r="T35" i="9"/>
  <c r="T36" i="9"/>
  <c r="T37" i="9"/>
  <c r="T38" i="9"/>
  <c r="T39" i="9"/>
  <c r="P30" i="9"/>
  <c r="P31" i="9"/>
  <c r="P32" i="9"/>
  <c r="P33" i="9"/>
  <c r="P34" i="9"/>
  <c r="P35" i="9"/>
  <c r="P36" i="9"/>
  <c r="P37" i="9"/>
  <c r="P38" i="9"/>
  <c r="P39" i="9"/>
  <c r="O39" i="9"/>
  <c r="Q39" i="9"/>
  <c r="X30" i="3"/>
  <c r="AA29" i="9"/>
  <c r="Y29" i="8"/>
  <c r="E31" i="6" l="1"/>
  <c r="N8" i="9"/>
  <c r="N9" i="9"/>
  <c r="N10" i="9"/>
  <c r="N11" i="9"/>
  <c r="N12" i="9"/>
  <c r="N13" i="9"/>
  <c r="N14" i="9"/>
  <c r="N15" i="9"/>
  <c r="N16" i="9"/>
  <c r="N17" i="9"/>
  <c r="L8" i="8"/>
  <c r="L9" i="8"/>
  <c r="L10" i="8"/>
  <c r="L11" i="8"/>
  <c r="L12" i="8"/>
  <c r="L13" i="8"/>
  <c r="L14" i="8"/>
  <c r="L15" i="8"/>
  <c r="L16" i="8"/>
  <c r="L17" i="8"/>
  <c r="V8" i="6"/>
  <c r="V9" i="6"/>
  <c r="V10" i="6"/>
  <c r="V11" i="6"/>
  <c r="V12" i="6"/>
  <c r="V13" i="6"/>
  <c r="V14" i="6"/>
  <c r="V15" i="6"/>
  <c r="V16" i="6"/>
  <c r="V17" i="6"/>
  <c r="V9" i="4"/>
  <c r="V10" i="4"/>
  <c r="V12" i="4"/>
  <c r="V13" i="4"/>
  <c r="V16" i="4"/>
  <c r="L8" i="4"/>
  <c r="L9" i="4"/>
  <c r="L10" i="4"/>
  <c r="L11" i="4"/>
  <c r="L12" i="4"/>
  <c r="L13" i="4"/>
  <c r="O13" i="4"/>
  <c r="Y13" i="4" s="1"/>
  <c r="L14" i="4"/>
  <c r="L15" i="4"/>
  <c r="L16" i="4"/>
  <c r="L17" i="4"/>
  <c r="V17" i="4" s="1"/>
  <c r="O17" i="4"/>
  <c r="Y17" i="4" s="1"/>
  <c r="U8" i="3"/>
  <c r="U9" i="3"/>
  <c r="U10" i="3"/>
  <c r="U11" i="3"/>
  <c r="U12" i="3"/>
  <c r="U13" i="3"/>
  <c r="U14" i="3"/>
  <c r="U15" i="3"/>
  <c r="U16" i="3"/>
  <c r="U17" i="3"/>
  <c r="X13" i="3"/>
  <c r="X17" i="3"/>
  <c r="V4" i="1"/>
  <c r="R4" i="1"/>
  <c r="S6" i="19"/>
  <c r="C4" i="1" s="1"/>
  <c r="B36" i="20"/>
  <c r="K7" i="19"/>
  <c r="A414" i="20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2" i="18"/>
  <c r="N4" i="21"/>
  <c r="J42" i="43"/>
  <c r="J41" i="43"/>
  <c r="J50" i="43"/>
  <c r="J51" i="43" s="1"/>
  <c r="J44" i="43"/>
  <c r="C39" i="43"/>
  <c r="C41" i="43" s="1"/>
  <c r="F40" i="43"/>
  <c r="C37" i="43" s="1"/>
  <c r="F29" i="43"/>
  <c r="C13" i="43"/>
  <c r="F13" i="43" s="1"/>
  <c r="E29" i="43" s="1"/>
  <c r="C45" i="43"/>
  <c r="B34" i="43"/>
  <c r="H24" i="43"/>
  <c r="G24" i="43"/>
  <c r="C8" i="43"/>
  <c r="F24" i="43" s="1"/>
  <c r="C62" i="42"/>
  <c r="I55" i="42"/>
  <c r="C48" i="42"/>
  <c r="C42" i="42"/>
  <c r="F56" i="42"/>
  <c r="F59" i="42" s="1"/>
  <c r="C54" i="42" s="1"/>
  <c r="B51" i="42"/>
  <c r="C56" i="42"/>
  <c r="C59" i="42" s="1"/>
  <c r="F32" i="42"/>
  <c r="F31" i="42"/>
  <c r="C13" i="42"/>
  <c r="F13" i="42" s="1"/>
  <c r="E31" i="42" s="1"/>
  <c r="C14" i="42"/>
  <c r="F14" i="42" s="1"/>
  <c r="E32" i="42" s="1"/>
  <c r="O9" i="4" l="1"/>
  <c r="X9" i="3"/>
  <c r="V15" i="4"/>
  <c r="D7" i="6"/>
  <c r="D7" i="3"/>
  <c r="C5" i="13"/>
  <c r="D7" i="9"/>
  <c r="D7" i="8"/>
  <c r="V8" i="4"/>
  <c r="V11" i="4"/>
  <c r="J45" i="43"/>
  <c r="J53" i="43" s="1"/>
  <c r="J54" i="43" s="1"/>
  <c r="V14" i="4"/>
  <c r="D36" i="20"/>
  <c r="U6" i="19" s="1"/>
  <c r="E4" i="1" s="1"/>
  <c r="C36" i="20"/>
  <c r="T6" i="19" s="1"/>
  <c r="D4" i="1" s="1"/>
  <c r="O4" i="1" s="1"/>
  <c r="S4" i="1" s="1"/>
  <c r="W4" i="1" s="1"/>
  <c r="G36" i="20"/>
  <c r="X6" i="19" s="1"/>
  <c r="H4" i="1" s="1"/>
  <c r="F36" i="20"/>
  <c r="W6" i="19" s="1"/>
  <c r="G4" i="1" s="1"/>
  <c r="E36" i="20"/>
  <c r="V6" i="19" s="1"/>
  <c r="F4" i="1" s="1"/>
  <c r="M405" i="20"/>
  <c r="H446" i="20"/>
  <c r="I446" i="20"/>
  <c r="K445" i="20"/>
  <c r="J446" i="20"/>
  <c r="B445" i="20"/>
  <c r="L445" i="20"/>
  <c r="C445" i="20"/>
  <c r="E446" i="20"/>
  <c r="F446" i="20"/>
  <c r="G446" i="20"/>
  <c r="J445" i="20"/>
  <c r="M36" i="20"/>
  <c r="AD6" i="19" s="1"/>
  <c r="N4" i="1" s="1"/>
  <c r="L36" i="20"/>
  <c r="AC6" i="19" s="1"/>
  <c r="M4" i="1" s="1"/>
  <c r="K446" i="20"/>
  <c r="K36" i="20"/>
  <c r="AB6" i="19" s="1"/>
  <c r="L4" i="1" s="1"/>
  <c r="L405" i="20"/>
  <c r="E445" i="20"/>
  <c r="L446" i="20"/>
  <c r="M446" i="20"/>
  <c r="J36" i="20"/>
  <c r="AA6" i="19" s="1"/>
  <c r="K4" i="1" s="1"/>
  <c r="B446" i="20"/>
  <c r="D446" i="20"/>
  <c r="I36" i="20"/>
  <c r="Z6" i="19" s="1"/>
  <c r="J4" i="1" s="1"/>
  <c r="F445" i="20"/>
  <c r="H36" i="20"/>
  <c r="Y6" i="19" s="1"/>
  <c r="I4" i="1" s="1"/>
  <c r="D445" i="20"/>
  <c r="M445" i="20"/>
  <c r="C446" i="20"/>
  <c r="G445" i="20"/>
  <c r="H445" i="20"/>
  <c r="L404" i="20"/>
  <c r="I445" i="20"/>
  <c r="M404" i="20"/>
  <c r="M444" i="20"/>
  <c r="G444" i="20"/>
  <c r="X16" i="19" s="1"/>
  <c r="H14" i="1" s="1"/>
  <c r="B444" i="20"/>
  <c r="S16" i="19" s="1"/>
  <c r="C14" i="1" s="1"/>
  <c r="H444" i="20"/>
  <c r="Y16" i="19" s="1"/>
  <c r="I14" i="1" s="1"/>
  <c r="I444" i="20"/>
  <c r="Z16" i="19" s="1"/>
  <c r="J14" i="1" s="1"/>
  <c r="C444" i="20"/>
  <c r="T16" i="19" s="1"/>
  <c r="D14" i="1" s="1"/>
  <c r="D444" i="20"/>
  <c r="U16" i="19" s="1"/>
  <c r="E14" i="1" s="1"/>
  <c r="J444" i="20"/>
  <c r="AA16" i="19" s="1"/>
  <c r="K14" i="1" s="1"/>
  <c r="E444" i="20"/>
  <c r="V16" i="19" s="1"/>
  <c r="F14" i="1" s="1"/>
  <c r="K444" i="20"/>
  <c r="AB16" i="19" s="1"/>
  <c r="L14" i="1" s="1"/>
  <c r="F444" i="20"/>
  <c r="W16" i="19" s="1"/>
  <c r="G14" i="1" s="1"/>
  <c r="L444" i="20"/>
  <c r="AC16" i="19" s="1"/>
  <c r="M14" i="1" s="1"/>
  <c r="D29" i="43"/>
  <c r="C42" i="43"/>
  <c r="C43" i="43" s="1"/>
  <c r="C46" i="43" s="1"/>
  <c r="G29" i="43"/>
  <c r="C58" i="42"/>
  <c r="C60" i="42" s="1"/>
  <c r="C63" i="42" s="1"/>
  <c r="F7" i="8" l="1"/>
  <c r="F7" i="9"/>
  <c r="F7" i="6"/>
  <c r="F7" i="4"/>
  <c r="Y9" i="4"/>
  <c r="G447" i="20"/>
  <c r="H16" i="19" s="1"/>
  <c r="K447" i="20"/>
  <c r="L16" i="19" s="1"/>
  <c r="I447" i="20"/>
  <c r="J16" i="19" s="1"/>
  <c r="L447" i="20"/>
  <c r="M16" i="19" s="1"/>
  <c r="E447" i="20"/>
  <c r="F16" i="19" s="1"/>
  <c r="AF6" i="19"/>
  <c r="AE6" i="19"/>
  <c r="K39" i="20"/>
  <c r="K38" i="20"/>
  <c r="K37" i="20"/>
  <c r="D39" i="20"/>
  <c r="D38" i="20"/>
  <c r="D37" i="20"/>
  <c r="E37" i="20"/>
  <c r="E39" i="20"/>
  <c r="E38" i="20"/>
  <c r="J39" i="20"/>
  <c r="J38" i="20"/>
  <c r="J37" i="20"/>
  <c r="L39" i="20"/>
  <c r="L38" i="20"/>
  <c r="L37" i="20"/>
  <c r="B39" i="20"/>
  <c r="B38" i="20"/>
  <c r="B37" i="20"/>
  <c r="F39" i="20"/>
  <c r="F38" i="20"/>
  <c r="F37" i="20"/>
  <c r="I39" i="20"/>
  <c r="I38" i="20"/>
  <c r="I37" i="20"/>
  <c r="H39" i="20"/>
  <c r="H38" i="20"/>
  <c r="H37" i="20"/>
  <c r="M39" i="20"/>
  <c r="M38" i="20"/>
  <c r="M37" i="20"/>
  <c r="G39" i="20"/>
  <c r="G38" i="20"/>
  <c r="G37" i="20"/>
  <c r="C39" i="20"/>
  <c r="C38" i="20"/>
  <c r="C37" i="20"/>
  <c r="M406" i="20"/>
  <c r="N15" i="19" s="1"/>
  <c r="H447" i="20"/>
  <c r="I16" i="19" s="1"/>
  <c r="D447" i="20"/>
  <c r="E16" i="19" s="1"/>
  <c r="F447" i="20"/>
  <c r="G16" i="19" s="1"/>
  <c r="B447" i="20"/>
  <c r="C16" i="19" s="1"/>
  <c r="J447" i="20"/>
  <c r="K16" i="19" s="1"/>
  <c r="L406" i="20"/>
  <c r="M15" i="19" s="1"/>
  <c r="C447" i="20"/>
  <c r="D16" i="19" s="1"/>
  <c r="M447" i="20"/>
  <c r="N16" i="19" s="1"/>
  <c r="AD16" i="19"/>
  <c r="C27" i="37"/>
  <c r="C44" i="42"/>
  <c r="B37" i="42"/>
  <c r="F42" i="42"/>
  <c r="AE16" i="19" l="1"/>
  <c r="N14" i="1"/>
  <c r="G40" i="20"/>
  <c r="I40" i="20"/>
  <c r="E40" i="20"/>
  <c r="F40" i="20"/>
  <c r="B40" i="20"/>
  <c r="D40" i="20"/>
  <c r="M40" i="20"/>
  <c r="H40" i="20"/>
  <c r="L40" i="20"/>
  <c r="K40" i="20"/>
  <c r="C40" i="20"/>
  <c r="O16" i="19"/>
  <c r="AF16" i="19"/>
  <c r="F45" i="42"/>
  <c r="C40" i="42" s="1"/>
  <c r="C45" i="42"/>
  <c r="C46" i="42" s="1"/>
  <c r="G26" i="42"/>
  <c r="C49" i="42" l="1"/>
  <c r="C8" i="42"/>
  <c r="C1101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B117" i="20" s="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D119" i="20" s="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17" i="21"/>
  <c r="N718" i="21"/>
  <c r="N719" i="21"/>
  <c r="N720" i="21"/>
  <c r="N721" i="21"/>
  <c r="N722" i="21"/>
  <c r="N723" i="21"/>
  <c r="N724" i="21"/>
  <c r="N725" i="21"/>
  <c r="N726" i="21"/>
  <c r="N727" i="21"/>
  <c r="N728" i="21"/>
  <c r="N729" i="21"/>
  <c r="N730" i="21"/>
  <c r="N731" i="21"/>
  <c r="N732" i="21"/>
  <c r="N733" i="21"/>
  <c r="N734" i="21"/>
  <c r="N735" i="21"/>
  <c r="N736" i="21"/>
  <c r="N737" i="21"/>
  <c r="N738" i="21"/>
  <c r="N739" i="21"/>
  <c r="N740" i="21"/>
  <c r="N741" i="21"/>
  <c r="N742" i="21"/>
  <c r="N743" i="21"/>
  <c r="N744" i="21"/>
  <c r="N745" i="21"/>
  <c r="N746" i="21"/>
  <c r="N747" i="21"/>
  <c r="N748" i="21"/>
  <c r="N749" i="21"/>
  <c r="N750" i="21"/>
  <c r="N751" i="21"/>
  <c r="N752" i="21"/>
  <c r="N753" i="21"/>
  <c r="N754" i="21"/>
  <c r="N755" i="21"/>
  <c r="N756" i="21"/>
  <c r="N757" i="21"/>
  <c r="N758" i="21"/>
  <c r="N759" i="21"/>
  <c r="N760" i="21"/>
  <c r="N761" i="21"/>
  <c r="N762" i="21"/>
  <c r="N763" i="21"/>
  <c r="N764" i="21"/>
  <c r="N765" i="21"/>
  <c r="N766" i="21"/>
  <c r="N767" i="21"/>
  <c r="N768" i="21"/>
  <c r="N769" i="21"/>
  <c r="N770" i="21"/>
  <c r="N771" i="21"/>
  <c r="N772" i="21"/>
  <c r="N773" i="21"/>
  <c r="N774" i="21"/>
  <c r="N775" i="21"/>
  <c r="N776" i="21"/>
  <c r="N777" i="21"/>
  <c r="N778" i="21"/>
  <c r="N779" i="21"/>
  <c r="N780" i="21"/>
  <c r="N781" i="21"/>
  <c r="N782" i="21"/>
  <c r="N783" i="21"/>
  <c r="N784" i="21"/>
  <c r="N785" i="21"/>
  <c r="N786" i="21"/>
  <c r="N787" i="21"/>
  <c r="N788" i="21"/>
  <c r="N789" i="21"/>
  <c r="N790" i="21"/>
  <c r="N791" i="21"/>
  <c r="N792" i="21"/>
  <c r="N793" i="21"/>
  <c r="N794" i="21"/>
  <c r="N795" i="21"/>
  <c r="N796" i="21"/>
  <c r="N797" i="21"/>
  <c r="N798" i="21"/>
  <c r="N799" i="21"/>
  <c r="N800" i="21"/>
  <c r="N801" i="21"/>
  <c r="N802" i="21"/>
  <c r="N803" i="21"/>
  <c r="N804" i="21"/>
  <c r="N805" i="21"/>
  <c r="N806" i="21"/>
  <c r="N807" i="21"/>
  <c r="N808" i="21"/>
  <c r="N809" i="21"/>
  <c r="N810" i="21"/>
  <c r="N811" i="21"/>
  <c r="N812" i="21"/>
  <c r="N813" i="21"/>
  <c r="N814" i="21"/>
  <c r="N815" i="21"/>
  <c r="N816" i="21"/>
  <c r="N817" i="21"/>
  <c r="N818" i="21"/>
  <c r="N819" i="21"/>
  <c r="N820" i="21"/>
  <c r="N821" i="21"/>
  <c r="N822" i="21"/>
  <c r="N823" i="21"/>
  <c r="N824" i="21"/>
  <c r="N825" i="21"/>
  <c r="N826" i="21"/>
  <c r="N827" i="21"/>
  <c r="N828" i="21"/>
  <c r="N829" i="21"/>
  <c r="N830" i="21"/>
  <c r="N831" i="21"/>
  <c r="N832" i="21"/>
  <c r="N833" i="21"/>
  <c r="N834" i="21"/>
  <c r="N835" i="21"/>
  <c r="N836" i="21"/>
  <c r="N837" i="21"/>
  <c r="N838" i="21"/>
  <c r="N839" i="21"/>
  <c r="N840" i="21"/>
  <c r="N841" i="21"/>
  <c r="N842" i="21"/>
  <c r="N843" i="21"/>
  <c r="N844" i="21"/>
  <c r="N845" i="21"/>
  <c r="N846" i="21"/>
  <c r="N847" i="21"/>
  <c r="N848" i="21"/>
  <c r="N849" i="21"/>
  <c r="N850" i="21"/>
  <c r="N851" i="21"/>
  <c r="N852" i="21"/>
  <c r="N853" i="21"/>
  <c r="N854" i="21"/>
  <c r="N855" i="21"/>
  <c r="N856" i="21"/>
  <c r="N857" i="21"/>
  <c r="N858" i="21"/>
  <c r="N859" i="21"/>
  <c r="N860" i="21"/>
  <c r="N861" i="21"/>
  <c r="N862" i="21"/>
  <c r="N863" i="21"/>
  <c r="N864" i="21"/>
  <c r="N865" i="21"/>
  <c r="N866" i="21"/>
  <c r="N867" i="21"/>
  <c r="N868" i="21"/>
  <c r="N869" i="21"/>
  <c r="N870" i="21"/>
  <c r="N871" i="21"/>
  <c r="N872" i="21"/>
  <c r="N873" i="21"/>
  <c r="N874" i="21"/>
  <c r="N875" i="21"/>
  <c r="N876" i="21"/>
  <c r="N877" i="21"/>
  <c r="N878" i="21"/>
  <c r="N879" i="21"/>
  <c r="N880" i="21"/>
  <c r="N881" i="21"/>
  <c r="N882" i="21"/>
  <c r="N883" i="21"/>
  <c r="N884" i="21"/>
  <c r="N885" i="21"/>
  <c r="N886" i="21"/>
  <c r="N887" i="21"/>
  <c r="N888" i="21"/>
  <c r="N889" i="21"/>
  <c r="N890" i="21"/>
  <c r="N891" i="21"/>
  <c r="N892" i="21"/>
  <c r="N893" i="21"/>
  <c r="N894" i="21"/>
  <c r="N895" i="21"/>
  <c r="N896" i="21"/>
  <c r="N897" i="21"/>
  <c r="N898" i="21"/>
  <c r="N899" i="21"/>
  <c r="N900" i="21"/>
  <c r="N901" i="21"/>
  <c r="N902" i="21"/>
  <c r="N903" i="21"/>
  <c r="N904" i="21"/>
  <c r="N905" i="21"/>
  <c r="N906" i="21"/>
  <c r="N907" i="21"/>
  <c r="N908" i="21"/>
  <c r="N909" i="21"/>
  <c r="N910" i="21"/>
  <c r="N911" i="21"/>
  <c r="N912" i="21"/>
  <c r="N913" i="21"/>
  <c r="N914" i="21"/>
  <c r="N915" i="21"/>
  <c r="N916" i="21"/>
  <c r="N917" i="21"/>
  <c r="N918" i="21"/>
  <c r="N919" i="21"/>
  <c r="N920" i="21"/>
  <c r="N921" i="21"/>
  <c r="N922" i="21"/>
  <c r="N923" i="21"/>
  <c r="N924" i="21"/>
  <c r="N925" i="21"/>
  <c r="N926" i="21"/>
  <c r="N927" i="21"/>
  <c r="N928" i="21"/>
  <c r="N929" i="21"/>
  <c r="N930" i="21"/>
  <c r="N931" i="21"/>
  <c r="N932" i="21"/>
  <c r="N933" i="21"/>
  <c r="N934" i="21"/>
  <c r="N935" i="21"/>
  <c r="N936" i="21"/>
  <c r="N937" i="21"/>
  <c r="N938" i="21"/>
  <c r="N939" i="21"/>
  <c r="N940" i="21"/>
  <c r="N941" i="21"/>
  <c r="N942" i="21"/>
  <c r="N943" i="21"/>
  <c r="N944" i="21"/>
  <c r="N945" i="21"/>
  <c r="N946" i="21"/>
  <c r="N947" i="21"/>
  <c r="N948" i="21"/>
  <c r="N949" i="21"/>
  <c r="N950" i="21"/>
  <c r="N951" i="21"/>
  <c r="N952" i="21"/>
  <c r="N953" i="21"/>
  <c r="N954" i="21"/>
  <c r="N955" i="21"/>
  <c r="N956" i="21"/>
  <c r="N957" i="21"/>
  <c r="N958" i="21"/>
  <c r="N959" i="21"/>
  <c r="N960" i="21"/>
  <c r="N961" i="21"/>
  <c r="N962" i="21"/>
  <c r="N963" i="21"/>
  <c r="N964" i="21"/>
  <c r="N965" i="21"/>
  <c r="N966" i="21"/>
  <c r="N967" i="21"/>
  <c r="N968" i="21"/>
  <c r="N969" i="21"/>
  <c r="N970" i="21"/>
  <c r="N971" i="21"/>
  <c r="N972" i="21"/>
  <c r="N973" i="21"/>
  <c r="N974" i="21"/>
  <c r="N975" i="21"/>
  <c r="N976" i="21"/>
  <c r="N977" i="21"/>
  <c r="N978" i="21"/>
  <c r="N979" i="21"/>
  <c r="N980" i="21"/>
  <c r="N981" i="21"/>
  <c r="N982" i="21"/>
  <c r="N983" i="21"/>
  <c r="N984" i="21"/>
  <c r="N985" i="21"/>
  <c r="N986" i="21"/>
  <c r="N987" i="21"/>
  <c r="N988" i="21"/>
  <c r="N989" i="21"/>
  <c r="N990" i="21"/>
  <c r="N991" i="21"/>
  <c r="N992" i="21"/>
  <c r="N993" i="21"/>
  <c r="N994" i="21"/>
  <c r="N995" i="21"/>
  <c r="N996" i="21"/>
  <c r="N997" i="21"/>
  <c r="N998" i="21"/>
  <c r="N999" i="21"/>
  <c r="N1000" i="21"/>
  <c r="N1001" i="21"/>
  <c r="N1002" i="21"/>
  <c r="N1003" i="21"/>
  <c r="N1004" i="21"/>
  <c r="N1005" i="21"/>
  <c r="N1006" i="21"/>
  <c r="N1007" i="21"/>
  <c r="N1008" i="21"/>
  <c r="N1009" i="21"/>
  <c r="N1010" i="21"/>
  <c r="N1011" i="21"/>
  <c r="N1012" i="21"/>
  <c r="N1013" i="21"/>
  <c r="N1014" i="21"/>
  <c r="N1015" i="21"/>
  <c r="N1016" i="21"/>
  <c r="N1017" i="21"/>
  <c r="N1018" i="21"/>
  <c r="N1019" i="21"/>
  <c r="N1020" i="21"/>
  <c r="N1021" i="21"/>
  <c r="N1022" i="21"/>
  <c r="N1023" i="21"/>
  <c r="N1024" i="21"/>
  <c r="N1025" i="21"/>
  <c r="N1026" i="21"/>
  <c r="N1027" i="21"/>
  <c r="N1028" i="21"/>
  <c r="N1029" i="21"/>
  <c r="N1030" i="21"/>
  <c r="N1031" i="21"/>
  <c r="N1032" i="21"/>
  <c r="N1033" i="21"/>
  <c r="N1034" i="21"/>
  <c r="N1035" i="21"/>
  <c r="N1036" i="21"/>
  <c r="N1037" i="21"/>
  <c r="N1038" i="21"/>
  <c r="N1039" i="21"/>
  <c r="N1040" i="21"/>
  <c r="N1041" i="21"/>
  <c r="N1042" i="21"/>
  <c r="N1043" i="21"/>
  <c r="N1044" i="21"/>
  <c r="N1045" i="21"/>
  <c r="N1046" i="21"/>
  <c r="N1047" i="21"/>
  <c r="N1048" i="21"/>
  <c r="N1049" i="21"/>
  <c r="N1050" i="21"/>
  <c r="N1051" i="21"/>
  <c r="N1052" i="21"/>
  <c r="N1053" i="21"/>
  <c r="N1054" i="21"/>
  <c r="N1055" i="21"/>
  <c r="N1056" i="21"/>
  <c r="N1057" i="21"/>
  <c r="N1058" i="21"/>
  <c r="N1059" i="21"/>
  <c r="N1060" i="21"/>
  <c r="N1061" i="21"/>
  <c r="N1062" i="21"/>
  <c r="N1063" i="21"/>
  <c r="N1064" i="21"/>
  <c r="N1065" i="21"/>
  <c r="N1066" i="21"/>
  <c r="N1067" i="21"/>
  <c r="N1068" i="21"/>
  <c r="N1069" i="21"/>
  <c r="N1070" i="21"/>
  <c r="N1071" i="21"/>
  <c r="N1072" i="21"/>
  <c r="N1073" i="21"/>
  <c r="N1074" i="21"/>
  <c r="N1075" i="21"/>
  <c r="N1076" i="21"/>
  <c r="N1077" i="21"/>
  <c r="N1078" i="21"/>
  <c r="N1079" i="21"/>
  <c r="N1080" i="21"/>
  <c r="N1081" i="21"/>
  <c r="N1082" i="21"/>
  <c r="N1083" i="21"/>
  <c r="N1084" i="21"/>
  <c r="N1085" i="21"/>
  <c r="N1086" i="21"/>
  <c r="N1087" i="21"/>
  <c r="N1088" i="21"/>
  <c r="N1089" i="21"/>
  <c r="N1090" i="21"/>
  <c r="N1091" i="21"/>
  <c r="N1092" i="21"/>
  <c r="N1093" i="21"/>
  <c r="N1094" i="21"/>
  <c r="N1095" i="21"/>
  <c r="N1096" i="21"/>
  <c r="N1097" i="21"/>
  <c r="N1098" i="21"/>
  <c r="N1099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I1616" i="16"/>
  <c r="AA3" i="16"/>
  <c r="G21" i="30"/>
  <c r="G26" i="30" s="1"/>
  <c r="G12" i="22"/>
  <c r="G13" i="22"/>
  <c r="G14" i="22"/>
  <c r="G15" i="22"/>
  <c r="G16" i="22"/>
  <c r="G17" i="22"/>
  <c r="G18" i="22"/>
  <c r="G19" i="22"/>
  <c r="G20" i="22"/>
  <c r="G11" i="22"/>
  <c r="G12" i="23"/>
  <c r="G13" i="23"/>
  <c r="G14" i="23"/>
  <c r="G15" i="23"/>
  <c r="G16" i="23"/>
  <c r="G17" i="23"/>
  <c r="G18" i="23"/>
  <c r="G19" i="23"/>
  <c r="G20" i="23"/>
  <c r="G11" i="23"/>
  <c r="G12" i="24"/>
  <c r="G13" i="24"/>
  <c r="G14" i="24"/>
  <c r="G15" i="24"/>
  <c r="G16" i="24"/>
  <c r="G17" i="24"/>
  <c r="G18" i="24"/>
  <c r="G19" i="24"/>
  <c r="G20" i="24"/>
  <c r="G11" i="24"/>
  <c r="G12" i="25"/>
  <c r="G13" i="25"/>
  <c r="G14" i="25"/>
  <c r="G15" i="25"/>
  <c r="G16" i="25"/>
  <c r="G17" i="25"/>
  <c r="G18" i="25"/>
  <c r="G19" i="25"/>
  <c r="G20" i="25"/>
  <c r="G11" i="25"/>
  <c r="F157" i="20" l="1"/>
  <c r="F159" i="20"/>
  <c r="F158" i="20"/>
  <c r="B158" i="20"/>
  <c r="B157" i="20"/>
  <c r="B159" i="20"/>
  <c r="K118" i="20"/>
  <c r="K117" i="20"/>
  <c r="K119" i="20"/>
  <c r="L159" i="20"/>
  <c r="L157" i="20"/>
  <c r="L158" i="20"/>
  <c r="I159" i="20"/>
  <c r="I157" i="20"/>
  <c r="I158" i="20"/>
  <c r="H118" i="20"/>
  <c r="H119" i="20"/>
  <c r="H117" i="20"/>
  <c r="J77" i="20"/>
  <c r="J78" i="20"/>
  <c r="G77" i="20"/>
  <c r="G78" i="20"/>
  <c r="G79" i="20"/>
  <c r="D77" i="20"/>
  <c r="D79" i="20"/>
  <c r="D78" i="20"/>
  <c r="C79" i="20"/>
  <c r="C78" i="20"/>
  <c r="C80" i="20" s="1"/>
  <c r="C77" i="20"/>
  <c r="J158" i="20"/>
  <c r="J159" i="20"/>
  <c r="J157" i="20"/>
  <c r="G159" i="20"/>
  <c r="G157" i="20"/>
  <c r="G158" i="20"/>
  <c r="D157" i="20"/>
  <c r="D159" i="20"/>
  <c r="D158" i="20"/>
  <c r="C157" i="20"/>
  <c r="C159" i="20"/>
  <c r="C158" i="20"/>
  <c r="L119" i="20"/>
  <c r="L118" i="20"/>
  <c r="L120" i="20" s="1"/>
  <c r="L117" i="20"/>
  <c r="I119" i="20"/>
  <c r="I118" i="20"/>
  <c r="I117" i="20"/>
  <c r="G117" i="20"/>
  <c r="F119" i="20"/>
  <c r="F117" i="20"/>
  <c r="F118" i="20"/>
  <c r="M79" i="20"/>
  <c r="M78" i="20"/>
  <c r="M77" i="20"/>
  <c r="E79" i="20"/>
  <c r="E77" i="20"/>
  <c r="E78" i="20"/>
  <c r="M157" i="20"/>
  <c r="M159" i="20"/>
  <c r="M158" i="20"/>
  <c r="E157" i="20"/>
  <c r="E159" i="20"/>
  <c r="E158" i="20"/>
  <c r="J117" i="20"/>
  <c r="J118" i="20"/>
  <c r="J119" i="20"/>
  <c r="G118" i="20"/>
  <c r="G119" i="20"/>
  <c r="D117" i="20"/>
  <c r="D118" i="20"/>
  <c r="D120" i="20" s="1"/>
  <c r="B118" i="20"/>
  <c r="B119" i="20"/>
  <c r="K77" i="20"/>
  <c r="K79" i="20"/>
  <c r="K78" i="20"/>
  <c r="H77" i="20"/>
  <c r="H79" i="20"/>
  <c r="H78" i="20"/>
  <c r="B77" i="20"/>
  <c r="S7" i="19" s="1"/>
  <c r="C5" i="1" s="1"/>
  <c r="B79" i="20"/>
  <c r="B78" i="20"/>
  <c r="K158" i="20"/>
  <c r="K157" i="20"/>
  <c r="K159" i="20"/>
  <c r="H159" i="20"/>
  <c r="H158" i="20"/>
  <c r="H157" i="20"/>
  <c r="M117" i="20"/>
  <c r="M119" i="20"/>
  <c r="M118" i="20"/>
  <c r="E117" i="20"/>
  <c r="E119" i="20"/>
  <c r="E118" i="20"/>
  <c r="C117" i="20"/>
  <c r="C118" i="20"/>
  <c r="C119" i="20"/>
  <c r="L77" i="20"/>
  <c r="L79" i="20"/>
  <c r="L78" i="20"/>
  <c r="J79" i="20"/>
  <c r="I79" i="20"/>
  <c r="I77" i="20"/>
  <c r="I78" i="20"/>
  <c r="F79" i="20"/>
  <c r="F77" i="20"/>
  <c r="F78" i="20"/>
  <c r="F26" i="42"/>
  <c r="H26" i="42" s="1"/>
  <c r="D31" i="42"/>
  <c r="G13" i="26"/>
  <c r="G14" i="26" s="1"/>
  <c r="M160" i="20" l="1"/>
  <c r="G160" i="20"/>
  <c r="I120" i="20"/>
  <c r="K120" i="20"/>
  <c r="B160" i="20"/>
  <c r="L80" i="20"/>
  <c r="K80" i="20"/>
  <c r="E160" i="20"/>
  <c r="F120" i="20"/>
  <c r="I160" i="20"/>
  <c r="F160" i="20"/>
  <c r="H160" i="20"/>
  <c r="D160" i="20"/>
  <c r="M120" i="20"/>
  <c r="I80" i="20"/>
  <c r="H80" i="20"/>
  <c r="D80" i="20"/>
  <c r="C120" i="20"/>
  <c r="B120" i="20"/>
  <c r="G120" i="20"/>
  <c r="F80" i="20"/>
  <c r="K160" i="20"/>
  <c r="J160" i="20"/>
  <c r="G80" i="20"/>
  <c r="L160" i="20"/>
  <c r="E120" i="20"/>
  <c r="B80" i="20"/>
  <c r="J120" i="20"/>
  <c r="E80" i="20"/>
  <c r="M80" i="20"/>
  <c r="C160" i="20"/>
  <c r="H120" i="20"/>
  <c r="D32" i="42"/>
  <c r="G32" i="42" s="1"/>
  <c r="F60" i="42" s="1"/>
  <c r="G31" i="42"/>
  <c r="F46" i="42" s="1"/>
  <c r="H13" i="26"/>
  <c r="H14" i="26" s="1"/>
  <c r="J13" i="26"/>
  <c r="J14" i="26" s="1"/>
  <c r="F28" i="29" s="1"/>
  <c r="I13" i="26"/>
  <c r="I14" i="26" s="1"/>
  <c r="D20" i="30" l="1"/>
  <c r="D22" i="30"/>
  <c r="D28" i="30" s="1"/>
  <c r="G5" i="29"/>
  <c r="E24" i="40"/>
  <c r="E24" i="34"/>
  <c r="E24" i="41"/>
  <c r="J18" i="34"/>
  <c r="J17" i="34"/>
  <c r="E17" i="41"/>
  <c r="E18" i="41"/>
  <c r="E16" i="41"/>
  <c r="D24" i="30" l="1"/>
  <c r="D25" i="30"/>
  <c r="H18" i="41"/>
  <c r="G11" i="41"/>
  <c r="F11" i="41"/>
  <c r="E25" i="41" s="1"/>
  <c r="G11" i="40"/>
  <c r="F11" i="40"/>
  <c r="E25" i="40" s="1"/>
  <c r="C6" i="36" s="1"/>
  <c r="D26" i="30" l="1"/>
  <c r="D29" i="30" s="1"/>
  <c r="I18" i="41"/>
  <c r="F26" i="41" s="1"/>
  <c r="L19" i="41"/>
  <c r="E26" i="41"/>
  <c r="E26" i="40"/>
  <c r="G26" i="41" l="1"/>
  <c r="G11" i="34"/>
  <c r="D25" i="38" l="1"/>
  <c r="D22" i="38"/>
  <c r="D11" i="38"/>
  <c r="D13" i="38" s="1"/>
  <c r="D14" i="38" s="1"/>
  <c r="D27" i="37"/>
  <c r="E27" i="37"/>
  <c r="F27" i="37"/>
  <c r="G27" i="37"/>
  <c r="H27" i="37"/>
  <c r="I27" i="37"/>
  <c r="J27" i="37"/>
  <c r="K27" i="37"/>
  <c r="L27" i="37"/>
  <c r="M27" i="37"/>
  <c r="N27" i="37"/>
  <c r="N23" i="37"/>
  <c r="N24" i="37" s="1"/>
  <c r="M23" i="37"/>
  <c r="M24" i="37" s="1"/>
  <c r="L23" i="37"/>
  <c r="L24" i="37" s="1"/>
  <c r="K23" i="37"/>
  <c r="K24" i="37" s="1"/>
  <c r="J23" i="37"/>
  <c r="J24" i="37" s="1"/>
  <c r="I23" i="37"/>
  <c r="I24" i="37" s="1"/>
  <c r="H23" i="37"/>
  <c r="H24" i="37" s="1"/>
  <c r="G23" i="37"/>
  <c r="G24" i="37" s="1"/>
  <c r="F23" i="37"/>
  <c r="F24" i="37" s="1"/>
  <c r="E23" i="37"/>
  <c r="E24" i="37" s="1"/>
  <c r="D23" i="37"/>
  <c r="D24" i="37" s="1"/>
  <c r="C23" i="37"/>
  <c r="C24" i="37" s="1"/>
  <c r="N18" i="37"/>
  <c r="N19" i="37" s="1"/>
  <c r="N20" i="37" s="1"/>
  <c r="M18" i="37"/>
  <c r="M19" i="37" s="1"/>
  <c r="M20" i="37" s="1"/>
  <c r="L18" i="37"/>
  <c r="L19" i="37" s="1"/>
  <c r="L20" i="37" s="1"/>
  <c r="K18" i="37"/>
  <c r="K19" i="37" s="1"/>
  <c r="K20" i="37" s="1"/>
  <c r="J18" i="37"/>
  <c r="J19" i="37" s="1"/>
  <c r="J20" i="37" s="1"/>
  <c r="I18" i="37"/>
  <c r="I19" i="37" s="1"/>
  <c r="I20" i="37" s="1"/>
  <c r="H18" i="37"/>
  <c r="H19" i="37" s="1"/>
  <c r="H20" i="37" s="1"/>
  <c r="G18" i="37"/>
  <c r="G19" i="37" s="1"/>
  <c r="G20" i="37" s="1"/>
  <c r="F18" i="37"/>
  <c r="F19" i="37" s="1"/>
  <c r="F20" i="37" s="1"/>
  <c r="E18" i="37"/>
  <c r="E19" i="37" s="1"/>
  <c r="E20" i="37" s="1"/>
  <c r="D18" i="37"/>
  <c r="D19" i="37" s="1"/>
  <c r="D20" i="37" s="1"/>
  <c r="C18" i="37"/>
  <c r="C19" i="37" s="1"/>
  <c r="C20" i="37" s="1"/>
  <c r="N14" i="37"/>
  <c r="N15" i="37" s="1"/>
  <c r="N16" i="37" s="1"/>
  <c r="M14" i="37"/>
  <c r="M15" i="37" s="1"/>
  <c r="M16" i="37" s="1"/>
  <c r="L14" i="37"/>
  <c r="L15" i="37" s="1"/>
  <c r="L16" i="37" s="1"/>
  <c r="K14" i="37"/>
  <c r="K15" i="37" s="1"/>
  <c r="K16" i="37" s="1"/>
  <c r="J14" i="37"/>
  <c r="J15" i="37" s="1"/>
  <c r="J16" i="37" s="1"/>
  <c r="I14" i="37"/>
  <c r="I15" i="37" s="1"/>
  <c r="I16" i="37" s="1"/>
  <c r="H14" i="37"/>
  <c r="H15" i="37" s="1"/>
  <c r="H16" i="37" s="1"/>
  <c r="G14" i="37"/>
  <c r="G15" i="37" s="1"/>
  <c r="G16" i="37" s="1"/>
  <c r="F14" i="37"/>
  <c r="F15" i="37" s="1"/>
  <c r="F16" i="37" s="1"/>
  <c r="E14" i="37"/>
  <c r="E15" i="37" s="1"/>
  <c r="E16" i="37" s="1"/>
  <c r="D14" i="37"/>
  <c r="D15" i="37" s="1"/>
  <c r="D16" i="37" s="1"/>
  <c r="C14" i="37"/>
  <c r="C15" i="37" s="1"/>
  <c r="C16" i="37" s="1"/>
  <c r="N11" i="37"/>
  <c r="M11" i="37"/>
  <c r="L11" i="37"/>
  <c r="K11" i="37"/>
  <c r="J11" i="37"/>
  <c r="I11" i="37"/>
  <c r="H11" i="37"/>
  <c r="G11" i="37"/>
  <c r="F11" i="37"/>
  <c r="E11" i="37"/>
  <c r="D11" i="37"/>
  <c r="C11" i="37"/>
  <c r="N10" i="37"/>
  <c r="M10" i="37"/>
  <c r="L10" i="37"/>
  <c r="K10" i="37"/>
  <c r="J10" i="37"/>
  <c r="I10" i="37"/>
  <c r="H10" i="37"/>
  <c r="G10" i="37"/>
  <c r="F10" i="37"/>
  <c r="E10" i="37"/>
  <c r="D10" i="37"/>
  <c r="C10" i="37"/>
  <c r="N8" i="37"/>
  <c r="N9" i="37" s="1"/>
  <c r="M8" i="37"/>
  <c r="M9" i="37" s="1"/>
  <c r="L8" i="37"/>
  <c r="L9" i="37" s="1"/>
  <c r="K8" i="37"/>
  <c r="K9" i="37" s="1"/>
  <c r="J8" i="37"/>
  <c r="J9" i="37" s="1"/>
  <c r="I8" i="37"/>
  <c r="I9" i="37" s="1"/>
  <c r="H8" i="37"/>
  <c r="H9" i="37" s="1"/>
  <c r="G8" i="37"/>
  <c r="G9" i="37" s="1"/>
  <c r="F8" i="37"/>
  <c r="F9" i="37" s="1"/>
  <c r="E8" i="37"/>
  <c r="E9" i="37" s="1"/>
  <c r="D8" i="37"/>
  <c r="D9" i="37" s="1"/>
  <c r="C8" i="37"/>
  <c r="C9" i="37" s="1"/>
  <c r="N6" i="37"/>
  <c r="N7" i="37" s="1"/>
  <c r="M6" i="37"/>
  <c r="M7" i="37" s="1"/>
  <c r="L6" i="37"/>
  <c r="L7" i="37" s="1"/>
  <c r="K6" i="37"/>
  <c r="K7" i="37" s="1"/>
  <c r="J6" i="37"/>
  <c r="J7" i="37" s="1"/>
  <c r="I6" i="37"/>
  <c r="I7" i="37" s="1"/>
  <c r="H6" i="37"/>
  <c r="H7" i="37" s="1"/>
  <c r="G6" i="37"/>
  <c r="G7" i="37" s="1"/>
  <c r="F6" i="37"/>
  <c r="F7" i="37" s="1"/>
  <c r="E6" i="37"/>
  <c r="E7" i="37" s="1"/>
  <c r="D6" i="37"/>
  <c r="D7" i="37" s="1"/>
  <c r="C6" i="37"/>
  <c r="C7" i="37" s="1"/>
  <c r="C5" i="37"/>
  <c r="I31" i="27"/>
  <c r="I32" i="27" s="1"/>
  <c r="M32" i="27" s="1"/>
  <c r="F11" i="34"/>
  <c r="E17" i="34"/>
  <c r="C4" i="35"/>
  <c r="M31" i="27" l="1"/>
  <c r="M33" i="27" s="1"/>
  <c r="F16" i="41" s="1"/>
  <c r="H16" i="41" s="1"/>
  <c r="I16" i="41" s="1"/>
  <c r="F24" i="41" s="1"/>
  <c r="G24" i="41" s="1"/>
  <c r="F16" i="34"/>
  <c r="E25" i="34"/>
  <c r="E26" i="34" s="1"/>
  <c r="D20" i="38"/>
  <c r="D21" i="38" s="1"/>
  <c r="C26" i="37"/>
  <c r="F6" i="36" s="1"/>
  <c r="E242" i="39" s="1"/>
  <c r="E16" i="34"/>
  <c r="E18" i="34"/>
  <c r="H18" i="34" s="1"/>
  <c r="I18" i="34" s="1"/>
  <c r="H16" i="34"/>
  <c r="I16" i="34" s="1"/>
  <c r="F24" i="34" s="1"/>
  <c r="G24" i="34" s="1"/>
  <c r="D23" i="38"/>
  <c r="D12" i="38"/>
  <c r="C13" i="37"/>
  <c r="D26" i="37"/>
  <c r="D25" i="37"/>
  <c r="F26" i="37"/>
  <c r="F25" i="37"/>
  <c r="G26" i="37"/>
  <c r="G25" i="37"/>
  <c r="N26" i="37"/>
  <c r="N25" i="37"/>
  <c r="H25" i="37"/>
  <c r="H26" i="37"/>
  <c r="I26" i="37"/>
  <c r="I25" i="37"/>
  <c r="J26" i="37"/>
  <c r="J25" i="37"/>
  <c r="E26" i="37"/>
  <c r="E25" i="37"/>
  <c r="K26" i="37"/>
  <c r="K25" i="37"/>
  <c r="L26" i="37"/>
  <c r="L25" i="37"/>
  <c r="C25" i="37"/>
  <c r="D7" i="38" s="1"/>
  <c r="M26" i="37"/>
  <c r="M25" i="37"/>
  <c r="F16" i="40" l="1"/>
  <c r="E326" i="39"/>
  <c r="E112" i="39"/>
  <c r="E272" i="39"/>
  <c r="E190" i="39"/>
  <c r="E7" i="39"/>
  <c r="E141" i="39"/>
  <c r="E175" i="39"/>
  <c r="E67" i="39"/>
  <c r="E313" i="39"/>
  <c r="E202" i="39"/>
  <c r="E139" i="39"/>
  <c r="E299" i="39"/>
  <c r="E87" i="39"/>
  <c r="E162" i="39"/>
  <c r="E274" i="39"/>
  <c r="E232" i="39"/>
  <c r="E149" i="39"/>
  <c r="E51" i="39"/>
  <c r="E64" i="39"/>
  <c r="E256" i="39"/>
  <c r="E368" i="39"/>
  <c r="E156" i="39"/>
  <c r="E78" i="39"/>
  <c r="E332" i="39"/>
  <c r="E181" i="39"/>
  <c r="E13" i="39"/>
  <c r="E333" i="39"/>
  <c r="E182" i="39"/>
  <c r="E14" i="39"/>
  <c r="E334" i="39"/>
  <c r="E183" i="39"/>
  <c r="E15" i="39"/>
  <c r="E347" i="39"/>
  <c r="E196" i="39"/>
  <c r="E28" i="39"/>
  <c r="E281" i="39"/>
  <c r="E121" i="39"/>
  <c r="E45" i="39"/>
  <c r="E294" i="39"/>
  <c r="E134" i="39"/>
  <c r="E98" i="39"/>
  <c r="E307" i="39"/>
  <c r="E95" i="39"/>
  <c r="E363" i="39"/>
  <c r="E212" i="39"/>
  <c r="E44" i="39"/>
  <c r="E273" i="39"/>
  <c r="E113" i="39"/>
  <c r="E263" i="39"/>
  <c r="E239" i="39"/>
  <c r="E97" i="39"/>
  <c r="E319" i="39"/>
  <c r="E168" i="39"/>
  <c r="E73" i="39"/>
  <c r="E344" i="39"/>
  <c r="E193" i="39"/>
  <c r="E25" i="39"/>
  <c r="E345" i="39"/>
  <c r="E194" i="39"/>
  <c r="E26" i="39"/>
  <c r="E346" i="39"/>
  <c r="E195" i="39"/>
  <c r="E27" i="39"/>
  <c r="E359" i="39"/>
  <c r="E208" i="39"/>
  <c r="E40" i="39"/>
  <c r="E293" i="39"/>
  <c r="E133" i="39"/>
  <c r="E317" i="39"/>
  <c r="E306" i="39"/>
  <c r="E94" i="39"/>
  <c r="E46" i="39"/>
  <c r="E151" i="39"/>
  <c r="E89" i="39"/>
  <c r="E248" i="39"/>
  <c r="E224" i="39"/>
  <c r="E21" i="39"/>
  <c r="E285" i="39"/>
  <c r="E125" i="39"/>
  <c r="E275" i="39"/>
  <c r="E115" i="39"/>
  <c r="E262" i="39"/>
  <c r="E331" i="39"/>
  <c r="E180" i="39"/>
  <c r="E12" i="39"/>
  <c r="E356" i="39"/>
  <c r="E205" i="39"/>
  <c r="E37" i="39"/>
  <c r="E357" i="39"/>
  <c r="E206" i="39"/>
  <c r="E38" i="39"/>
  <c r="E358" i="39"/>
  <c r="E207" i="39"/>
  <c r="E39" i="39"/>
  <c r="E244" i="39"/>
  <c r="E220" i="39"/>
  <c r="E52" i="39"/>
  <c r="E305" i="39"/>
  <c r="E93" i="39"/>
  <c r="E114" i="39"/>
  <c r="E150" i="39"/>
  <c r="E88" i="39"/>
  <c r="E163" i="39"/>
  <c r="E329" i="39"/>
  <c r="E343" i="39"/>
  <c r="E355" i="39"/>
  <c r="E204" i="39"/>
  <c r="E36" i="39"/>
  <c r="E253" i="39"/>
  <c r="E229" i="39"/>
  <c r="E61" i="39"/>
  <c r="E254" i="39"/>
  <c r="E230" i="39"/>
  <c r="E62" i="39"/>
  <c r="E255" i="39"/>
  <c r="E231" i="39"/>
  <c r="E63" i="39"/>
  <c r="E268" i="39"/>
  <c r="E108" i="39"/>
  <c r="E312" i="39"/>
  <c r="E161" i="39"/>
  <c r="E83" i="39"/>
  <c r="E325" i="39"/>
  <c r="E174" i="39"/>
  <c r="E6" i="39"/>
  <c r="E338" i="39"/>
  <c r="E187" i="39"/>
  <c r="E19" i="39"/>
  <c r="E284" i="39"/>
  <c r="E124" i="39"/>
  <c r="E71" i="39"/>
  <c r="E153" i="39"/>
  <c r="E166" i="39"/>
  <c r="E143" i="39"/>
  <c r="E99" i="39"/>
  <c r="E76" i="39"/>
  <c r="E228" i="39"/>
  <c r="E117" i="39"/>
  <c r="E118" i="39"/>
  <c r="E286" i="39"/>
  <c r="E119" i="39"/>
  <c r="E292" i="39"/>
  <c r="E336" i="39"/>
  <c r="E17" i="39"/>
  <c r="E198" i="39"/>
  <c r="E362" i="39"/>
  <c r="E43" i="39"/>
  <c r="E96" i="39"/>
  <c r="E177" i="39"/>
  <c r="E167" i="39"/>
  <c r="E35" i="39"/>
  <c r="E140" i="39"/>
  <c r="E80" i="39"/>
  <c r="E81" i="39"/>
  <c r="E257" i="39"/>
  <c r="E110" i="39"/>
  <c r="E339" i="39"/>
  <c r="E225" i="39"/>
  <c r="E100" i="39"/>
  <c r="E170" i="39"/>
  <c r="E171" i="39"/>
  <c r="E16" i="39"/>
  <c r="E282" i="39"/>
  <c r="E135" i="39"/>
  <c r="E261" i="39"/>
  <c r="E59" i="39"/>
  <c r="E236" i="39"/>
  <c r="E287" i="39"/>
  <c r="E192" i="39"/>
  <c r="E367" i="39"/>
  <c r="E216" i="39"/>
  <c r="E48" i="39"/>
  <c r="E265" i="39"/>
  <c r="E105" i="39"/>
  <c r="E91" i="39"/>
  <c r="E266" i="39"/>
  <c r="E106" i="39"/>
  <c r="E137" i="39"/>
  <c r="E267" i="39"/>
  <c r="E107" i="39"/>
  <c r="E70" i="39"/>
  <c r="E280" i="39"/>
  <c r="E120" i="39"/>
  <c r="E324" i="39"/>
  <c r="E173" i="39"/>
  <c r="E5" i="39"/>
  <c r="E337" i="39"/>
  <c r="E186" i="39"/>
  <c r="E18" i="39"/>
  <c r="E350" i="39"/>
  <c r="E199" i="39"/>
  <c r="E31" i="39"/>
  <c r="E296" i="39"/>
  <c r="E136" i="39"/>
  <c r="E316" i="39"/>
  <c r="E165" i="39"/>
  <c r="E138" i="39"/>
  <c r="E155" i="39"/>
  <c r="E77" i="39"/>
  <c r="E58" i="39"/>
  <c r="E252" i="39"/>
  <c r="E60" i="39"/>
  <c r="E277" i="39"/>
  <c r="E250" i="39"/>
  <c r="E278" i="39"/>
  <c r="E279" i="39"/>
  <c r="E365" i="39"/>
  <c r="E132" i="39"/>
  <c r="E185" i="39"/>
  <c r="E349" i="39"/>
  <c r="E30" i="39"/>
  <c r="E211" i="39"/>
  <c r="E308" i="39"/>
  <c r="E328" i="39"/>
  <c r="E318" i="39"/>
  <c r="E72" i="39"/>
  <c r="E158" i="39"/>
  <c r="E172" i="39"/>
  <c r="E4" i="39"/>
  <c r="E283" i="39"/>
  <c r="E20" i="39"/>
  <c r="E215" i="39"/>
  <c r="E335" i="39"/>
  <c r="E56" i="39"/>
  <c r="E178" i="39"/>
  <c r="E200" i="39"/>
  <c r="E227" i="39"/>
  <c r="E260" i="39"/>
  <c r="E9" i="39"/>
  <c r="E24" i="39"/>
  <c r="E50" i="39"/>
  <c r="E264" i="39"/>
  <c r="E240" i="39"/>
  <c r="E33" i="39"/>
  <c r="E289" i="39"/>
  <c r="E129" i="39"/>
  <c r="E154" i="39"/>
  <c r="E290" i="39"/>
  <c r="E130" i="39"/>
  <c r="E142" i="39"/>
  <c r="E291" i="39"/>
  <c r="E131" i="39"/>
  <c r="E214" i="39"/>
  <c r="E304" i="39"/>
  <c r="E92" i="39"/>
  <c r="E348" i="39"/>
  <c r="E197" i="39"/>
  <c r="E29" i="39"/>
  <c r="E361" i="39"/>
  <c r="E210" i="39"/>
  <c r="E42" i="39"/>
  <c r="E247" i="39"/>
  <c r="E223" i="39"/>
  <c r="E55" i="39"/>
  <c r="E152" i="39"/>
  <c r="E90" i="39"/>
  <c r="E340" i="39"/>
  <c r="E189" i="39"/>
  <c r="E330" i="39"/>
  <c r="E179" i="39"/>
  <c r="E11" i="39"/>
  <c r="E288" i="39"/>
  <c r="E126" i="39"/>
  <c r="E145" i="39"/>
  <c r="E101" i="39"/>
  <c r="E146" i="39"/>
  <c r="E84" i="39"/>
  <c r="E147" i="39"/>
  <c r="E311" i="39"/>
  <c r="E82" i="39"/>
  <c r="E221" i="39"/>
  <c r="E258" i="39"/>
  <c r="E57" i="39"/>
  <c r="E111" i="39"/>
  <c r="E176" i="39"/>
  <c r="E213" i="39"/>
  <c r="E203" i="39"/>
  <c r="E369" i="39"/>
  <c r="E157" i="39"/>
  <c r="E309" i="39"/>
  <c r="E159" i="39"/>
  <c r="E65" i="39"/>
  <c r="E270" i="39"/>
  <c r="E123" i="39"/>
  <c r="E249" i="39"/>
  <c r="E47" i="39"/>
  <c r="E320" i="39"/>
  <c r="E169" i="39"/>
  <c r="E321" i="39"/>
  <c r="E75" i="39"/>
  <c r="E66" i="39"/>
  <c r="E269" i="39"/>
  <c r="E122" i="39"/>
  <c r="E351" i="39"/>
  <c r="E237" i="39"/>
  <c r="E314" i="39"/>
  <c r="E297" i="39"/>
  <c r="E298" i="39"/>
  <c r="E217" i="39"/>
  <c r="E49" i="39"/>
  <c r="E218" i="39"/>
  <c r="E219" i="39"/>
  <c r="E276" i="39"/>
  <c r="E116" i="39"/>
  <c r="E341" i="39"/>
  <c r="E301" i="39"/>
  <c r="E102" i="39"/>
  <c r="E238" i="39"/>
  <c r="E302" i="39"/>
  <c r="E103" i="39"/>
  <c r="E226" i="39"/>
  <c r="E303" i="39"/>
  <c r="E104" i="39"/>
  <c r="E34" i="39"/>
  <c r="E148" i="39"/>
  <c r="E86" i="39"/>
  <c r="E360" i="39"/>
  <c r="E209" i="39"/>
  <c r="E41" i="39"/>
  <c r="E246" i="39"/>
  <c r="E222" i="39"/>
  <c r="E54" i="39"/>
  <c r="E259" i="39"/>
  <c r="E235" i="39"/>
  <c r="E315" i="39"/>
  <c r="E164" i="39"/>
  <c r="E69" i="39"/>
  <c r="E352" i="39"/>
  <c r="E201" i="39"/>
  <c r="E342" i="39"/>
  <c r="E191" i="39"/>
  <c r="E23" i="39"/>
  <c r="E128" i="39"/>
  <c r="E22" i="39"/>
  <c r="E10" i="39"/>
  <c r="E85" i="39"/>
  <c r="E160" i="39"/>
  <c r="E245" i="39"/>
  <c r="E53" i="39"/>
  <c r="E234" i="39"/>
  <c r="E271" i="39"/>
  <c r="E327" i="39"/>
  <c r="E8" i="39"/>
  <c r="E364" i="39"/>
  <c r="E354" i="39"/>
  <c r="E300" i="39"/>
  <c r="E79" i="39"/>
  <c r="E310" i="39"/>
  <c r="E323" i="39"/>
  <c r="E233" i="39"/>
  <c r="E353" i="39"/>
  <c r="E188" i="39"/>
  <c r="E366" i="39"/>
  <c r="E144" i="39"/>
  <c r="E74" i="39"/>
  <c r="E322" i="39"/>
  <c r="E184" i="39"/>
  <c r="E109" i="39"/>
  <c r="E295" i="39"/>
  <c r="E32" i="39"/>
  <c r="E251" i="39"/>
  <c r="E68" i="39"/>
  <c r="E127" i="39"/>
  <c r="E241" i="39"/>
  <c r="E243" i="39"/>
  <c r="D8" i="38"/>
  <c r="D15" i="38" s="1"/>
  <c r="D32" i="38"/>
  <c r="F26" i="34"/>
  <c r="G26" i="34" s="1"/>
  <c r="M19" i="34"/>
  <c r="I27" i="27"/>
  <c r="M27" i="27" s="1"/>
  <c r="I28" i="27" l="1"/>
  <c r="M28" i="27" s="1"/>
  <c r="H18" i="39"/>
  <c r="G4" i="39" s="1"/>
  <c r="H48" i="39"/>
  <c r="G34" i="39" s="1"/>
  <c r="H64" i="39" s="1"/>
  <c r="M29" i="27"/>
  <c r="D27" i="38"/>
  <c r="D29" i="38" s="1"/>
  <c r="D16" i="38"/>
  <c r="D26" i="38" s="1"/>
  <c r="H68" i="39"/>
  <c r="I64" i="39"/>
  <c r="F17" i="40" l="1"/>
  <c r="F17" i="41"/>
  <c r="H17" i="41" s="1"/>
  <c r="F17" i="34"/>
  <c r="H17" i="34" s="1"/>
  <c r="D4" i="35"/>
  <c r="D28" i="38"/>
  <c r="D31" i="38" s="1"/>
  <c r="D34" i="38" s="1"/>
  <c r="J15" i="33"/>
  <c r="J9" i="33"/>
  <c r="J7" i="33"/>
  <c r="J6" i="33"/>
  <c r="J5" i="33"/>
  <c r="J12" i="33"/>
  <c r="C49" i="32"/>
  <c r="C44" i="32"/>
  <c r="C43" i="32"/>
  <c r="C15" i="32"/>
  <c r="C10" i="32" s="1"/>
  <c r="C7" i="32"/>
  <c r="C44" i="31"/>
  <c r="J8" i="33"/>
  <c r="O26" i="29"/>
  <c r="O19" i="29"/>
  <c r="O20" i="29" s="1"/>
  <c r="H12" i="29"/>
  <c r="D8" i="30"/>
  <c r="D11" i="30" s="1"/>
  <c r="J17" i="33"/>
  <c r="J16" i="33"/>
  <c r="J14" i="33"/>
  <c r="C15" i="31"/>
  <c r="C10" i="31" s="1"/>
  <c r="C11" i="31" s="1"/>
  <c r="C13" i="31" s="1"/>
  <c r="C7" i="31"/>
  <c r="G4" i="35" l="1"/>
  <c r="F4" i="35"/>
  <c r="I17" i="34"/>
  <c r="M17" i="34"/>
  <c r="L17" i="41"/>
  <c r="I17" i="41"/>
  <c r="F25" i="41" s="1"/>
  <c r="G25" i="41" s="1"/>
  <c r="G8" i="30"/>
  <c r="C11" i="32"/>
  <c r="C39" i="32"/>
  <c r="D10" i="30"/>
  <c r="D12" i="30" s="1"/>
  <c r="D14" i="30"/>
  <c r="C12" i="31"/>
  <c r="C14" i="31" s="1"/>
  <c r="C16" i="31"/>
  <c r="I22" i="27"/>
  <c r="C39" i="31"/>
  <c r="C41" i="31" s="1"/>
  <c r="C43" i="31"/>
  <c r="C49" i="31"/>
  <c r="F25" i="34" l="1"/>
  <c r="G25" i="34" s="1"/>
  <c r="C4" i="39"/>
  <c r="G11" i="30"/>
  <c r="D6" i="30" s="1"/>
  <c r="D15" i="30" s="1"/>
  <c r="I23" i="27"/>
  <c r="M23" i="27" s="1"/>
  <c r="C16" i="32"/>
  <c r="C13" i="32"/>
  <c r="C12" i="32"/>
  <c r="C40" i="32"/>
  <c r="C41" i="32"/>
  <c r="C50" i="31"/>
  <c r="C52" i="31" s="1"/>
  <c r="C53" i="31" s="1"/>
  <c r="C40" i="31"/>
  <c r="C14" i="32" l="1"/>
  <c r="C8" i="31" l="1"/>
  <c r="C17" i="31" s="1"/>
  <c r="C8" i="32"/>
  <c r="C17" i="32" s="1"/>
  <c r="C50" i="32"/>
  <c r="C52" i="32" s="1"/>
  <c r="C53" i="32" s="1"/>
  <c r="K18" i="27" l="1"/>
  <c r="I17" i="27"/>
  <c r="I18" i="27" s="1"/>
  <c r="K12" i="27"/>
  <c r="I12" i="27"/>
  <c r="I13" i="27" s="1"/>
  <c r="M13" i="27" s="1"/>
  <c r="M18" i="27" l="1"/>
  <c r="G6" i="29"/>
  <c r="G7" i="29" s="1"/>
  <c r="G28" i="29"/>
  <c r="G23" i="29"/>
  <c r="K17" i="27"/>
  <c r="M12" i="27"/>
  <c r="M14" i="27" s="1"/>
  <c r="M17" i="27" l="1"/>
  <c r="M19" i="27" s="1"/>
  <c r="K22" i="27"/>
  <c r="M22" i="27" s="1"/>
  <c r="M24" i="27" s="1"/>
  <c r="G29" i="29" s="1"/>
  <c r="G8" i="29" l="1"/>
  <c r="G22" i="29"/>
  <c r="R16" i="25"/>
  <c r="R18" i="25" s="1"/>
  <c r="R20" i="25" s="1"/>
  <c r="K8" i="27" l="1"/>
  <c r="G29" i="25"/>
  <c r="G29" i="24"/>
  <c r="G29" i="23"/>
  <c r="G29" i="22"/>
  <c r="G10" i="29" l="1"/>
  <c r="G33" i="29"/>
  <c r="G32" i="29"/>
  <c r="G11" i="29"/>
  <c r="G43" i="29"/>
  <c r="G41" i="29"/>
  <c r="G39" i="29"/>
  <c r="G37" i="29"/>
  <c r="G36" i="29"/>
  <c r="G35" i="29"/>
  <c r="G34" i="29"/>
  <c r="G42" i="29"/>
  <c r="G40" i="29"/>
  <c r="G18" i="29"/>
  <c r="G21" i="29"/>
  <c r="G19" i="29"/>
  <c r="G17" i="29"/>
  <c r="G13" i="29"/>
  <c r="G14" i="29"/>
  <c r="G15" i="29"/>
  <c r="G12" i="29"/>
  <c r="G20" i="29"/>
  <c r="N7" i="9"/>
  <c r="L7" i="8"/>
  <c r="V7" i="6"/>
  <c r="L29" i="6"/>
  <c r="L30" i="4"/>
  <c r="L34" i="4"/>
  <c r="L31" i="4"/>
  <c r="L32" i="4"/>
  <c r="L35" i="4"/>
  <c r="L36" i="4"/>
  <c r="L7" i="4"/>
  <c r="L29" i="4" s="1"/>
  <c r="U7" i="3"/>
  <c r="O41" i="3"/>
  <c r="AA736" i="16"/>
  <c r="AA1253" i="16"/>
  <c r="M403" i="20"/>
  <c r="L403" i="20"/>
  <c r="A373" i="20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332" i="20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291" i="20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250" i="20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09" i="20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168" i="20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27" i="20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87" i="20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47" i="20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33" i="16"/>
  <c r="AA234" i="16"/>
  <c r="AA235" i="16"/>
  <c r="AA236" i="16"/>
  <c r="AA237" i="16"/>
  <c r="AA238" i="16"/>
  <c r="AA239" i="16"/>
  <c r="AA240" i="16"/>
  <c r="AA241" i="16"/>
  <c r="AA242" i="16"/>
  <c r="AA243" i="16"/>
  <c r="AA244" i="16"/>
  <c r="AA245" i="16"/>
  <c r="AA246" i="16"/>
  <c r="AA247" i="16"/>
  <c r="AA248" i="16"/>
  <c r="AA249" i="16"/>
  <c r="AA250" i="16"/>
  <c r="AA251" i="16"/>
  <c r="AA252" i="16"/>
  <c r="AA253" i="16"/>
  <c r="AA254" i="16"/>
  <c r="AA255" i="16"/>
  <c r="AA256" i="16"/>
  <c r="AA257" i="16"/>
  <c r="AA258" i="16"/>
  <c r="AA259" i="16"/>
  <c r="AA260" i="16"/>
  <c r="AA261" i="16"/>
  <c r="AA262" i="16"/>
  <c r="AA263" i="16"/>
  <c r="AA264" i="16"/>
  <c r="AA265" i="16"/>
  <c r="AA266" i="16"/>
  <c r="AA267" i="16"/>
  <c r="AA268" i="16"/>
  <c r="AA269" i="16"/>
  <c r="AA270" i="16"/>
  <c r="AA271" i="16"/>
  <c r="AA272" i="16"/>
  <c r="AA273" i="16"/>
  <c r="AA274" i="16"/>
  <c r="AA275" i="16"/>
  <c r="AA276" i="16"/>
  <c r="AA277" i="16"/>
  <c r="AA278" i="16"/>
  <c r="AA279" i="16"/>
  <c r="AA280" i="16"/>
  <c r="AA281" i="16"/>
  <c r="AA282" i="16"/>
  <c r="AA283" i="16"/>
  <c r="AA284" i="16"/>
  <c r="AA285" i="16"/>
  <c r="AA286" i="16"/>
  <c r="AA287" i="16"/>
  <c r="AA288" i="16"/>
  <c r="AA289" i="16"/>
  <c r="AA290" i="16"/>
  <c r="AA291" i="16"/>
  <c r="AA292" i="16"/>
  <c r="AA293" i="16"/>
  <c r="AA294" i="16"/>
  <c r="AA295" i="16"/>
  <c r="AA296" i="16"/>
  <c r="AA297" i="16"/>
  <c r="AA298" i="16"/>
  <c r="AA299" i="16"/>
  <c r="AA300" i="16"/>
  <c r="AA301" i="16"/>
  <c r="AA302" i="16"/>
  <c r="AA303" i="16"/>
  <c r="AA304" i="16"/>
  <c r="AA305" i="16"/>
  <c r="AA306" i="16"/>
  <c r="AA307" i="16"/>
  <c r="AA309" i="16"/>
  <c r="AA310" i="16"/>
  <c r="AA311" i="16"/>
  <c r="AA312" i="16"/>
  <c r="AA313" i="16"/>
  <c r="AA314" i="16"/>
  <c r="AA315" i="16"/>
  <c r="AA316" i="16"/>
  <c r="AA317" i="16"/>
  <c r="AA318" i="16"/>
  <c r="AA319" i="16"/>
  <c r="AA320" i="16"/>
  <c r="AA321" i="16"/>
  <c r="AA322" i="16"/>
  <c r="AA323" i="16"/>
  <c r="AA324" i="16"/>
  <c r="AA325" i="16"/>
  <c r="AA326" i="16"/>
  <c r="AA327" i="16"/>
  <c r="AA328" i="16"/>
  <c r="AA329" i="16"/>
  <c r="AA330" i="16"/>
  <c r="AA331" i="16"/>
  <c r="AA332" i="16"/>
  <c r="AA333" i="16"/>
  <c r="AA334" i="16"/>
  <c r="AA335" i="16"/>
  <c r="AA336" i="16"/>
  <c r="AA337" i="16"/>
  <c r="AA338" i="16"/>
  <c r="AA339" i="16"/>
  <c r="AA340" i="16"/>
  <c r="AA341" i="16"/>
  <c r="AA342" i="16"/>
  <c r="AA343" i="16"/>
  <c r="AA344" i="16"/>
  <c r="AA345" i="16"/>
  <c r="AA346" i="16"/>
  <c r="AA347" i="16"/>
  <c r="AA348" i="16"/>
  <c r="AA349" i="16"/>
  <c r="AA350" i="16"/>
  <c r="AA351" i="16"/>
  <c r="AA352" i="16"/>
  <c r="AA353" i="16"/>
  <c r="AA354" i="16"/>
  <c r="AA355" i="16"/>
  <c r="AA356" i="16"/>
  <c r="AA357" i="16"/>
  <c r="AA358" i="16"/>
  <c r="AA359" i="16"/>
  <c r="AA360" i="16"/>
  <c r="AA361" i="16"/>
  <c r="AA362" i="16"/>
  <c r="AA363" i="16"/>
  <c r="AA364" i="16"/>
  <c r="AA365" i="16"/>
  <c r="AA366" i="16"/>
  <c r="AA367" i="16"/>
  <c r="AA368" i="16"/>
  <c r="AA369" i="16"/>
  <c r="AA370" i="16"/>
  <c r="AA371" i="16"/>
  <c r="AA372" i="16"/>
  <c r="AA373" i="16"/>
  <c r="AA374" i="16"/>
  <c r="AA375" i="16"/>
  <c r="AA376" i="16"/>
  <c r="AA377" i="16"/>
  <c r="AA378" i="16"/>
  <c r="AA379" i="16"/>
  <c r="AA380" i="16"/>
  <c r="AA381" i="16"/>
  <c r="AA382" i="16"/>
  <c r="AA383" i="16"/>
  <c r="AA384" i="16"/>
  <c r="AA385" i="16"/>
  <c r="AA386" i="16"/>
  <c r="AA387" i="16"/>
  <c r="AA388" i="16"/>
  <c r="AA389" i="16"/>
  <c r="AA390" i="16"/>
  <c r="AA391" i="16"/>
  <c r="AA392" i="16"/>
  <c r="AA393" i="16"/>
  <c r="AA394" i="16"/>
  <c r="AA395" i="16"/>
  <c r="AA396" i="16"/>
  <c r="AA397" i="16"/>
  <c r="AA398" i="16"/>
  <c r="AA399" i="16"/>
  <c r="AA400" i="16"/>
  <c r="AA401" i="16"/>
  <c r="AA402" i="16"/>
  <c r="AA403" i="16"/>
  <c r="AA404" i="16"/>
  <c r="AA405" i="16"/>
  <c r="AA406" i="16"/>
  <c r="AA407" i="16"/>
  <c r="AA408" i="16"/>
  <c r="AA409" i="16"/>
  <c r="AA410" i="16"/>
  <c r="AA411" i="16"/>
  <c r="AA412" i="16"/>
  <c r="AA413" i="16"/>
  <c r="AA414" i="16"/>
  <c r="AA415" i="16"/>
  <c r="AA416" i="16"/>
  <c r="AA417" i="16"/>
  <c r="AA418" i="16"/>
  <c r="AA419" i="16"/>
  <c r="AA421" i="16"/>
  <c r="AA422" i="16"/>
  <c r="AA423" i="16"/>
  <c r="AA424" i="16"/>
  <c r="AA425" i="16"/>
  <c r="AA426" i="16"/>
  <c r="AA427" i="16"/>
  <c r="AA428" i="16"/>
  <c r="AA429" i="16"/>
  <c r="AA430" i="16"/>
  <c r="AA431" i="16"/>
  <c r="AA432" i="16"/>
  <c r="AA433" i="16"/>
  <c r="AA434" i="16"/>
  <c r="AA435" i="16"/>
  <c r="AA436" i="16"/>
  <c r="AA437" i="16"/>
  <c r="AA438" i="16"/>
  <c r="AA439" i="16"/>
  <c r="AA440" i="16"/>
  <c r="AA441" i="16"/>
  <c r="AA442" i="16"/>
  <c r="AA443" i="16"/>
  <c r="AA444" i="16"/>
  <c r="AA445" i="16"/>
  <c r="AA446" i="16"/>
  <c r="AA447" i="16"/>
  <c r="AA448" i="16"/>
  <c r="AA449" i="16"/>
  <c r="AA450" i="16"/>
  <c r="AA451" i="16"/>
  <c r="AA452" i="16"/>
  <c r="AA453" i="16"/>
  <c r="AA454" i="16"/>
  <c r="AA455" i="16"/>
  <c r="AA456" i="16"/>
  <c r="AA457" i="16"/>
  <c r="AA458" i="16"/>
  <c r="AA459" i="16"/>
  <c r="AA460" i="16"/>
  <c r="AA461" i="16"/>
  <c r="AA462" i="16"/>
  <c r="AA463" i="16"/>
  <c r="AA464" i="16"/>
  <c r="AA465" i="16"/>
  <c r="AA466" i="16"/>
  <c r="AA467" i="16"/>
  <c r="AA468" i="16"/>
  <c r="AA469" i="16"/>
  <c r="AA470" i="16"/>
  <c r="AA471" i="16"/>
  <c r="AA472" i="16"/>
  <c r="AA473" i="16"/>
  <c r="AA474" i="16"/>
  <c r="AA475" i="16"/>
  <c r="AA476" i="16"/>
  <c r="AA477" i="16"/>
  <c r="AA478" i="16"/>
  <c r="AA479" i="16"/>
  <c r="AA480" i="16"/>
  <c r="AA481" i="16"/>
  <c r="AA482" i="16"/>
  <c r="AA483" i="16"/>
  <c r="AA484" i="16"/>
  <c r="AA485" i="16"/>
  <c r="AA486" i="16"/>
  <c r="AA487" i="16"/>
  <c r="AA488" i="16"/>
  <c r="AA489" i="16"/>
  <c r="AA490" i="16"/>
  <c r="AA491" i="16"/>
  <c r="AA492" i="16"/>
  <c r="AA494" i="16"/>
  <c r="AA495" i="16"/>
  <c r="AA496" i="16"/>
  <c r="AA497" i="16"/>
  <c r="AA498" i="16"/>
  <c r="AA499" i="16"/>
  <c r="AA500" i="16"/>
  <c r="AA501" i="16"/>
  <c r="AA502" i="16"/>
  <c r="AA503" i="16"/>
  <c r="AA504" i="16"/>
  <c r="AA505" i="16"/>
  <c r="AA506" i="16"/>
  <c r="AA507" i="16"/>
  <c r="AA508" i="16"/>
  <c r="AA509" i="16"/>
  <c r="AA510" i="16"/>
  <c r="AA511" i="16"/>
  <c r="AA512" i="16"/>
  <c r="AA513" i="16"/>
  <c r="AA514" i="16"/>
  <c r="AA515" i="16"/>
  <c r="AA516" i="16"/>
  <c r="AA517" i="16"/>
  <c r="AA518" i="16"/>
  <c r="AA519" i="16"/>
  <c r="AA520" i="16"/>
  <c r="AA521" i="16"/>
  <c r="AA522" i="16"/>
  <c r="AA523" i="16"/>
  <c r="AA524" i="16"/>
  <c r="AA525" i="16"/>
  <c r="AA526" i="16"/>
  <c r="AA527" i="16"/>
  <c r="AA528" i="16"/>
  <c r="AA529" i="16"/>
  <c r="AA530" i="16"/>
  <c r="AA531" i="16"/>
  <c r="AA532" i="16"/>
  <c r="AA533" i="16"/>
  <c r="AA534" i="16"/>
  <c r="AA535" i="16"/>
  <c r="AA536" i="16"/>
  <c r="AA537" i="16"/>
  <c r="AA538" i="16"/>
  <c r="AA539" i="16"/>
  <c r="AA540" i="16"/>
  <c r="AA541" i="16"/>
  <c r="AA542" i="16"/>
  <c r="AA543" i="16"/>
  <c r="AA544" i="16"/>
  <c r="AA545" i="16"/>
  <c r="AA546" i="16"/>
  <c r="AA547" i="16"/>
  <c r="AA548" i="16"/>
  <c r="AA549" i="16"/>
  <c r="AA550" i="16"/>
  <c r="AA551" i="16"/>
  <c r="AA552" i="16"/>
  <c r="AA553" i="16"/>
  <c r="AA554" i="16"/>
  <c r="AA555" i="16"/>
  <c r="AA556" i="16"/>
  <c r="AA557" i="16"/>
  <c r="AA558" i="16"/>
  <c r="AA559" i="16"/>
  <c r="AA560" i="16"/>
  <c r="AA561" i="16"/>
  <c r="AA562" i="16"/>
  <c r="AA563" i="16"/>
  <c r="AA564" i="16"/>
  <c r="AA565" i="16"/>
  <c r="AA566" i="16"/>
  <c r="AA567" i="16"/>
  <c r="AA568" i="16"/>
  <c r="AA569" i="16"/>
  <c r="AA570" i="16"/>
  <c r="AA571" i="16"/>
  <c r="AA572" i="16"/>
  <c r="AA573" i="16"/>
  <c r="AA574" i="16"/>
  <c r="AA575" i="16"/>
  <c r="AA576" i="16"/>
  <c r="AA577" i="16"/>
  <c r="AA578" i="16"/>
  <c r="AA579" i="16"/>
  <c r="AA580" i="16"/>
  <c r="AA581" i="16"/>
  <c r="AA582" i="16"/>
  <c r="AA583" i="16"/>
  <c r="AA584" i="16"/>
  <c r="AA585" i="16"/>
  <c r="AA586" i="16"/>
  <c r="AA587" i="16"/>
  <c r="AA588" i="16"/>
  <c r="AA589" i="16"/>
  <c r="AA590" i="16"/>
  <c r="AA591" i="16"/>
  <c r="AA592" i="16"/>
  <c r="AA593" i="16"/>
  <c r="AA594" i="16"/>
  <c r="AA595" i="16"/>
  <c r="AA596" i="16"/>
  <c r="AA597" i="16"/>
  <c r="AA598" i="16"/>
  <c r="AA599" i="16"/>
  <c r="AA600" i="16"/>
  <c r="AA601" i="16"/>
  <c r="AA602" i="16"/>
  <c r="AA603" i="16"/>
  <c r="AA604" i="16"/>
  <c r="AA605" i="16"/>
  <c r="AA606" i="16"/>
  <c r="AA607" i="16"/>
  <c r="AA608" i="16"/>
  <c r="AA609" i="16"/>
  <c r="AA610" i="16"/>
  <c r="AA611" i="16"/>
  <c r="AA612" i="16"/>
  <c r="AA613" i="16"/>
  <c r="AA614" i="16"/>
  <c r="AA615" i="16"/>
  <c r="AA616" i="16"/>
  <c r="AA617" i="16"/>
  <c r="AA618" i="16"/>
  <c r="AA619" i="16"/>
  <c r="AA620" i="16"/>
  <c r="AA621" i="16"/>
  <c r="AA622" i="16"/>
  <c r="AA623" i="16"/>
  <c r="AA624" i="16"/>
  <c r="AA625" i="16"/>
  <c r="AA626" i="16"/>
  <c r="AA627" i="16"/>
  <c r="AA628" i="16"/>
  <c r="AA629" i="16"/>
  <c r="AA630" i="16"/>
  <c r="AA631" i="16"/>
  <c r="AA632" i="16"/>
  <c r="AA633" i="16"/>
  <c r="AA634" i="16"/>
  <c r="AA635" i="16"/>
  <c r="AA636" i="16"/>
  <c r="AA637" i="16"/>
  <c r="AA638" i="16"/>
  <c r="AA639" i="16"/>
  <c r="AA640" i="16"/>
  <c r="AA641" i="16"/>
  <c r="AA642" i="16"/>
  <c r="AA643" i="16"/>
  <c r="AA644" i="16"/>
  <c r="AA645" i="16"/>
  <c r="AA646" i="16"/>
  <c r="AA647" i="16"/>
  <c r="AA648" i="16"/>
  <c r="AA649" i="16"/>
  <c r="AA650" i="16"/>
  <c r="AA651" i="16"/>
  <c r="AA652" i="16"/>
  <c r="AA653" i="16"/>
  <c r="AA654" i="16"/>
  <c r="AA655" i="16"/>
  <c r="AA656" i="16"/>
  <c r="AA657" i="16"/>
  <c r="AA658" i="16"/>
  <c r="AA659" i="16"/>
  <c r="AA660" i="16"/>
  <c r="AA661" i="16"/>
  <c r="AA662" i="16"/>
  <c r="AA663" i="16"/>
  <c r="AA664" i="16"/>
  <c r="AA665" i="16"/>
  <c r="AA666" i="16"/>
  <c r="AA667" i="16"/>
  <c r="AA668" i="16"/>
  <c r="AA669" i="16"/>
  <c r="AA670" i="16"/>
  <c r="AA671" i="16"/>
  <c r="AA672" i="16"/>
  <c r="AA673" i="16"/>
  <c r="AA674" i="16"/>
  <c r="AA675" i="16"/>
  <c r="AA676" i="16"/>
  <c r="AA677" i="16"/>
  <c r="AA678" i="16"/>
  <c r="AA679" i="16"/>
  <c r="AA680" i="16"/>
  <c r="AA681" i="16"/>
  <c r="AA682" i="16"/>
  <c r="AA683" i="16"/>
  <c r="AA684" i="16"/>
  <c r="AA685" i="16"/>
  <c r="AA686" i="16"/>
  <c r="AA687" i="16"/>
  <c r="AA688" i="16"/>
  <c r="AA689" i="16"/>
  <c r="AA690" i="16"/>
  <c r="AA691" i="16"/>
  <c r="AA692" i="16"/>
  <c r="AA693" i="16"/>
  <c r="AA694" i="16"/>
  <c r="AA695" i="16"/>
  <c r="AA696" i="16"/>
  <c r="AA697" i="16"/>
  <c r="AA698" i="16"/>
  <c r="AA699" i="16"/>
  <c r="AA700" i="16"/>
  <c r="AA701" i="16"/>
  <c r="AA702" i="16"/>
  <c r="AA703" i="16"/>
  <c r="AA704" i="16"/>
  <c r="AA705" i="16"/>
  <c r="AA706" i="16"/>
  <c r="AA707" i="16"/>
  <c r="AA708" i="16"/>
  <c r="AA709" i="16"/>
  <c r="AA710" i="16"/>
  <c r="AA711" i="16"/>
  <c r="AA712" i="16"/>
  <c r="AA713" i="16"/>
  <c r="AA714" i="16"/>
  <c r="AA715" i="16"/>
  <c r="AA716" i="16"/>
  <c r="AA717" i="16"/>
  <c r="AA718" i="16"/>
  <c r="AA719" i="16"/>
  <c r="AA720" i="16"/>
  <c r="AA721" i="16"/>
  <c r="AA722" i="16"/>
  <c r="AA723" i="16"/>
  <c r="AA724" i="16"/>
  <c r="AA725" i="16"/>
  <c r="AA726" i="16"/>
  <c r="AA727" i="16"/>
  <c r="AA728" i="16"/>
  <c r="AA729" i="16"/>
  <c r="AA730" i="16"/>
  <c r="AA731" i="16"/>
  <c r="AA733" i="16"/>
  <c r="AA734" i="16"/>
  <c r="AA735" i="16"/>
  <c r="AA737" i="16"/>
  <c r="AA738" i="16"/>
  <c r="AA739" i="16"/>
  <c r="AA740" i="16"/>
  <c r="AA741" i="16"/>
  <c r="AA742" i="16"/>
  <c r="AA743" i="16"/>
  <c r="AA744" i="16"/>
  <c r="AA745" i="16"/>
  <c r="AA746" i="16"/>
  <c r="AA747" i="16"/>
  <c r="AA748" i="16"/>
  <c r="AA749" i="16"/>
  <c r="AA750" i="16"/>
  <c r="AA751" i="16"/>
  <c r="AA752" i="16"/>
  <c r="AA753" i="16"/>
  <c r="AA754" i="16"/>
  <c r="AA755" i="16"/>
  <c r="AA756" i="16"/>
  <c r="AA757" i="16"/>
  <c r="AA758" i="16"/>
  <c r="AA759" i="16"/>
  <c r="AA760" i="16"/>
  <c r="AA761" i="16"/>
  <c r="AA762" i="16"/>
  <c r="AA763" i="16"/>
  <c r="AA764" i="16"/>
  <c r="AA765" i="16"/>
  <c r="AA766" i="16"/>
  <c r="AA767" i="16"/>
  <c r="AA768" i="16"/>
  <c r="AA770" i="16"/>
  <c r="AA772" i="16"/>
  <c r="AA773" i="16"/>
  <c r="AA774" i="16"/>
  <c r="AA775" i="16"/>
  <c r="AA776" i="16"/>
  <c r="AA777" i="16"/>
  <c r="AA778" i="16"/>
  <c r="AA779" i="16"/>
  <c r="AA780" i="16"/>
  <c r="AA781" i="16"/>
  <c r="AA782" i="16"/>
  <c r="AA783" i="16"/>
  <c r="AA784" i="16"/>
  <c r="AA785" i="16"/>
  <c r="AA786" i="16"/>
  <c r="AA787" i="16"/>
  <c r="AA788" i="16"/>
  <c r="AA789" i="16"/>
  <c r="AA790" i="16"/>
  <c r="AA791" i="16"/>
  <c r="AA792" i="16"/>
  <c r="AA793" i="16"/>
  <c r="AA794" i="16"/>
  <c r="AA795" i="16"/>
  <c r="AA796" i="16"/>
  <c r="AA797" i="16"/>
  <c r="AA798" i="16"/>
  <c r="AA799" i="16"/>
  <c r="AA800" i="16"/>
  <c r="AA801" i="16"/>
  <c r="AA802" i="16"/>
  <c r="AA803" i="16"/>
  <c r="AA804" i="16"/>
  <c r="AA805" i="16"/>
  <c r="AA806" i="16"/>
  <c r="AA807" i="16"/>
  <c r="AA808" i="16"/>
  <c r="AA809" i="16"/>
  <c r="AA810" i="16"/>
  <c r="AA811" i="16"/>
  <c r="AA812" i="16"/>
  <c r="AA813" i="16"/>
  <c r="AA814" i="16"/>
  <c r="AA815" i="16"/>
  <c r="AA816" i="16"/>
  <c r="AA817" i="16"/>
  <c r="AA818" i="16"/>
  <c r="AA819" i="16"/>
  <c r="AA820" i="16"/>
  <c r="AA821" i="16"/>
  <c r="AA822" i="16"/>
  <c r="AA823" i="16"/>
  <c r="AA824" i="16"/>
  <c r="AA825" i="16"/>
  <c r="AA826" i="16"/>
  <c r="AA827" i="16"/>
  <c r="AA828" i="16"/>
  <c r="AA829" i="16"/>
  <c r="AA830" i="16"/>
  <c r="AA831" i="16"/>
  <c r="AA832" i="16"/>
  <c r="AA833" i="16"/>
  <c r="AA834" i="16"/>
  <c r="AA835" i="16"/>
  <c r="AA836" i="16"/>
  <c r="AA837" i="16"/>
  <c r="AA838" i="16"/>
  <c r="AA839" i="16"/>
  <c r="AA840" i="16"/>
  <c r="AA841" i="16"/>
  <c r="AA842" i="16"/>
  <c r="AA843" i="16"/>
  <c r="AA844" i="16"/>
  <c r="AA845" i="16"/>
  <c r="AA846" i="16"/>
  <c r="AA847" i="16"/>
  <c r="AA848" i="16"/>
  <c r="AA849" i="16"/>
  <c r="AA850" i="16"/>
  <c r="AA851" i="16"/>
  <c r="AA852" i="16"/>
  <c r="AA853" i="16"/>
  <c r="AA854" i="16"/>
  <c r="AA855" i="16"/>
  <c r="AA856" i="16"/>
  <c r="AA857" i="16"/>
  <c r="AA858" i="16"/>
  <c r="AA859" i="16"/>
  <c r="AA860" i="16"/>
  <c r="AA861" i="16"/>
  <c r="AA862" i="16"/>
  <c r="AA863" i="16"/>
  <c r="AA864" i="16"/>
  <c r="AA865" i="16"/>
  <c r="AA866" i="16"/>
  <c r="AA867" i="16"/>
  <c r="AA868" i="16"/>
  <c r="AA869" i="16"/>
  <c r="AA870" i="16"/>
  <c r="AA871" i="16"/>
  <c r="AA872" i="16"/>
  <c r="AA873" i="16"/>
  <c r="AA874" i="16"/>
  <c r="AA875" i="16"/>
  <c r="AA876" i="16"/>
  <c r="AA877" i="16"/>
  <c r="AA878" i="16"/>
  <c r="AA879" i="16"/>
  <c r="AA880" i="16"/>
  <c r="AA881" i="16"/>
  <c r="AA882" i="16"/>
  <c r="AA883" i="16"/>
  <c r="AA884" i="16"/>
  <c r="AA885" i="16"/>
  <c r="AA886" i="16"/>
  <c r="AA887" i="16"/>
  <c r="AA888" i="16"/>
  <c r="AA889" i="16"/>
  <c r="AA890" i="16"/>
  <c r="AA891" i="16"/>
  <c r="AA892" i="16"/>
  <c r="AA893" i="16"/>
  <c r="AA894" i="16"/>
  <c r="AA895" i="16"/>
  <c r="AA896" i="16"/>
  <c r="AA897" i="16"/>
  <c r="AA898" i="16"/>
  <c r="AA899" i="16"/>
  <c r="AA900" i="16"/>
  <c r="AA901" i="16"/>
  <c r="AA902" i="16"/>
  <c r="AA903" i="16"/>
  <c r="AA904" i="16"/>
  <c r="AA905" i="16"/>
  <c r="AA906" i="16"/>
  <c r="AA907" i="16"/>
  <c r="AA908" i="16"/>
  <c r="AA909" i="16"/>
  <c r="AA910" i="16"/>
  <c r="AA911" i="16"/>
  <c r="AA912" i="16"/>
  <c r="AA913" i="16"/>
  <c r="AA914" i="16"/>
  <c r="AA915" i="16"/>
  <c r="AA916" i="16"/>
  <c r="AA917" i="16"/>
  <c r="AA918" i="16"/>
  <c r="AA919" i="16"/>
  <c r="AA920" i="16"/>
  <c r="AA921" i="16"/>
  <c r="AA922" i="16"/>
  <c r="AA923" i="16"/>
  <c r="AA924" i="16"/>
  <c r="AA925" i="16"/>
  <c r="AA926" i="16"/>
  <c r="AA927" i="16"/>
  <c r="AA928" i="16"/>
  <c r="AA929" i="16"/>
  <c r="AA930" i="16"/>
  <c r="AA931" i="16"/>
  <c r="AA932" i="16"/>
  <c r="AA933" i="16"/>
  <c r="AA934" i="16"/>
  <c r="AA935" i="16"/>
  <c r="AA936" i="16"/>
  <c r="AA937" i="16"/>
  <c r="AA938" i="16"/>
  <c r="AA939" i="16"/>
  <c r="AA940" i="16"/>
  <c r="AA941" i="16"/>
  <c r="AA942" i="16"/>
  <c r="AA943" i="16"/>
  <c r="AA944" i="16"/>
  <c r="AA945" i="16"/>
  <c r="AA946" i="16"/>
  <c r="AA947" i="16"/>
  <c r="AA948" i="16"/>
  <c r="AA949" i="16"/>
  <c r="AA950" i="16"/>
  <c r="AA951" i="16"/>
  <c r="AA952" i="16"/>
  <c r="AA953" i="16"/>
  <c r="AA954" i="16"/>
  <c r="AA955" i="16"/>
  <c r="AA956" i="16"/>
  <c r="AA958" i="16"/>
  <c r="AA959" i="16"/>
  <c r="AA960" i="16"/>
  <c r="AA961" i="16"/>
  <c r="AA962" i="16"/>
  <c r="AA963" i="16"/>
  <c r="AA964" i="16"/>
  <c r="AA965" i="16"/>
  <c r="AA966" i="16"/>
  <c r="AA967" i="16"/>
  <c r="AA968" i="16"/>
  <c r="AA969" i="16"/>
  <c r="AA970" i="16"/>
  <c r="AA971" i="16"/>
  <c r="AA972" i="16"/>
  <c r="AA973" i="16"/>
  <c r="AA974" i="16"/>
  <c r="AA975" i="16"/>
  <c r="AA976" i="16"/>
  <c r="AA977" i="16"/>
  <c r="AA978" i="16"/>
  <c r="AA979" i="16"/>
  <c r="AA980" i="16"/>
  <c r="AA981" i="16"/>
  <c r="AA982" i="16"/>
  <c r="AA983" i="16"/>
  <c r="AA984" i="16"/>
  <c r="AA985" i="16"/>
  <c r="AA986" i="16"/>
  <c r="AA987" i="16"/>
  <c r="AA988" i="16"/>
  <c r="AA989" i="16"/>
  <c r="AA990" i="16"/>
  <c r="AA991" i="16"/>
  <c r="AA992" i="16"/>
  <c r="AA993" i="16"/>
  <c r="AA994" i="16"/>
  <c r="AA995" i="16"/>
  <c r="AA996" i="16"/>
  <c r="AA997" i="16"/>
  <c r="AA998" i="16"/>
  <c r="AA999" i="16"/>
  <c r="AA1000" i="16"/>
  <c r="AA1001" i="16"/>
  <c r="AA1002" i="16"/>
  <c r="AA1003" i="16"/>
  <c r="AA1004" i="16"/>
  <c r="AA1005" i="16"/>
  <c r="AA1006" i="16"/>
  <c r="AA1007" i="16"/>
  <c r="AA1008" i="16"/>
  <c r="AA1009" i="16"/>
  <c r="AA1010" i="16"/>
  <c r="AA1011" i="16"/>
  <c r="AA1012" i="16"/>
  <c r="AA1013" i="16"/>
  <c r="AA1014" i="16"/>
  <c r="AA1015" i="16"/>
  <c r="AA1016" i="16"/>
  <c r="AA1017" i="16"/>
  <c r="AA1018" i="16"/>
  <c r="AA1019" i="16"/>
  <c r="AA1020" i="16"/>
  <c r="AA1021" i="16"/>
  <c r="AA1022" i="16"/>
  <c r="AA1023" i="16"/>
  <c r="AA1024" i="16"/>
  <c r="AA1025" i="16"/>
  <c r="AA1026" i="16"/>
  <c r="AA1027" i="16"/>
  <c r="AA1028" i="16"/>
  <c r="AA1029" i="16"/>
  <c r="AA1030" i="16"/>
  <c r="AA1031" i="16"/>
  <c r="AA1032" i="16"/>
  <c r="AA1033" i="16"/>
  <c r="AA1034" i="16"/>
  <c r="AA1035" i="16"/>
  <c r="AA1036" i="16"/>
  <c r="AA1037" i="16"/>
  <c r="AA1038" i="16"/>
  <c r="AA1039" i="16"/>
  <c r="AA1040" i="16"/>
  <c r="AA1041" i="16"/>
  <c r="AA1042" i="16"/>
  <c r="AA1043" i="16"/>
  <c r="AA1044" i="16"/>
  <c r="AA1045" i="16"/>
  <c r="AA1046" i="16"/>
  <c r="AA1047" i="16"/>
  <c r="AA1048" i="16"/>
  <c r="AA1049" i="16"/>
  <c r="AA1050" i="16"/>
  <c r="AA1051" i="16"/>
  <c r="AA1052" i="16"/>
  <c r="AA1053" i="16"/>
  <c r="AA1054" i="16"/>
  <c r="AA1055" i="16"/>
  <c r="AA1056" i="16"/>
  <c r="AA1057" i="16"/>
  <c r="AA1058" i="16"/>
  <c r="AA1059" i="16"/>
  <c r="AA1060" i="16"/>
  <c r="AA1061" i="16"/>
  <c r="AA1062" i="16"/>
  <c r="AA1063" i="16"/>
  <c r="AA1064" i="16"/>
  <c r="AA1065" i="16"/>
  <c r="AA1066" i="16"/>
  <c r="AA1067" i="16"/>
  <c r="AA1068" i="16"/>
  <c r="AA1069" i="16"/>
  <c r="AA1070" i="16"/>
  <c r="AA1071" i="16"/>
  <c r="AA1072" i="16"/>
  <c r="AA1073" i="16"/>
  <c r="AA1074" i="16"/>
  <c r="AA1075" i="16"/>
  <c r="AA1076" i="16"/>
  <c r="AA1077" i="16"/>
  <c r="AA1078" i="16"/>
  <c r="AA1079" i="16"/>
  <c r="AA1080" i="16"/>
  <c r="AA1081" i="16"/>
  <c r="AA1082" i="16"/>
  <c r="AA1083" i="16"/>
  <c r="AA1084" i="16"/>
  <c r="AA1085" i="16"/>
  <c r="AA1086" i="16"/>
  <c r="AA1087" i="16"/>
  <c r="AA1088" i="16"/>
  <c r="AA1089" i="16"/>
  <c r="AA1090" i="16"/>
  <c r="AA1091" i="16"/>
  <c r="AA1092" i="16"/>
  <c r="AA1093" i="16"/>
  <c r="AA1094" i="16"/>
  <c r="AA1095" i="16"/>
  <c r="AA1096" i="16"/>
  <c r="AA1097" i="16"/>
  <c r="AA1098" i="16"/>
  <c r="AA1099" i="16"/>
  <c r="AA1100" i="16"/>
  <c r="AA1101" i="16"/>
  <c r="AA1102" i="16"/>
  <c r="AA1103" i="16"/>
  <c r="AA1104" i="16"/>
  <c r="AA1105" i="16"/>
  <c r="AA1106" i="16"/>
  <c r="AA1107" i="16"/>
  <c r="AA1108" i="16"/>
  <c r="AA1109" i="16"/>
  <c r="AA1110" i="16"/>
  <c r="AA1111" i="16"/>
  <c r="AA1112" i="16"/>
  <c r="AA1113" i="16"/>
  <c r="AA1114" i="16"/>
  <c r="AA1115" i="16"/>
  <c r="AA1116" i="16"/>
  <c r="AA1117" i="16"/>
  <c r="AA1118" i="16"/>
  <c r="AA1119" i="16"/>
  <c r="AA1120" i="16"/>
  <c r="AA1121" i="16"/>
  <c r="AA1122" i="16"/>
  <c r="AA1123" i="16"/>
  <c r="AA1124" i="16"/>
  <c r="AA1125" i="16"/>
  <c r="AA1126" i="16"/>
  <c r="AA1127" i="16"/>
  <c r="AA1128" i="16"/>
  <c r="AA1129" i="16"/>
  <c r="AA1130" i="16"/>
  <c r="AA1131" i="16"/>
  <c r="AA1132" i="16"/>
  <c r="AA1133" i="16"/>
  <c r="AA1134" i="16"/>
  <c r="AA1135" i="16"/>
  <c r="AA1136" i="16"/>
  <c r="AA1137" i="16"/>
  <c r="AA1138" i="16"/>
  <c r="AA1139" i="16"/>
  <c r="AA1140" i="16"/>
  <c r="AA1141" i="16"/>
  <c r="AA1142" i="16"/>
  <c r="AA1143" i="16"/>
  <c r="AA1144" i="16"/>
  <c r="AA1145" i="16"/>
  <c r="AA1146" i="16"/>
  <c r="AA1147" i="16"/>
  <c r="AA1148" i="16"/>
  <c r="AA1149" i="16"/>
  <c r="AA1150" i="16"/>
  <c r="AA1151" i="16"/>
  <c r="AA1152" i="16"/>
  <c r="AA1153" i="16"/>
  <c r="AA1154" i="16"/>
  <c r="AA1155" i="16"/>
  <c r="AA1156" i="16"/>
  <c r="AA1157" i="16"/>
  <c r="AA1158" i="16"/>
  <c r="AA1159" i="16"/>
  <c r="AA1160" i="16"/>
  <c r="AA1161" i="16"/>
  <c r="AA1162" i="16"/>
  <c r="AA1163" i="16"/>
  <c r="AA1164" i="16"/>
  <c r="AA1165" i="16"/>
  <c r="AA1166" i="16"/>
  <c r="AA1167" i="16"/>
  <c r="AA1168" i="16"/>
  <c r="AA1169" i="16"/>
  <c r="AA1170" i="16"/>
  <c r="AA1171" i="16"/>
  <c r="AA1172" i="16"/>
  <c r="AA1173" i="16"/>
  <c r="AA1174" i="16"/>
  <c r="AA1175" i="16"/>
  <c r="AA1176" i="16"/>
  <c r="AA1177" i="16"/>
  <c r="AA1178" i="16"/>
  <c r="AA1179" i="16"/>
  <c r="AA1181" i="16"/>
  <c r="AA1182" i="16"/>
  <c r="AA1183" i="16"/>
  <c r="AA1184" i="16"/>
  <c r="AA1185" i="16"/>
  <c r="AA1186" i="16"/>
  <c r="AA1187" i="16"/>
  <c r="AA1188" i="16"/>
  <c r="AA1189" i="16"/>
  <c r="AA1190" i="16"/>
  <c r="AA1191" i="16"/>
  <c r="AA1192" i="16"/>
  <c r="AA1194" i="16"/>
  <c r="AA1195" i="16"/>
  <c r="AA1196" i="16"/>
  <c r="AA1197" i="16"/>
  <c r="AA1198" i="16"/>
  <c r="AA1199" i="16"/>
  <c r="AA1200" i="16"/>
  <c r="AA1201" i="16"/>
  <c r="AA1202" i="16"/>
  <c r="AA1203" i="16"/>
  <c r="AA1204" i="16"/>
  <c r="AA1205" i="16"/>
  <c r="AA1206" i="16"/>
  <c r="AA1207" i="16"/>
  <c r="AA1208" i="16"/>
  <c r="AA1209" i="16"/>
  <c r="AA1210" i="16"/>
  <c r="AA1211" i="16"/>
  <c r="AA1212" i="16"/>
  <c r="AA1213" i="16"/>
  <c r="AA1214" i="16"/>
  <c r="AA1215" i="16"/>
  <c r="AA1216" i="16"/>
  <c r="AA1217" i="16"/>
  <c r="AA1218" i="16"/>
  <c r="AA1219" i="16"/>
  <c r="AA1220" i="16"/>
  <c r="AA1221" i="16"/>
  <c r="AA1222" i="16"/>
  <c r="AA1223" i="16"/>
  <c r="AA1224" i="16"/>
  <c r="AA1225" i="16"/>
  <c r="AA1226" i="16"/>
  <c r="AA1227" i="16"/>
  <c r="AA1228" i="16"/>
  <c r="AA1229" i="16"/>
  <c r="AA1230" i="16"/>
  <c r="AA1231" i="16"/>
  <c r="AA1232" i="16"/>
  <c r="AA1233" i="16"/>
  <c r="AA1234" i="16"/>
  <c r="AA1235" i="16"/>
  <c r="AA1236" i="16"/>
  <c r="AA1237" i="16"/>
  <c r="AA1238" i="16"/>
  <c r="AA1239" i="16"/>
  <c r="AA1241" i="16"/>
  <c r="AA1242" i="16"/>
  <c r="AA1243" i="16"/>
  <c r="AA1244" i="16"/>
  <c r="AA1245" i="16"/>
  <c r="AA1246" i="16"/>
  <c r="AA1248" i="16"/>
  <c r="AA1249" i="16"/>
  <c r="AA1250" i="16"/>
  <c r="AA1251" i="16"/>
  <c r="AA1254" i="16"/>
  <c r="AA1255" i="16"/>
  <c r="AA1256" i="16"/>
  <c r="AA1257" i="16"/>
  <c r="AA1258" i="16"/>
  <c r="AA1259" i="16"/>
  <c r="AA1260" i="16"/>
  <c r="AA1261" i="16"/>
  <c r="AA1262" i="16"/>
  <c r="AA1263" i="16"/>
  <c r="AA1264" i="16"/>
  <c r="AA1265" i="16"/>
  <c r="AA1266" i="16"/>
  <c r="AA1267" i="16"/>
  <c r="AA1268" i="16"/>
  <c r="AA1269" i="16"/>
  <c r="AA1270" i="16"/>
  <c r="AA1271" i="16"/>
  <c r="AA1272" i="16"/>
  <c r="AA1273" i="16"/>
  <c r="AA1274" i="16"/>
  <c r="AA1275" i="16"/>
  <c r="AA1276" i="16"/>
  <c r="AA1277" i="16"/>
  <c r="AA1278" i="16"/>
  <c r="AA1279" i="16"/>
  <c r="AA1280" i="16"/>
  <c r="AA1281" i="16"/>
  <c r="AA1282" i="16"/>
  <c r="AA1283" i="16"/>
  <c r="AA1284" i="16"/>
  <c r="AA1285" i="16"/>
  <c r="AA1286" i="16"/>
  <c r="AA1287" i="16"/>
  <c r="AA1288" i="16"/>
  <c r="AA1289" i="16"/>
  <c r="AA1290" i="16"/>
  <c r="AA1291" i="16"/>
  <c r="AA1292" i="16"/>
  <c r="AA1293" i="16"/>
  <c r="AA1294" i="16"/>
  <c r="AA1295" i="16"/>
  <c r="AA1296" i="16"/>
  <c r="AA1297" i="16"/>
  <c r="AA1298" i="16"/>
  <c r="AA1299" i="16"/>
  <c r="AA1300" i="16"/>
  <c r="AA1301" i="16"/>
  <c r="AA1302" i="16"/>
  <c r="AA1304" i="16"/>
  <c r="AA1305" i="16"/>
  <c r="AA1306" i="16"/>
  <c r="AA1307" i="16"/>
  <c r="AA1308" i="16"/>
  <c r="AA1309" i="16"/>
  <c r="AA1310" i="16"/>
  <c r="AA1311" i="16"/>
  <c r="AA1312" i="16"/>
  <c r="AA1313" i="16"/>
  <c r="AA1314" i="16"/>
  <c r="AA1315" i="16"/>
  <c r="AA1316" i="16"/>
  <c r="AA1317" i="16"/>
  <c r="AA1318" i="16"/>
  <c r="AA1319" i="16"/>
  <c r="AA1320" i="16"/>
  <c r="AA1321" i="16"/>
  <c r="AA1322" i="16"/>
  <c r="AA1323" i="16"/>
  <c r="AA1324" i="16"/>
  <c r="AA1325" i="16"/>
  <c r="AA1326" i="16"/>
  <c r="AA1327" i="16"/>
  <c r="AA1328" i="16"/>
  <c r="AA1329" i="16"/>
  <c r="AA1330" i="16"/>
  <c r="AA1331" i="16"/>
  <c r="AA1332" i="16"/>
  <c r="AA1333" i="16"/>
  <c r="AA1334" i="16"/>
  <c r="AA1335" i="16"/>
  <c r="AA1336" i="16"/>
  <c r="AA1337" i="16"/>
  <c r="AA1338" i="16"/>
  <c r="AA1339" i="16"/>
  <c r="AA1340" i="16"/>
  <c r="AA1341" i="16"/>
  <c r="AA1342" i="16"/>
  <c r="AA1343" i="16"/>
  <c r="AA1344" i="16"/>
  <c r="AA1345" i="16"/>
  <c r="AA1346" i="16"/>
  <c r="AA1347" i="16"/>
  <c r="AA1348" i="16"/>
  <c r="AA1349" i="16"/>
  <c r="AA1350" i="16"/>
  <c r="AA1351" i="16"/>
  <c r="AA1352" i="16"/>
  <c r="AA1353" i="16"/>
  <c r="AA1354" i="16"/>
  <c r="AA1355" i="16"/>
  <c r="AA1356" i="16"/>
  <c r="AA1357" i="16"/>
  <c r="AA1358" i="16"/>
  <c r="AA1359" i="16"/>
  <c r="AA1360" i="16"/>
  <c r="AA1361" i="16"/>
  <c r="AA1362" i="16"/>
  <c r="AA1363" i="16"/>
  <c r="AA1364" i="16"/>
  <c r="AA1365" i="16"/>
  <c r="AA1366" i="16"/>
  <c r="AA1367" i="16"/>
  <c r="AA1368" i="16"/>
  <c r="AA1369" i="16"/>
  <c r="AA1370" i="16"/>
  <c r="AA1371" i="16"/>
  <c r="AA1372" i="16"/>
  <c r="AA1373" i="16"/>
  <c r="AA1374" i="16"/>
  <c r="AA1375" i="16"/>
  <c r="AA1376" i="16"/>
  <c r="AA1377" i="16"/>
  <c r="AA1378" i="16"/>
  <c r="AA1379" i="16"/>
  <c r="AA1380" i="16"/>
  <c r="AA1381" i="16"/>
  <c r="AA1382" i="16"/>
  <c r="AA1383" i="16"/>
  <c r="AA1384" i="16"/>
  <c r="AA1385" i="16"/>
  <c r="AA1386" i="16"/>
  <c r="AA1387" i="16"/>
  <c r="AA1388" i="16"/>
  <c r="AA1389" i="16"/>
  <c r="AA1390" i="16"/>
  <c r="AA1391" i="16"/>
  <c r="AA1392" i="16"/>
  <c r="AA1393" i="16"/>
  <c r="AA1394" i="16"/>
  <c r="AA1395" i="16"/>
  <c r="AA1396" i="16"/>
  <c r="AA1397" i="16"/>
  <c r="AA1398" i="16"/>
  <c r="AA1399" i="16"/>
  <c r="AA1400" i="16"/>
  <c r="AA1401" i="16"/>
  <c r="AA1402" i="16"/>
  <c r="AA1403" i="16"/>
  <c r="AA1404" i="16"/>
  <c r="AA1405" i="16"/>
  <c r="AA1406" i="16"/>
  <c r="AA1407" i="16"/>
  <c r="AA1408" i="16"/>
  <c r="AA1409" i="16"/>
  <c r="AA1410" i="16"/>
  <c r="AA1411" i="16"/>
  <c r="AA1412" i="16"/>
  <c r="AA1413" i="16"/>
  <c r="AA1414" i="16"/>
  <c r="AA1415" i="16"/>
  <c r="AA1416" i="16"/>
  <c r="AA1417" i="16"/>
  <c r="AA1418" i="16"/>
  <c r="AA1419" i="16"/>
  <c r="AA1420" i="16"/>
  <c r="AA1421" i="16"/>
  <c r="AA1422" i="16"/>
  <c r="AA1423" i="16"/>
  <c r="AA1424" i="16"/>
  <c r="AA1425" i="16"/>
  <c r="AA1426" i="16"/>
  <c r="AA1427" i="16"/>
  <c r="AA1428" i="16"/>
  <c r="AA1430" i="16"/>
  <c r="AA1431" i="16"/>
  <c r="AA1432" i="16"/>
  <c r="AA1433" i="16"/>
  <c r="AA1434" i="16"/>
  <c r="AA1435" i="16"/>
  <c r="AA1436" i="16"/>
  <c r="AA1437" i="16"/>
  <c r="AA1438" i="16"/>
  <c r="AA1439" i="16"/>
  <c r="AA1440" i="16"/>
  <c r="AA1441" i="16"/>
  <c r="AA1443" i="16"/>
  <c r="AA1444" i="16"/>
  <c r="AA1445" i="16"/>
  <c r="AA1446" i="16"/>
  <c r="AA1447" i="16"/>
  <c r="AA1448" i="16"/>
  <c r="AA1449" i="16"/>
  <c r="AA1450" i="16"/>
  <c r="AA1451" i="16"/>
  <c r="AA1452" i="16"/>
  <c r="AA1453" i="16"/>
  <c r="AA1454" i="16"/>
  <c r="AA1455" i="16"/>
  <c r="AA1456" i="16"/>
  <c r="AA1457" i="16"/>
  <c r="AA1458" i="16"/>
  <c r="AA1459" i="16"/>
  <c r="AA1460" i="16"/>
  <c r="AA1461" i="16"/>
  <c r="AA1462" i="16"/>
  <c r="AA1463" i="16"/>
  <c r="AA1464" i="16"/>
  <c r="AA1465" i="16"/>
  <c r="AA1466" i="16"/>
  <c r="AA1467" i="16"/>
  <c r="AA1468" i="16"/>
  <c r="AA1469" i="16"/>
  <c r="AA1470" i="16"/>
  <c r="AA1471" i="16"/>
  <c r="AA1472" i="16"/>
  <c r="AA1473" i="16"/>
  <c r="AA1474" i="16"/>
  <c r="AA1475" i="16"/>
  <c r="AA1476" i="16"/>
  <c r="AA1477" i="16"/>
  <c r="AA1479" i="16"/>
  <c r="AA1480" i="16"/>
  <c r="AA1481" i="16"/>
  <c r="AA1482" i="16"/>
  <c r="AA1483" i="16"/>
  <c r="AA1484" i="16"/>
  <c r="AA1485" i="16"/>
  <c r="AA1486" i="16"/>
  <c r="AA1487" i="16"/>
  <c r="AA1488" i="16"/>
  <c r="AA1489" i="16"/>
  <c r="AA1490" i="16"/>
  <c r="AA1491" i="16"/>
  <c r="AA1492" i="16"/>
  <c r="AA1493" i="16"/>
  <c r="AA1494" i="16"/>
  <c r="AA1495" i="16"/>
  <c r="AA1496" i="16"/>
  <c r="AA1497" i="16"/>
  <c r="AA1498" i="16"/>
  <c r="AA1499" i="16"/>
  <c r="AA1500" i="16"/>
  <c r="AA1501" i="16"/>
  <c r="AA1502" i="16"/>
  <c r="AA1503" i="16"/>
  <c r="AA1504" i="16"/>
  <c r="AA1505" i="16"/>
  <c r="AA1506" i="16"/>
  <c r="AA1507" i="16"/>
  <c r="AA1508" i="16"/>
  <c r="AA1509" i="16"/>
  <c r="AA1510" i="16"/>
  <c r="AA1511" i="16"/>
  <c r="AA1512" i="16"/>
  <c r="AA1513" i="16"/>
  <c r="AA1514" i="16"/>
  <c r="AA1515" i="16"/>
  <c r="AA1516" i="16"/>
  <c r="AA1517" i="16"/>
  <c r="AA1518" i="16"/>
  <c r="AA1519" i="16"/>
  <c r="AA1520" i="16"/>
  <c r="AA1521" i="16"/>
  <c r="AA1522" i="16"/>
  <c r="AA1523" i="16"/>
  <c r="AA1524" i="16"/>
  <c r="AA1525" i="16"/>
  <c r="AA1526" i="16"/>
  <c r="AA1527" i="16"/>
  <c r="AA1528" i="16"/>
  <c r="AA1529" i="16"/>
  <c r="AA1530" i="16"/>
  <c r="AA1531" i="16"/>
  <c r="AA1532" i="16"/>
  <c r="AA1533" i="16"/>
  <c r="AA1534" i="16"/>
  <c r="AA1535" i="16"/>
  <c r="AA1536" i="16"/>
  <c r="AA1537" i="16"/>
  <c r="AA1538" i="16"/>
  <c r="AA1539" i="16"/>
  <c r="AA1540" i="16"/>
  <c r="AA1541" i="16"/>
  <c r="AA1542" i="16"/>
  <c r="AA1543" i="16"/>
  <c r="AA1544" i="16"/>
  <c r="AA1545" i="16"/>
  <c r="AA1546" i="16"/>
  <c r="AA1547" i="16"/>
  <c r="AA1548" i="16"/>
  <c r="AA1549" i="16"/>
  <c r="AA1550" i="16"/>
  <c r="AA1551" i="16"/>
  <c r="AA1552" i="16"/>
  <c r="AA1553" i="16"/>
  <c r="AA1554" i="16"/>
  <c r="AA1555" i="16"/>
  <c r="AA1556" i="16"/>
  <c r="AA1557" i="16"/>
  <c r="AA1558" i="16"/>
  <c r="AA1559" i="16"/>
  <c r="AA1560" i="16"/>
  <c r="AA1561" i="16"/>
  <c r="AA1562" i="16"/>
  <c r="AA1563" i="16"/>
  <c r="AA1564" i="16"/>
  <c r="AA1565" i="16"/>
  <c r="AA1566" i="16"/>
  <c r="AA1567" i="16"/>
  <c r="AA1568" i="16"/>
  <c r="AA1569" i="16"/>
  <c r="AA1570" i="16"/>
  <c r="AA1571" i="16"/>
  <c r="AA1572" i="16"/>
  <c r="AA1573" i="16"/>
  <c r="AA1574" i="16"/>
  <c r="AA1575" i="16"/>
  <c r="AA1576" i="16"/>
  <c r="AA1577" i="16"/>
  <c r="AA1578" i="16"/>
  <c r="AA1579" i="16"/>
  <c r="AA1580" i="16"/>
  <c r="AA1581" i="16"/>
  <c r="AA1582" i="16"/>
  <c r="AA1583" i="16"/>
  <c r="AA1584" i="16"/>
  <c r="AA1585" i="16"/>
  <c r="AA1586" i="16"/>
  <c r="AA1587" i="16"/>
  <c r="AA1588" i="16"/>
  <c r="AA1589" i="16"/>
  <c r="AA1590" i="16"/>
  <c r="AA1591" i="16"/>
  <c r="AA1592" i="16"/>
  <c r="AA1593" i="16"/>
  <c r="AA1594" i="16"/>
  <c r="AA1595" i="16"/>
  <c r="AA1596" i="16"/>
  <c r="AA1597" i="16"/>
  <c r="AA1598" i="16"/>
  <c r="AA1599" i="16"/>
  <c r="AA1600" i="16"/>
  <c r="AA1601" i="16"/>
  <c r="AA1602" i="16"/>
  <c r="AA1603" i="16"/>
  <c r="AA1604" i="16"/>
  <c r="AA1605" i="16"/>
  <c r="AA1606" i="16"/>
  <c r="AA1607" i="16"/>
  <c r="AA1608" i="16"/>
  <c r="AA1609" i="16"/>
  <c r="AA1610" i="16"/>
  <c r="AA1611" i="16"/>
  <c r="AA1612" i="16"/>
  <c r="AA1613" i="16"/>
  <c r="AA1614" i="16"/>
  <c r="A6" i="20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V7" i="4" l="1"/>
  <c r="L37" i="4"/>
  <c r="L33" i="4"/>
  <c r="H405" i="20"/>
  <c r="H404" i="20"/>
  <c r="H364" i="20"/>
  <c r="H363" i="20"/>
  <c r="J405" i="20"/>
  <c r="J404" i="20"/>
  <c r="F363" i="20"/>
  <c r="F364" i="20"/>
  <c r="G364" i="20"/>
  <c r="G363" i="20"/>
  <c r="C364" i="20"/>
  <c r="C363" i="20"/>
  <c r="M364" i="20"/>
  <c r="M363" i="20"/>
  <c r="E405" i="20"/>
  <c r="E404" i="20"/>
  <c r="K364" i="20"/>
  <c r="K363" i="20"/>
  <c r="D364" i="20"/>
  <c r="D363" i="20"/>
  <c r="C405" i="20"/>
  <c r="C404" i="20"/>
  <c r="G405" i="20"/>
  <c r="G404" i="20"/>
  <c r="I364" i="20"/>
  <c r="I363" i="20"/>
  <c r="I405" i="20"/>
  <c r="I404" i="20"/>
  <c r="E364" i="20"/>
  <c r="E363" i="20"/>
  <c r="K405" i="20"/>
  <c r="K404" i="20"/>
  <c r="J364" i="20"/>
  <c r="J363" i="20"/>
  <c r="B405" i="20"/>
  <c r="B404" i="20"/>
  <c r="D405" i="20"/>
  <c r="D404" i="20"/>
  <c r="L364" i="20"/>
  <c r="L363" i="20"/>
  <c r="F405" i="20"/>
  <c r="F404" i="20"/>
  <c r="AC15" i="19"/>
  <c r="M13" i="1" s="1"/>
  <c r="AD15" i="19"/>
  <c r="N13" i="1" s="1"/>
  <c r="I322" i="20"/>
  <c r="I323" i="20"/>
  <c r="B322" i="20"/>
  <c r="B323" i="20"/>
  <c r="F322" i="20"/>
  <c r="F323" i="20"/>
  <c r="K322" i="20"/>
  <c r="K323" i="20"/>
  <c r="G322" i="20"/>
  <c r="G323" i="20"/>
  <c r="J322" i="20"/>
  <c r="J323" i="20"/>
  <c r="C322" i="20"/>
  <c r="C323" i="20"/>
  <c r="E281" i="20"/>
  <c r="E282" i="20"/>
  <c r="L281" i="20"/>
  <c r="L282" i="20"/>
  <c r="C281" i="20"/>
  <c r="C282" i="20"/>
  <c r="H282" i="20"/>
  <c r="H281" i="20"/>
  <c r="B282" i="20"/>
  <c r="B281" i="20"/>
  <c r="F281" i="20"/>
  <c r="F282" i="20"/>
  <c r="G281" i="20"/>
  <c r="G282" i="20"/>
  <c r="M281" i="20"/>
  <c r="M282" i="20"/>
  <c r="G240" i="20"/>
  <c r="G241" i="20"/>
  <c r="I240" i="20"/>
  <c r="I241" i="20"/>
  <c r="L240" i="20"/>
  <c r="L241" i="20"/>
  <c r="J240" i="20"/>
  <c r="J241" i="20"/>
  <c r="K240" i="20"/>
  <c r="K241" i="20"/>
  <c r="B240" i="20"/>
  <c r="B241" i="20"/>
  <c r="H240" i="20"/>
  <c r="H241" i="20"/>
  <c r="D240" i="20"/>
  <c r="D241" i="20"/>
  <c r="M240" i="20"/>
  <c r="M241" i="20"/>
  <c r="K199" i="20"/>
  <c r="K200" i="20"/>
  <c r="G199" i="20"/>
  <c r="G200" i="20"/>
  <c r="C199" i="20"/>
  <c r="C200" i="20"/>
  <c r="E199" i="20"/>
  <c r="E200" i="20"/>
  <c r="J200" i="20"/>
  <c r="J199" i="20"/>
  <c r="H199" i="20"/>
  <c r="H200" i="20"/>
  <c r="B200" i="20"/>
  <c r="B199" i="20"/>
  <c r="F199" i="20"/>
  <c r="F200" i="20"/>
  <c r="D200" i="20"/>
  <c r="D199" i="20"/>
  <c r="L6" i="19"/>
  <c r="K6" i="19"/>
  <c r="M6" i="19"/>
  <c r="F6" i="19"/>
  <c r="J6" i="19"/>
  <c r="N6" i="19"/>
  <c r="C6" i="19"/>
  <c r="I6" i="19"/>
  <c r="E6" i="19"/>
  <c r="D6" i="19"/>
  <c r="B403" i="20"/>
  <c r="S15" i="19" s="1"/>
  <c r="C13" i="1" s="1"/>
  <c r="G6" i="19"/>
  <c r="H6" i="19"/>
  <c r="C403" i="20"/>
  <c r="J403" i="20"/>
  <c r="K362" i="20"/>
  <c r="Y8" i="19"/>
  <c r="I6" i="1" s="1"/>
  <c r="V8" i="19"/>
  <c r="F6" i="1" s="1"/>
  <c r="W7" i="19"/>
  <c r="G5" i="1" s="1"/>
  <c r="AB7" i="19"/>
  <c r="L5" i="1" s="1"/>
  <c r="AC8" i="19"/>
  <c r="M6" i="1" s="1"/>
  <c r="AD7" i="19"/>
  <c r="N5" i="1" s="1"/>
  <c r="T9" i="19"/>
  <c r="D7" i="1" s="1"/>
  <c r="W8" i="19"/>
  <c r="G6" i="1" s="1"/>
  <c r="Y7" i="19"/>
  <c r="I5" i="1" s="1"/>
  <c r="U9" i="19"/>
  <c r="E7" i="1" s="1"/>
  <c r="S9" i="19"/>
  <c r="C7" i="1" s="1"/>
  <c r="AD8" i="19"/>
  <c r="N6" i="1" s="1"/>
  <c r="AA8" i="19"/>
  <c r="K6" i="1" s="1"/>
  <c r="AB8" i="19"/>
  <c r="L6" i="1" s="1"/>
  <c r="Z8" i="19"/>
  <c r="J6" i="1" s="1"/>
  <c r="X8" i="19"/>
  <c r="H6" i="1" s="1"/>
  <c r="U8" i="19"/>
  <c r="E6" i="1" s="1"/>
  <c r="T8" i="19"/>
  <c r="D6" i="1" s="1"/>
  <c r="S8" i="19"/>
  <c r="C6" i="1" s="1"/>
  <c r="AC7" i="19"/>
  <c r="M5" i="1" s="1"/>
  <c r="Z7" i="19"/>
  <c r="J5" i="1" s="1"/>
  <c r="X7" i="19"/>
  <c r="H5" i="1" s="1"/>
  <c r="V7" i="19"/>
  <c r="F5" i="1" s="1"/>
  <c r="U7" i="19"/>
  <c r="E5" i="1" s="1"/>
  <c r="T7" i="19"/>
  <c r="D5" i="1" s="1"/>
  <c r="K403" i="20"/>
  <c r="I403" i="20"/>
  <c r="H403" i="20"/>
  <c r="G403" i="20"/>
  <c r="X15" i="19" s="1"/>
  <c r="H13" i="1" s="1"/>
  <c r="F403" i="20"/>
  <c r="E403" i="20"/>
  <c r="D403" i="20"/>
  <c r="M362" i="20"/>
  <c r="AD14" i="19" s="1"/>
  <c r="N12" i="1" s="1"/>
  <c r="L362" i="20"/>
  <c r="J362" i="20"/>
  <c r="I362" i="20"/>
  <c r="H362" i="20"/>
  <c r="G362" i="20"/>
  <c r="F362" i="20"/>
  <c r="E362" i="20"/>
  <c r="D362" i="20"/>
  <c r="C362" i="20"/>
  <c r="L321" i="20"/>
  <c r="K321" i="20"/>
  <c r="J321" i="20"/>
  <c r="I321" i="20"/>
  <c r="G321" i="20"/>
  <c r="E321" i="20"/>
  <c r="F321" i="20"/>
  <c r="D322" i="20"/>
  <c r="B321" i="20"/>
  <c r="S13" i="19" s="1"/>
  <c r="C11" i="1" s="1"/>
  <c r="C321" i="20"/>
  <c r="M280" i="20"/>
  <c r="AD12" i="19" s="1"/>
  <c r="N10" i="1" s="1"/>
  <c r="L280" i="20"/>
  <c r="H280" i="20"/>
  <c r="G280" i="20"/>
  <c r="F280" i="20"/>
  <c r="E280" i="20"/>
  <c r="K239" i="20"/>
  <c r="B280" i="20"/>
  <c r="S12" i="19" s="1"/>
  <c r="C10" i="1" s="1"/>
  <c r="C280" i="20"/>
  <c r="M239" i="20"/>
  <c r="AD11" i="19" s="1"/>
  <c r="N9" i="1" s="1"/>
  <c r="L239" i="20"/>
  <c r="J239" i="20"/>
  <c r="I239" i="20"/>
  <c r="H239" i="20"/>
  <c r="G239" i="20"/>
  <c r="D239" i="20"/>
  <c r="B239" i="20"/>
  <c r="S11" i="19" s="1"/>
  <c r="C9" i="1" s="1"/>
  <c r="K198" i="20"/>
  <c r="J198" i="20"/>
  <c r="C198" i="20"/>
  <c r="E198" i="20"/>
  <c r="D198" i="20"/>
  <c r="B198" i="20"/>
  <c r="S10" i="19" s="1"/>
  <c r="C8" i="1" s="1"/>
  <c r="H198" i="20"/>
  <c r="G198" i="20"/>
  <c r="F198" i="20"/>
  <c r="AD9" i="19"/>
  <c r="N7" i="1" s="1"/>
  <c r="AC9" i="19"/>
  <c r="M7" i="1" s="1"/>
  <c r="AB9" i="19"/>
  <c r="L7" i="1" s="1"/>
  <c r="AA9" i="19"/>
  <c r="K7" i="1" s="1"/>
  <c r="Z9" i="19"/>
  <c r="J7" i="1" s="1"/>
  <c r="Y9" i="19"/>
  <c r="I7" i="1" s="1"/>
  <c r="X9" i="19"/>
  <c r="H7" i="1" s="1"/>
  <c r="W9" i="19"/>
  <c r="G7" i="1" s="1"/>
  <c r="V9" i="19"/>
  <c r="F7" i="1" s="1"/>
  <c r="AE8" i="19" l="1"/>
  <c r="AE9" i="19"/>
  <c r="F283" i="20"/>
  <c r="G12" i="19" s="1"/>
  <c r="K406" i="20"/>
  <c r="D365" i="20"/>
  <c r="E14" i="19" s="1"/>
  <c r="B406" i="20"/>
  <c r="C15" i="19" s="1"/>
  <c r="G406" i="20"/>
  <c r="H15" i="19" s="1"/>
  <c r="C365" i="20"/>
  <c r="D14" i="19" s="1"/>
  <c r="B364" i="20"/>
  <c r="B363" i="20"/>
  <c r="J365" i="20"/>
  <c r="K14" i="19" s="1"/>
  <c r="C406" i="20"/>
  <c r="D15" i="19" s="1"/>
  <c r="G365" i="20"/>
  <c r="H14" i="19" s="1"/>
  <c r="F365" i="20"/>
  <c r="G14" i="19" s="1"/>
  <c r="F406" i="20"/>
  <c r="G15" i="19" s="1"/>
  <c r="E365" i="20"/>
  <c r="F14" i="19" s="1"/>
  <c r="K365" i="20"/>
  <c r="L14" i="19" s="1"/>
  <c r="J406" i="20"/>
  <c r="K15" i="19" s="1"/>
  <c r="L365" i="20"/>
  <c r="M14" i="19" s="1"/>
  <c r="I406" i="20"/>
  <c r="J15" i="19" s="1"/>
  <c r="E406" i="20"/>
  <c r="F15" i="19" s="1"/>
  <c r="H365" i="20"/>
  <c r="I14" i="19" s="1"/>
  <c r="D406" i="20"/>
  <c r="E15" i="19" s="1"/>
  <c r="I365" i="20"/>
  <c r="J14" i="19" s="1"/>
  <c r="M365" i="20"/>
  <c r="N14" i="19" s="1"/>
  <c r="H406" i="20"/>
  <c r="I15" i="19" s="1"/>
  <c r="Y15" i="19"/>
  <c r="I13" i="1" s="1"/>
  <c r="X11" i="19"/>
  <c r="H9" i="1" s="1"/>
  <c r="V10" i="19"/>
  <c r="F8" i="1" s="1"/>
  <c r="U11" i="19"/>
  <c r="E9" i="1" s="1"/>
  <c r="AA11" i="19"/>
  <c r="K9" i="1" s="1"/>
  <c r="AB11" i="19"/>
  <c r="L9" i="1" s="1"/>
  <c r="Z13" i="19"/>
  <c r="J11" i="1" s="1"/>
  <c r="AA15" i="19"/>
  <c r="K13" i="1" s="1"/>
  <c r="T12" i="19"/>
  <c r="D10" i="1" s="1"/>
  <c r="AC12" i="19"/>
  <c r="M10" i="1" s="1"/>
  <c r="T13" i="19"/>
  <c r="D11" i="1" s="1"/>
  <c r="U14" i="19"/>
  <c r="E12" i="1" s="1"/>
  <c r="T15" i="19"/>
  <c r="D13" i="1" s="1"/>
  <c r="I324" i="20"/>
  <c r="J13" i="19" s="1"/>
  <c r="Y14" i="19"/>
  <c r="I12" i="1" s="1"/>
  <c r="Y11" i="19"/>
  <c r="I9" i="1" s="1"/>
  <c r="V13" i="19"/>
  <c r="F11" i="1" s="1"/>
  <c r="AB14" i="19"/>
  <c r="L12" i="1" s="1"/>
  <c r="K324" i="20"/>
  <c r="L13" i="19" s="1"/>
  <c r="X12" i="19"/>
  <c r="H10" i="1" s="1"/>
  <c r="AB13" i="19"/>
  <c r="L11" i="1" s="1"/>
  <c r="AB15" i="19"/>
  <c r="L13" i="1" s="1"/>
  <c r="X14" i="19"/>
  <c r="H12" i="1" s="1"/>
  <c r="AA10" i="19"/>
  <c r="K8" i="1" s="1"/>
  <c r="AC11" i="19"/>
  <c r="M9" i="1" s="1"/>
  <c r="V12" i="19"/>
  <c r="F10" i="1" s="1"/>
  <c r="AC13" i="19"/>
  <c r="M11" i="1" s="1"/>
  <c r="W14" i="19"/>
  <c r="G12" i="1" s="1"/>
  <c r="V15" i="19"/>
  <c r="F13" i="1" s="1"/>
  <c r="Z15" i="19"/>
  <c r="J13" i="1" s="1"/>
  <c r="F324" i="20"/>
  <c r="G13" i="19" s="1"/>
  <c r="X13" i="19"/>
  <c r="H11" i="1" s="1"/>
  <c r="AA14" i="19"/>
  <c r="K12" i="1" s="1"/>
  <c r="AC14" i="19"/>
  <c r="M12" i="1" s="1"/>
  <c r="AF8" i="19"/>
  <c r="K242" i="20"/>
  <c r="L11" i="19" s="1"/>
  <c r="V14" i="19"/>
  <c r="F12" i="1" s="1"/>
  <c r="U10" i="19"/>
  <c r="E8" i="1" s="1"/>
  <c r="Y10" i="19"/>
  <c r="I8" i="1" s="1"/>
  <c r="T10" i="19"/>
  <c r="D8" i="1" s="1"/>
  <c r="W15" i="19"/>
  <c r="G13" i="1" s="1"/>
  <c r="AF9" i="19"/>
  <c r="AA7" i="19"/>
  <c r="K5" i="1" s="1"/>
  <c r="J324" i="20"/>
  <c r="K13" i="19" s="1"/>
  <c r="Z11" i="19"/>
  <c r="J9" i="1" s="1"/>
  <c r="Z14" i="19"/>
  <c r="J12" i="1" s="1"/>
  <c r="W12" i="19"/>
  <c r="G10" i="1" s="1"/>
  <c r="T14" i="19"/>
  <c r="D12" i="1" s="1"/>
  <c r="W10" i="19"/>
  <c r="G8" i="1" s="1"/>
  <c r="X10" i="19"/>
  <c r="H8" i="1" s="1"/>
  <c r="AB10" i="19"/>
  <c r="L8" i="1" s="1"/>
  <c r="Y12" i="19"/>
  <c r="I10" i="1" s="1"/>
  <c r="W13" i="19"/>
  <c r="G11" i="1" s="1"/>
  <c r="AA13" i="19"/>
  <c r="K11" i="1" s="1"/>
  <c r="U15" i="19"/>
  <c r="E13" i="1" s="1"/>
  <c r="C324" i="20"/>
  <c r="D13" i="19" s="1"/>
  <c r="H323" i="20"/>
  <c r="H322" i="20"/>
  <c r="D323" i="20"/>
  <c r="D324" i="20" s="1"/>
  <c r="E13" i="19" s="1"/>
  <c r="G324" i="20"/>
  <c r="H13" i="19" s="1"/>
  <c r="E323" i="20"/>
  <c r="L323" i="20"/>
  <c r="E322" i="20"/>
  <c r="L322" i="20"/>
  <c r="B324" i="20"/>
  <c r="C13" i="19" s="1"/>
  <c r="M323" i="20"/>
  <c r="M322" i="20"/>
  <c r="K281" i="20"/>
  <c r="K282" i="20"/>
  <c r="H283" i="20"/>
  <c r="I12" i="19" s="1"/>
  <c r="M283" i="20"/>
  <c r="N12" i="19" s="1"/>
  <c r="C283" i="20"/>
  <c r="D12" i="19" s="1"/>
  <c r="J242" i="20"/>
  <c r="K11" i="19" s="1"/>
  <c r="D282" i="20"/>
  <c r="J282" i="20"/>
  <c r="G283" i="20"/>
  <c r="H12" i="19" s="1"/>
  <c r="C241" i="20"/>
  <c r="D281" i="20"/>
  <c r="J281" i="20"/>
  <c r="E201" i="20"/>
  <c r="F10" i="19" s="1"/>
  <c r="M242" i="20"/>
  <c r="N11" i="19" s="1"/>
  <c r="I282" i="20"/>
  <c r="L283" i="20"/>
  <c r="M12" i="19" s="1"/>
  <c r="I281" i="20"/>
  <c r="J201" i="20"/>
  <c r="K10" i="19" s="1"/>
  <c r="B283" i="20"/>
  <c r="C12" i="19" s="1"/>
  <c r="E283" i="20"/>
  <c r="F12" i="19" s="1"/>
  <c r="L7" i="19"/>
  <c r="D242" i="20"/>
  <c r="E11" i="19" s="1"/>
  <c r="C240" i="20"/>
  <c r="D201" i="20"/>
  <c r="E10" i="19" s="1"/>
  <c r="F241" i="20"/>
  <c r="F240" i="20"/>
  <c r="L242" i="20"/>
  <c r="M11" i="19" s="1"/>
  <c r="E240" i="20"/>
  <c r="E241" i="20"/>
  <c r="H201" i="20"/>
  <c r="I10" i="19" s="1"/>
  <c r="L200" i="20"/>
  <c r="H242" i="20"/>
  <c r="I11" i="19" s="1"/>
  <c r="I242" i="20"/>
  <c r="J11" i="19" s="1"/>
  <c r="B242" i="20"/>
  <c r="C11" i="19" s="1"/>
  <c r="G242" i="20"/>
  <c r="H11" i="19" s="1"/>
  <c r="I199" i="20"/>
  <c r="I200" i="20"/>
  <c r="N9" i="19"/>
  <c r="C9" i="19"/>
  <c r="C201" i="20"/>
  <c r="D10" i="19" s="1"/>
  <c r="G201" i="20"/>
  <c r="H10" i="19" s="1"/>
  <c r="L199" i="20"/>
  <c r="M9" i="19"/>
  <c r="F201" i="20"/>
  <c r="G10" i="19" s="1"/>
  <c r="B201" i="20"/>
  <c r="C10" i="19" s="1"/>
  <c r="K201" i="20"/>
  <c r="L10" i="19" s="1"/>
  <c r="M200" i="20"/>
  <c r="M199" i="20"/>
  <c r="F9" i="19"/>
  <c r="L9" i="19"/>
  <c r="K9" i="19"/>
  <c r="D9" i="19"/>
  <c r="H9" i="19"/>
  <c r="E9" i="19"/>
  <c r="I9" i="19"/>
  <c r="G9" i="19"/>
  <c r="J9" i="19"/>
  <c r="K8" i="19"/>
  <c r="H7" i="19"/>
  <c r="I7" i="19"/>
  <c r="D8" i="19"/>
  <c r="G8" i="19"/>
  <c r="C7" i="19"/>
  <c r="D7" i="19"/>
  <c r="C8" i="19"/>
  <c r="M8" i="19"/>
  <c r="N7" i="19"/>
  <c r="I8" i="19"/>
  <c r="L8" i="19"/>
  <c r="E8" i="19"/>
  <c r="H8" i="19"/>
  <c r="M7" i="19"/>
  <c r="N8" i="19"/>
  <c r="J8" i="19"/>
  <c r="F8" i="19"/>
  <c r="G7" i="19"/>
  <c r="F7" i="19"/>
  <c r="J7" i="19"/>
  <c r="E7" i="19"/>
  <c r="B362" i="20"/>
  <c r="S14" i="19" s="1"/>
  <c r="C12" i="1" s="1"/>
  <c r="M321" i="20"/>
  <c r="AD13" i="19" s="1"/>
  <c r="N11" i="1" s="1"/>
  <c r="H321" i="20"/>
  <c r="I280" i="20"/>
  <c r="D321" i="20"/>
  <c r="J280" i="20"/>
  <c r="E239" i="20"/>
  <c r="K280" i="20"/>
  <c r="F239" i="20"/>
  <c r="D280" i="20"/>
  <c r="I198" i="20"/>
  <c r="C239" i="20"/>
  <c r="L198" i="20"/>
  <c r="M198" i="20"/>
  <c r="AD10" i="19" s="1"/>
  <c r="N8" i="1" s="1"/>
  <c r="AE7" i="19" l="1"/>
  <c r="AE14" i="19"/>
  <c r="AE15" i="19"/>
  <c r="AE10" i="19"/>
  <c r="H324" i="20"/>
  <c r="I13" i="19" s="1"/>
  <c r="O15" i="19"/>
  <c r="AF15" i="19"/>
  <c r="M201" i="20"/>
  <c r="N10" i="19" s="1"/>
  <c r="AF7" i="19"/>
  <c r="B365" i="20"/>
  <c r="C14" i="19" s="1"/>
  <c r="C16" i="1" s="1"/>
  <c r="M324" i="20"/>
  <c r="N13" i="19" s="1"/>
  <c r="V11" i="19"/>
  <c r="F9" i="1" s="1"/>
  <c r="AA12" i="19"/>
  <c r="K10" i="1" s="1"/>
  <c r="U13" i="19"/>
  <c r="E11" i="1" s="1"/>
  <c r="Z12" i="19"/>
  <c r="J10" i="1" s="1"/>
  <c r="W11" i="19"/>
  <c r="G9" i="1" s="1"/>
  <c r="AC10" i="19"/>
  <c r="M8" i="1" s="1"/>
  <c r="Z10" i="19"/>
  <c r="J8" i="1" s="1"/>
  <c r="O14" i="1"/>
  <c r="S14" i="1" s="1"/>
  <c r="AF14" i="19"/>
  <c r="T11" i="19"/>
  <c r="D9" i="1" s="1"/>
  <c r="U12" i="19"/>
  <c r="E10" i="1" s="1"/>
  <c r="AB12" i="19"/>
  <c r="L10" i="1" s="1"/>
  <c r="Y13" i="19"/>
  <c r="I11" i="1" s="1"/>
  <c r="I283" i="20"/>
  <c r="J12" i="19" s="1"/>
  <c r="D283" i="20"/>
  <c r="E12" i="19" s="1"/>
  <c r="L324" i="20"/>
  <c r="M13" i="19" s="1"/>
  <c r="E324" i="20"/>
  <c r="F13" i="19" s="1"/>
  <c r="C242" i="20"/>
  <c r="D11" i="19" s="1"/>
  <c r="K283" i="20"/>
  <c r="L12" i="19" s="1"/>
  <c r="L201" i="20"/>
  <c r="M10" i="19" s="1"/>
  <c r="J283" i="20"/>
  <c r="K12" i="19" s="1"/>
  <c r="F242" i="20"/>
  <c r="G11" i="19" s="1"/>
  <c r="O7" i="19"/>
  <c r="O8" i="19"/>
  <c r="E242" i="20"/>
  <c r="F11" i="19" s="1"/>
  <c r="O9" i="19"/>
  <c r="I201" i="20"/>
  <c r="J10" i="19" s="1"/>
  <c r="AE12" i="19" l="1"/>
  <c r="AE13" i="19"/>
  <c r="AE11" i="19"/>
  <c r="O14" i="19"/>
  <c r="O10" i="19"/>
  <c r="O11" i="19"/>
  <c r="AF13" i="19"/>
  <c r="O12" i="19"/>
  <c r="AF11" i="19"/>
  <c r="AF12" i="19"/>
  <c r="AF10" i="19"/>
  <c r="O13" i="19"/>
  <c r="C15" i="1"/>
  <c r="E28" i="4"/>
  <c r="O18" i="19" l="1"/>
  <c r="AE18" i="19"/>
  <c r="AF18" i="19"/>
  <c r="L49" i="3"/>
  <c r="D15" i="1" l="1"/>
  <c r="E15" i="1"/>
  <c r="F15" i="1"/>
  <c r="G15" i="1"/>
  <c r="H15" i="1"/>
  <c r="I15" i="1"/>
  <c r="J15" i="1"/>
  <c r="K15" i="1"/>
  <c r="L15" i="1"/>
  <c r="M15" i="1"/>
  <c r="N15" i="1"/>
  <c r="N17" i="1" l="1"/>
  <c r="M17" i="1"/>
  <c r="L17" i="1"/>
  <c r="K17" i="1"/>
  <c r="J17" i="1"/>
  <c r="I17" i="1"/>
  <c r="H17" i="1"/>
  <c r="G17" i="1"/>
  <c r="F17" i="1"/>
  <c r="E17" i="1"/>
  <c r="D17" i="1"/>
  <c r="C17" i="1"/>
  <c r="N16" i="1"/>
  <c r="M16" i="1"/>
  <c r="L16" i="1"/>
  <c r="K16" i="1"/>
  <c r="J16" i="1"/>
  <c r="I16" i="1"/>
  <c r="H16" i="1"/>
  <c r="G16" i="1"/>
  <c r="F16" i="1"/>
  <c r="E16" i="1"/>
  <c r="D16" i="1"/>
  <c r="R14" i="1"/>
  <c r="W14" i="1"/>
  <c r="R13" i="1"/>
  <c r="O13" i="1"/>
  <c r="R12" i="1"/>
  <c r="O12" i="1"/>
  <c r="R11" i="1"/>
  <c r="O11" i="1"/>
  <c r="R10" i="1"/>
  <c r="O10" i="1"/>
  <c r="R9" i="1"/>
  <c r="O9" i="1"/>
  <c r="R8" i="1"/>
  <c r="O8" i="1"/>
  <c r="R7" i="1"/>
  <c r="O7" i="1"/>
  <c r="R6" i="1"/>
  <c r="O6" i="1"/>
  <c r="R5" i="1"/>
  <c r="O5" i="1"/>
  <c r="D20" i="24" l="1"/>
  <c r="F17" i="4"/>
  <c r="F17" i="6"/>
  <c r="F17" i="9"/>
  <c r="F17" i="8"/>
  <c r="F17" i="3"/>
  <c r="S7" i="1"/>
  <c r="W7" i="1" s="1"/>
  <c r="S9" i="1"/>
  <c r="W9" i="1" s="1"/>
  <c r="S11" i="1"/>
  <c r="W11" i="1" s="1"/>
  <c r="S13" i="1"/>
  <c r="W13" i="1" s="1"/>
  <c r="S6" i="1"/>
  <c r="W6" i="1" s="1"/>
  <c r="S8" i="1"/>
  <c r="W8" i="1" s="1"/>
  <c r="S10" i="1"/>
  <c r="W10" i="1" s="1"/>
  <c r="S12" i="1"/>
  <c r="W12" i="1" s="1"/>
  <c r="S5" i="1"/>
  <c r="W5" i="1" s="1"/>
  <c r="D20" i="23"/>
  <c r="D20" i="22"/>
  <c r="D20" i="25"/>
  <c r="V6" i="1"/>
  <c r="C12" i="23"/>
  <c r="C12" i="25"/>
  <c r="C12" i="24"/>
  <c r="C12" i="22"/>
  <c r="V8" i="1"/>
  <c r="C14" i="24"/>
  <c r="C14" i="22"/>
  <c r="C14" i="23"/>
  <c r="C14" i="25"/>
  <c r="V7" i="1"/>
  <c r="C13" i="22"/>
  <c r="C13" i="25"/>
  <c r="C13" i="24"/>
  <c r="C13" i="23"/>
  <c r="V14" i="1"/>
  <c r="C20" i="23"/>
  <c r="C20" i="22"/>
  <c r="C20" i="25"/>
  <c r="C20" i="24"/>
  <c r="V9" i="1"/>
  <c r="C15" i="25"/>
  <c r="C15" i="22"/>
  <c r="C15" i="23"/>
  <c r="C15" i="24"/>
  <c r="V10" i="1"/>
  <c r="C16" i="22"/>
  <c r="C16" i="23"/>
  <c r="C16" i="24"/>
  <c r="C16" i="25"/>
  <c r="V11" i="1"/>
  <c r="C17" i="24"/>
  <c r="C17" i="22"/>
  <c r="C17" i="25"/>
  <c r="C17" i="23"/>
  <c r="V12" i="1"/>
  <c r="C18" i="24"/>
  <c r="C18" i="23"/>
  <c r="C18" i="25"/>
  <c r="C18" i="22"/>
  <c r="V13" i="1"/>
  <c r="C19" i="25"/>
  <c r="C19" i="22"/>
  <c r="C19" i="24"/>
  <c r="C19" i="23"/>
  <c r="V5" i="1"/>
  <c r="C11" i="23"/>
  <c r="C11" i="24"/>
  <c r="C11" i="22"/>
  <c r="C11" i="25"/>
  <c r="O16" i="1"/>
  <c r="O17" i="1"/>
  <c r="O15" i="1"/>
  <c r="F15" i="6" l="1"/>
  <c r="F15" i="9"/>
  <c r="F15" i="8"/>
  <c r="F15" i="4"/>
  <c r="F15" i="3"/>
  <c r="D16" i="6"/>
  <c r="C14" i="13"/>
  <c r="D16" i="3"/>
  <c r="D16" i="4" s="1"/>
  <c r="D16" i="9"/>
  <c r="D16" i="8"/>
  <c r="F9" i="8"/>
  <c r="F9" i="4"/>
  <c r="F9" i="6"/>
  <c r="F9" i="9"/>
  <c r="F9" i="3"/>
  <c r="D10" i="8"/>
  <c r="D10" i="6"/>
  <c r="C8" i="13"/>
  <c r="D10" i="3"/>
  <c r="D10" i="4" s="1"/>
  <c r="D10" i="9"/>
  <c r="D12" i="9"/>
  <c r="D12" i="8"/>
  <c r="D12" i="6"/>
  <c r="C10" i="13"/>
  <c r="D12" i="3"/>
  <c r="D12" i="4" s="1"/>
  <c r="F8" i="6"/>
  <c r="F8" i="3"/>
  <c r="E17" i="3" s="1"/>
  <c r="F8" i="9"/>
  <c r="F8" i="8"/>
  <c r="F8" i="4"/>
  <c r="E17" i="4" s="1"/>
  <c r="D15" i="13"/>
  <c r="F16" i="4"/>
  <c r="F16" i="3"/>
  <c r="F16" i="9"/>
  <c r="F16" i="8"/>
  <c r="F16" i="6"/>
  <c r="D17" i="6"/>
  <c r="D17" i="9"/>
  <c r="D17" i="8"/>
  <c r="C15" i="13"/>
  <c r="D17" i="3"/>
  <c r="D17" i="4" s="1"/>
  <c r="F14" i="6"/>
  <c r="F14" i="3"/>
  <c r="F14" i="4"/>
  <c r="F14" i="9"/>
  <c r="E14" i="9" s="1"/>
  <c r="F14" i="8"/>
  <c r="D13" i="3"/>
  <c r="D13" i="4" s="1"/>
  <c r="D13" i="8"/>
  <c r="D13" i="6"/>
  <c r="C11" i="13"/>
  <c r="D13" i="9"/>
  <c r="F12" i="8"/>
  <c r="E12" i="8" s="1"/>
  <c r="F12" i="6"/>
  <c r="F12" i="3"/>
  <c r="F12" i="9"/>
  <c r="F12" i="4"/>
  <c r="C13" i="13"/>
  <c r="D15" i="6"/>
  <c r="D15" i="9"/>
  <c r="D15" i="3"/>
  <c r="D15" i="4" s="1"/>
  <c r="D15" i="8"/>
  <c r="D9" i="6"/>
  <c r="D9" i="9"/>
  <c r="C7" i="13"/>
  <c r="D9" i="8"/>
  <c r="D9" i="3"/>
  <c r="D9" i="4" s="1"/>
  <c r="F10" i="9"/>
  <c r="F10" i="4"/>
  <c r="F10" i="6"/>
  <c r="F10" i="3"/>
  <c r="F10" i="8"/>
  <c r="E17" i="8"/>
  <c r="D8" i="8"/>
  <c r="C6" i="13"/>
  <c r="D8" i="3"/>
  <c r="D8" i="4" s="1"/>
  <c r="D8" i="9"/>
  <c r="D8" i="6"/>
  <c r="E17" i="9"/>
  <c r="D14" i="3"/>
  <c r="D14" i="4" s="1"/>
  <c r="D14" i="9"/>
  <c r="D14" i="8"/>
  <c r="D14" i="6"/>
  <c r="C12" i="13"/>
  <c r="F13" i="3"/>
  <c r="E13" i="3" s="1"/>
  <c r="F13" i="9"/>
  <c r="F13" i="8"/>
  <c r="F13" i="4"/>
  <c r="F13" i="6"/>
  <c r="D11" i="9"/>
  <c r="D11" i="6"/>
  <c r="D11" i="3"/>
  <c r="D11" i="4" s="1"/>
  <c r="C9" i="13"/>
  <c r="D11" i="8"/>
  <c r="F11" i="9"/>
  <c r="F11" i="8"/>
  <c r="F11" i="4"/>
  <c r="F11" i="6"/>
  <c r="F11" i="3"/>
  <c r="D18" i="24"/>
  <c r="D18" i="23"/>
  <c r="D18" i="25"/>
  <c r="D18" i="22"/>
  <c r="D19" i="24"/>
  <c r="D19" i="23"/>
  <c r="D19" i="22"/>
  <c r="D19" i="25"/>
  <c r="D16" i="24"/>
  <c r="D16" i="22"/>
  <c r="D16" i="25"/>
  <c r="D16" i="23"/>
  <c r="D17" i="24"/>
  <c r="D17" i="22"/>
  <c r="D17" i="23"/>
  <c r="D17" i="25"/>
  <c r="D14" i="24"/>
  <c r="D14" i="25"/>
  <c r="D14" i="22"/>
  <c r="D14" i="23"/>
  <c r="D15" i="24"/>
  <c r="D15" i="23"/>
  <c r="D15" i="22"/>
  <c r="D15" i="25"/>
  <c r="D12" i="24"/>
  <c r="D12" i="25"/>
  <c r="D12" i="23"/>
  <c r="D12" i="22"/>
  <c r="D13" i="24"/>
  <c r="D13" i="23"/>
  <c r="D13" i="25"/>
  <c r="D13" i="22"/>
  <c r="D11" i="23"/>
  <c r="D11" i="24"/>
  <c r="D11" i="25"/>
  <c r="D11" i="22"/>
  <c r="H18" i="24"/>
  <c r="I18" i="24" s="1"/>
  <c r="J18" i="24" s="1"/>
  <c r="K18" i="24" s="1"/>
  <c r="H17" i="24"/>
  <c r="I17" i="24" s="1"/>
  <c r="J17" i="24" s="1"/>
  <c r="K17" i="24" s="1"/>
  <c r="H13" i="24"/>
  <c r="I13" i="24" s="1"/>
  <c r="J13" i="24" s="1"/>
  <c r="K13" i="24" s="1"/>
  <c r="H11" i="24"/>
  <c r="H16" i="24"/>
  <c r="I16" i="24" s="1"/>
  <c r="J16" i="24" s="1"/>
  <c r="K16" i="24" s="1"/>
  <c r="H14" i="24"/>
  <c r="I14" i="24" s="1"/>
  <c r="J14" i="24" s="1"/>
  <c r="K14" i="24" s="1"/>
  <c r="H12" i="24"/>
  <c r="I12" i="24" s="1"/>
  <c r="J12" i="24" s="1"/>
  <c r="K12" i="24" s="1"/>
  <c r="H15" i="24"/>
  <c r="I15" i="24" s="1"/>
  <c r="J15" i="24" s="1"/>
  <c r="K15" i="24" s="1"/>
  <c r="H20" i="24"/>
  <c r="I20" i="24" s="1"/>
  <c r="J20" i="24" s="1"/>
  <c r="K20" i="24" s="1"/>
  <c r="H19" i="24"/>
  <c r="I19" i="24" s="1"/>
  <c r="J19" i="24" s="1"/>
  <c r="K19" i="24" s="1"/>
  <c r="H15" i="25"/>
  <c r="I15" i="25" s="1"/>
  <c r="J15" i="25" s="1"/>
  <c r="K15" i="25" s="1"/>
  <c r="H18" i="25"/>
  <c r="I18" i="25" s="1"/>
  <c r="J18" i="25" s="1"/>
  <c r="K18" i="25" s="1"/>
  <c r="H12" i="25"/>
  <c r="I12" i="25" s="1"/>
  <c r="J12" i="25" s="1"/>
  <c r="K12" i="25" s="1"/>
  <c r="H13" i="25"/>
  <c r="I13" i="25" s="1"/>
  <c r="J13" i="25" s="1"/>
  <c r="K13" i="25" s="1"/>
  <c r="H19" i="25"/>
  <c r="I19" i="25" s="1"/>
  <c r="J19" i="25" s="1"/>
  <c r="K19" i="25" s="1"/>
  <c r="H11" i="25"/>
  <c r="I11" i="25" s="1"/>
  <c r="J11" i="25" s="1"/>
  <c r="K11" i="25" s="1"/>
  <c r="H16" i="25"/>
  <c r="I16" i="25" s="1"/>
  <c r="J16" i="25" s="1"/>
  <c r="K16" i="25" s="1"/>
  <c r="H17" i="25"/>
  <c r="I17" i="25" s="1"/>
  <c r="J17" i="25" s="1"/>
  <c r="K17" i="25" s="1"/>
  <c r="H20" i="25"/>
  <c r="I20" i="25" s="1"/>
  <c r="J20" i="25" s="1"/>
  <c r="K20" i="25" s="1"/>
  <c r="H14" i="25"/>
  <c r="I14" i="25" s="1"/>
  <c r="J14" i="25" s="1"/>
  <c r="K14" i="25" s="1"/>
  <c r="H19" i="22"/>
  <c r="I19" i="22" s="1"/>
  <c r="J19" i="22" s="1"/>
  <c r="K19" i="22" s="1"/>
  <c r="H14" i="22"/>
  <c r="I14" i="22" s="1"/>
  <c r="J14" i="22" s="1"/>
  <c r="K14" i="22" s="1"/>
  <c r="H13" i="22"/>
  <c r="I13" i="22" s="1"/>
  <c r="J13" i="22" s="1"/>
  <c r="K13" i="22" s="1"/>
  <c r="H15" i="22"/>
  <c r="I15" i="22" s="1"/>
  <c r="J15" i="22" s="1"/>
  <c r="K15" i="22" s="1"/>
  <c r="H12" i="22"/>
  <c r="I12" i="22" s="1"/>
  <c r="J12" i="22" s="1"/>
  <c r="K12" i="22" s="1"/>
  <c r="H16" i="22"/>
  <c r="I16" i="22" s="1"/>
  <c r="J16" i="22" s="1"/>
  <c r="K16" i="22" s="1"/>
  <c r="H18" i="22"/>
  <c r="I18" i="22" s="1"/>
  <c r="J18" i="22" s="1"/>
  <c r="K18" i="22" s="1"/>
  <c r="H20" i="22"/>
  <c r="I20" i="22" s="1"/>
  <c r="J20" i="22" s="1"/>
  <c r="K20" i="22" s="1"/>
  <c r="H17" i="22"/>
  <c r="I17" i="22" s="1"/>
  <c r="J17" i="22" s="1"/>
  <c r="K17" i="22" s="1"/>
  <c r="H11" i="22"/>
  <c r="I11" i="22" s="1"/>
  <c r="J11" i="22" s="1"/>
  <c r="K11" i="22" s="1"/>
  <c r="H15" i="23"/>
  <c r="I15" i="23" s="1"/>
  <c r="J15" i="23" s="1"/>
  <c r="K15" i="23" s="1"/>
  <c r="H14" i="23"/>
  <c r="I14" i="23" s="1"/>
  <c r="J14" i="23" s="1"/>
  <c r="K14" i="23" s="1"/>
  <c r="H12" i="23"/>
  <c r="I12" i="23" s="1"/>
  <c r="J12" i="23" s="1"/>
  <c r="K12" i="23" s="1"/>
  <c r="H13" i="23"/>
  <c r="I13" i="23" s="1"/>
  <c r="J13" i="23" s="1"/>
  <c r="K13" i="23" s="1"/>
  <c r="H16" i="23"/>
  <c r="I16" i="23" s="1"/>
  <c r="J16" i="23" s="1"/>
  <c r="K16" i="23" s="1"/>
  <c r="H19" i="23"/>
  <c r="I19" i="23" s="1"/>
  <c r="J19" i="23" s="1"/>
  <c r="K19" i="23" s="1"/>
  <c r="H11" i="23"/>
  <c r="I11" i="23" s="1"/>
  <c r="J11" i="23" s="1"/>
  <c r="K11" i="23" s="1"/>
  <c r="H20" i="23"/>
  <c r="I20" i="23" s="1"/>
  <c r="J20" i="23" s="1"/>
  <c r="K20" i="23" s="1"/>
  <c r="H18" i="23"/>
  <c r="I18" i="23" s="1"/>
  <c r="J18" i="23" s="1"/>
  <c r="K18" i="23" s="1"/>
  <c r="H17" i="23"/>
  <c r="I17" i="23" s="1"/>
  <c r="J17" i="23" s="1"/>
  <c r="K17" i="23" s="1"/>
  <c r="Q41" i="9"/>
  <c r="AA31" i="9"/>
  <c r="E10" i="9" l="1"/>
  <c r="E12" i="3"/>
  <c r="D8" i="13"/>
  <c r="D11" i="13"/>
  <c r="E16" i="9"/>
  <c r="E9" i="8"/>
  <c r="E11" i="6"/>
  <c r="E12" i="9"/>
  <c r="E11" i="8"/>
  <c r="E13" i="8"/>
  <c r="E12" i="6"/>
  <c r="E9" i="3"/>
  <c r="E14" i="3"/>
  <c r="E16" i="3"/>
  <c r="D13" i="13"/>
  <c r="E13" i="6"/>
  <c r="E11" i="9"/>
  <c r="E13" i="9"/>
  <c r="D9" i="13"/>
  <c r="E14" i="6"/>
  <c r="E16" i="4"/>
  <c r="E8" i="8"/>
  <c r="E10" i="8"/>
  <c r="E8" i="9"/>
  <c r="E15" i="3"/>
  <c r="E10" i="3"/>
  <c r="E8" i="3"/>
  <c r="D6" i="13"/>
  <c r="G22" i="6"/>
  <c r="E10" i="6"/>
  <c r="E8" i="6"/>
  <c r="G25" i="6"/>
  <c r="G21" i="6"/>
  <c r="D12" i="13"/>
  <c r="E17" i="6"/>
  <c r="D14" i="13"/>
  <c r="E14" i="8"/>
  <c r="E16" i="6"/>
  <c r="E9" i="9"/>
  <c r="E15" i="8"/>
  <c r="E11" i="3"/>
  <c r="D10" i="13"/>
  <c r="E9" i="6"/>
  <c r="E15" i="9"/>
  <c r="D7" i="13"/>
  <c r="G20" i="6"/>
  <c r="E16" i="8"/>
  <c r="E15" i="6"/>
  <c r="G22" i="3"/>
  <c r="G21" i="3"/>
  <c r="D21" i="25"/>
  <c r="D24" i="25" s="1"/>
  <c r="E20" i="25" s="1"/>
  <c r="F20" i="25" s="1"/>
  <c r="E7" i="3"/>
  <c r="L15" i="22"/>
  <c r="M15" i="22" s="1"/>
  <c r="I11" i="24"/>
  <c r="J11" i="24" s="1"/>
  <c r="K11" i="24" s="1"/>
  <c r="K21" i="24" s="1"/>
  <c r="G27" i="24" s="1"/>
  <c r="D21" i="23"/>
  <c r="D24" i="23" s="1"/>
  <c r="E19" i="23" s="1"/>
  <c r="F19" i="23" s="1"/>
  <c r="L18" i="23"/>
  <c r="M18" i="23" s="1"/>
  <c r="L15" i="23"/>
  <c r="M15" i="23" s="1"/>
  <c r="L13" i="23"/>
  <c r="M13" i="23" s="1"/>
  <c r="D21" i="22"/>
  <c r="D24" i="22" s="1"/>
  <c r="E17" i="22" s="1"/>
  <c r="F17" i="22" s="1"/>
  <c r="D21" i="24"/>
  <c r="D24" i="24" s="1"/>
  <c r="E17" i="24" s="1"/>
  <c r="F17" i="24" s="1"/>
  <c r="K21" i="25"/>
  <c r="G27" i="25" s="1"/>
  <c r="L12" i="25" s="1"/>
  <c r="M12" i="25" s="1"/>
  <c r="K21" i="23"/>
  <c r="G27" i="23" s="1"/>
  <c r="L11" i="23" s="1"/>
  <c r="M11" i="23" s="1"/>
  <c r="K21" i="22"/>
  <c r="G27" i="22" s="1"/>
  <c r="L17" i="22" s="1"/>
  <c r="M17" i="22" s="1"/>
  <c r="D7" i="4"/>
  <c r="G20" i="3"/>
  <c r="P41" i="8"/>
  <c r="Y31" i="8"/>
  <c r="P41" i="6"/>
  <c r="Y31" i="6"/>
  <c r="P41" i="4"/>
  <c r="Y31" i="4"/>
  <c r="X31" i="3"/>
  <c r="C4" i="15"/>
  <c r="O42" i="6" l="1"/>
  <c r="M39" i="6"/>
  <c r="O39" i="6" s="1"/>
  <c r="L19" i="25"/>
  <c r="M19" i="25" s="1"/>
  <c r="L16" i="25"/>
  <c r="M16" i="25" s="1"/>
  <c r="F31" i="6"/>
  <c r="L20" i="25"/>
  <c r="M20" i="25" s="1"/>
  <c r="L12" i="22"/>
  <c r="M12" i="22" s="1"/>
  <c r="L13" i="22"/>
  <c r="M13" i="22" s="1"/>
  <c r="L18" i="22"/>
  <c r="M18" i="22" s="1"/>
  <c r="L18" i="25"/>
  <c r="M18" i="25" s="1"/>
  <c r="L16" i="22"/>
  <c r="M16" i="22" s="1"/>
  <c r="L11" i="25"/>
  <c r="M11" i="25" s="1"/>
  <c r="L17" i="25"/>
  <c r="M17" i="25" s="1"/>
  <c r="L15" i="25"/>
  <c r="M15" i="25" s="1"/>
  <c r="L15" i="3"/>
  <c r="L16" i="3"/>
  <c r="L17" i="3"/>
  <c r="L8" i="3"/>
  <c r="L9" i="3"/>
  <c r="L10" i="3"/>
  <c r="L11" i="3"/>
  <c r="L12" i="3"/>
  <c r="L13" i="3"/>
  <c r="L14" i="3"/>
  <c r="P17" i="3"/>
  <c r="Z17" i="3" s="1"/>
  <c r="P13" i="3"/>
  <c r="Z13" i="3" s="1"/>
  <c r="P9" i="3"/>
  <c r="Z9" i="3" s="1"/>
  <c r="G8" i="3"/>
  <c r="G12" i="3"/>
  <c r="G16" i="3"/>
  <c r="G15" i="3"/>
  <c r="G9" i="3"/>
  <c r="G13" i="3"/>
  <c r="G17" i="3"/>
  <c r="G14" i="3"/>
  <c r="G11" i="3"/>
  <c r="M33" i="3" s="1"/>
  <c r="G10" i="3"/>
  <c r="E15" i="24"/>
  <c r="F15" i="24" s="1"/>
  <c r="E18" i="25"/>
  <c r="F18" i="25" s="1"/>
  <c r="E16" i="25"/>
  <c r="F16" i="25" s="1"/>
  <c r="E15" i="25"/>
  <c r="F15" i="25" s="1"/>
  <c r="E11" i="25"/>
  <c r="F11" i="25" s="1"/>
  <c r="E14" i="25"/>
  <c r="F14" i="25" s="1"/>
  <c r="E18" i="23"/>
  <c r="F18" i="23" s="1"/>
  <c r="E19" i="25"/>
  <c r="F19" i="25" s="1"/>
  <c r="E17" i="25"/>
  <c r="F17" i="25" s="1"/>
  <c r="E13" i="25"/>
  <c r="F13" i="25" s="1"/>
  <c r="E12" i="25"/>
  <c r="F12" i="25" s="1"/>
  <c r="E14" i="22"/>
  <c r="F14" i="22" s="1"/>
  <c r="E14" i="24"/>
  <c r="F14" i="24" s="1"/>
  <c r="E13" i="22"/>
  <c r="F13" i="22" s="1"/>
  <c r="E20" i="24"/>
  <c r="F20" i="24" s="1"/>
  <c r="E15" i="22"/>
  <c r="F15" i="22" s="1"/>
  <c r="E20" i="22"/>
  <c r="F20" i="22" s="1"/>
  <c r="E13" i="23"/>
  <c r="F13" i="23" s="1"/>
  <c r="E11" i="22"/>
  <c r="F11" i="22" s="1"/>
  <c r="E12" i="22"/>
  <c r="F12" i="22" s="1"/>
  <c r="E17" i="23"/>
  <c r="F17" i="23" s="1"/>
  <c r="E16" i="24"/>
  <c r="F16" i="24" s="1"/>
  <c r="E11" i="23"/>
  <c r="F11" i="23" s="1"/>
  <c r="E12" i="23"/>
  <c r="F12" i="23" s="1"/>
  <c r="E16" i="22"/>
  <c r="F16" i="22" s="1"/>
  <c r="E19" i="22"/>
  <c r="F19" i="22" s="1"/>
  <c r="E19" i="24"/>
  <c r="F19" i="24" s="1"/>
  <c r="L14" i="23"/>
  <c r="M14" i="23" s="1"/>
  <c r="L17" i="23"/>
  <c r="M17" i="23" s="1"/>
  <c r="L12" i="23"/>
  <c r="M12" i="23" s="1"/>
  <c r="E11" i="24"/>
  <c r="F11" i="24" s="1"/>
  <c r="E15" i="23"/>
  <c r="F15" i="23" s="1"/>
  <c r="E13" i="24"/>
  <c r="F13" i="24" s="1"/>
  <c r="E18" i="24"/>
  <c r="F18" i="24" s="1"/>
  <c r="L20" i="23"/>
  <c r="M20" i="23" s="1"/>
  <c r="L16" i="23"/>
  <c r="M16" i="23" s="1"/>
  <c r="G7" i="3"/>
  <c r="M29" i="3" s="1"/>
  <c r="E18" i="22"/>
  <c r="F18" i="22" s="1"/>
  <c r="E14" i="23"/>
  <c r="F14" i="23" s="1"/>
  <c r="E16" i="23"/>
  <c r="F16" i="23" s="1"/>
  <c r="E20" i="23"/>
  <c r="F20" i="23" s="1"/>
  <c r="E12" i="24"/>
  <c r="F12" i="24" s="1"/>
  <c r="L13" i="25"/>
  <c r="M13" i="25" s="1"/>
  <c r="L14" i="22"/>
  <c r="M14" i="22" s="1"/>
  <c r="L11" i="22"/>
  <c r="M11" i="22" s="1"/>
  <c r="L14" i="25"/>
  <c r="M14" i="25" s="1"/>
  <c r="L20" i="22"/>
  <c r="M20" i="22" s="1"/>
  <c r="L19" i="23"/>
  <c r="M19" i="23" s="1"/>
  <c r="L19" i="22"/>
  <c r="M19" i="22" s="1"/>
  <c r="L15" i="24"/>
  <c r="M15" i="24" s="1"/>
  <c r="L13" i="24"/>
  <c r="M13" i="24" s="1"/>
  <c r="L16" i="24"/>
  <c r="M16" i="24" s="1"/>
  <c r="L17" i="24"/>
  <c r="M17" i="24" s="1"/>
  <c r="L18" i="24"/>
  <c r="M18" i="24" s="1"/>
  <c r="L12" i="24"/>
  <c r="M12" i="24" s="1"/>
  <c r="L14" i="24"/>
  <c r="M14" i="24" s="1"/>
  <c r="L19" i="24"/>
  <c r="M19" i="24" s="1"/>
  <c r="L20" i="24"/>
  <c r="M20" i="24" s="1"/>
  <c r="L11" i="24"/>
  <c r="M11" i="24" s="1"/>
  <c r="L29" i="3"/>
  <c r="L30" i="3"/>
  <c r="L31" i="3"/>
  <c r="L32" i="3"/>
  <c r="L7" i="3"/>
  <c r="N42" i="3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D90" i="14"/>
  <c r="E90" i="14"/>
  <c r="F90" i="14"/>
  <c r="G90" i="14"/>
  <c r="H90" i="14"/>
  <c r="I90" i="14"/>
  <c r="J90" i="14"/>
  <c r="K90" i="14"/>
  <c r="L90" i="14"/>
  <c r="M90" i="14"/>
  <c r="N90" i="14"/>
  <c r="C90" i="14"/>
  <c r="D89" i="14"/>
  <c r="E89" i="14"/>
  <c r="F89" i="14"/>
  <c r="G89" i="14"/>
  <c r="H89" i="14"/>
  <c r="I89" i="14"/>
  <c r="J89" i="14"/>
  <c r="K89" i="14"/>
  <c r="L89" i="14"/>
  <c r="M89" i="14"/>
  <c r="N89" i="14"/>
  <c r="C89" i="14"/>
  <c r="D88" i="14"/>
  <c r="E88" i="14"/>
  <c r="F88" i="14"/>
  <c r="G88" i="14"/>
  <c r="H88" i="14"/>
  <c r="I88" i="14"/>
  <c r="J88" i="14"/>
  <c r="K88" i="14"/>
  <c r="L88" i="14"/>
  <c r="M88" i="14"/>
  <c r="N88" i="14"/>
  <c r="C88" i="14"/>
  <c r="O119" i="14"/>
  <c r="O118" i="14"/>
  <c r="O117" i="14"/>
  <c r="O116" i="14"/>
  <c r="O115" i="14"/>
  <c r="O114" i="14"/>
  <c r="O113" i="14"/>
  <c r="O112" i="14"/>
  <c r="O111" i="14"/>
  <c r="O110" i="14"/>
  <c r="O103" i="14"/>
  <c r="O102" i="14"/>
  <c r="O101" i="14"/>
  <c r="O100" i="14"/>
  <c r="O99" i="14"/>
  <c r="O98" i="14"/>
  <c r="O97" i="14"/>
  <c r="O96" i="14"/>
  <c r="O95" i="14"/>
  <c r="O94" i="14"/>
  <c r="O79" i="14"/>
  <c r="O80" i="14"/>
  <c r="O81" i="14"/>
  <c r="O82" i="14"/>
  <c r="O83" i="14"/>
  <c r="O84" i="14"/>
  <c r="O85" i="14"/>
  <c r="O86" i="14"/>
  <c r="O87" i="14"/>
  <c r="O78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O14" i="3" l="1"/>
  <c r="Y14" i="3" s="1"/>
  <c r="M36" i="3"/>
  <c r="O17" i="3"/>
  <c r="Y17" i="3" s="1"/>
  <c r="AA17" i="3" s="1"/>
  <c r="M39" i="3"/>
  <c r="O13" i="3"/>
  <c r="Y13" i="3" s="1"/>
  <c r="M35" i="3"/>
  <c r="O15" i="3"/>
  <c r="Y15" i="3" s="1"/>
  <c r="M37" i="3"/>
  <c r="O12" i="3"/>
  <c r="Y12" i="3" s="1"/>
  <c r="M34" i="3"/>
  <c r="AA13" i="3"/>
  <c r="O10" i="3"/>
  <c r="Y10" i="3" s="1"/>
  <c r="M32" i="3"/>
  <c r="O9" i="3"/>
  <c r="Y9" i="3" s="1"/>
  <c r="M31" i="3"/>
  <c r="O16" i="3"/>
  <c r="Y16" i="3" s="1"/>
  <c r="M38" i="3"/>
  <c r="O8" i="3"/>
  <c r="Y8" i="3" s="1"/>
  <c r="M30" i="3"/>
  <c r="AA9" i="3"/>
  <c r="M21" i="25"/>
  <c r="G28" i="25" s="1"/>
  <c r="M21" i="23"/>
  <c r="G28" i="23" s="1"/>
  <c r="M14" i="3"/>
  <c r="W14" i="3" s="1"/>
  <c r="V14" i="3"/>
  <c r="M10" i="3"/>
  <c r="W10" i="3" s="1"/>
  <c r="V10" i="3"/>
  <c r="M12" i="3"/>
  <c r="W12" i="3" s="1"/>
  <c r="V12" i="3"/>
  <c r="M11" i="3"/>
  <c r="W11" i="3" s="1"/>
  <c r="V11" i="3"/>
  <c r="M9" i="3"/>
  <c r="W9" i="3" s="1"/>
  <c r="V9" i="3"/>
  <c r="M13" i="3"/>
  <c r="W13" i="3" s="1"/>
  <c r="V13" i="3"/>
  <c r="M8" i="3"/>
  <c r="W8" i="3" s="1"/>
  <c r="V8" i="3"/>
  <c r="M17" i="3"/>
  <c r="W17" i="3" s="1"/>
  <c r="V17" i="3"/>
  <c r="M16" i="3"/>
  <c r="W16" i="3" s="1"/>
  <c r="M15" i="3"/>
  <c r="W15" i="3" s="1"/>
  <c r="V15" i="3"/>
  <c r="Q17" i="3"/>
  <c r="O11" i="3"/>
  <c r="Y11" i="3" s="1"/>
  <c r="Q9" i="3"/>
  <c r="F21" i="25"/>
  <c r="G26" i="25" s="1"/>
  <c r="G23" i="3"/>
  <c r="F21" i="24"/>
  <c r="G26" i="24" s="1"/>
  <c r="G31" i="24" s="1"/>
  <c r="O7" i="3"/>
  <c r="Y7" i="3" s="1"/>
  <c r="F21" i="22"/>
  <c r="G26" i="22" s="1"/>
  <c r="F21" i="23"/>
  <c r="G26" i="23" s="1"/>
  <c r="G31" i="23" s="1"/>
  <c r="G24" i="3"/>
  <c r="M21" i="24"/>
  <c r="G28" i="24" s="1"/>
  <c r="M21" i="22"/>
  <c r="G28" i="22" s="1"/>
  <c r="I28" i="29"/>
  <c r="G27" i="30" s="1"/>
  <c r="V7" i="3"/>
  <c r="M7" i="3"/>
  <c r="W7" i="3" s="1"/>
  <c r="Q29" i="3"/>
  <c r="O29" i="3"/>
  <c r="O89" i="14"/>
  <c r="O105" i="14"/>
  <c r="O121" i="14"/>
  <c r="O106" i="14"/>
  <c r="O74" i="14"/>
  <c r="O73" i="14"/>
  <c r="O104" i="14"/>
  <c r="O90" i="14"/>
  <c r="O122" i="14"/>
  <c r="O120" i="14"/>
  <c r="O88" i="14"/>
  <c r="O72" i="14"/>
  <c r="Q31" i="3" l="1"/>
  <c r="Q39" i="3"/>
  <c r="Q32" i="3"/>
  <c r="Q13" i="3"/>
  <c r="G31" i="25"/>
  <c r="Q30" i="3"/>
  <c r="G31" i="22"/>
  <c r="G37" i="22" s="1"/>
  <c r="F8" i="29" s="1"/>
  <c r="I8" i="29" s="1"/>
  <c r="G37" i="25"/>
  <c r="G37" i="24"/>
  <c r="G37" i="23"/>
  <c r="B8" i="12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E29" i="4"/>
  <c r="E30" i="4"/>
  <c r="E31" i="4"/>
  <c r="E32" i="4"/>
  <c r="E33" i="4"/>
  <c r="E34" i="4"/>
  <c r="E35" i="4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K90" i="3"/>
  <c r="E28" i="3"/>
  <c r="E29" i="3"/>
  <c r="E30" i="3"/>
  <c r="E31" i="3"/>
  <c r="E32" i="3"/>
  <c r="E33" i="3"/>
  <c r="E34" i="3"/>
  <c r="E27" i="3"/>
  <c r="O8" i="4" l="1"/>
  <c r="Y8" i="4" s="1"/>
  <c r="X8" i="3"/>
  <c r="P8" i="3"/>
  <c r="X10" i="3"/>
  <c r="O10" i="4"/>
  <c r="Y10" i="4" s="1"/>
  <c r="P10" i="3"/>
  <c r="X12" i="3"/>
  <c r="O12" i="4"/>
  <c r="Y12" i="4" s="1"/>
  <c r="P12" i="3"/>
  <c r="X14" i="3"/>
  <c r="O14" i="4"/>
  <c r="Y14" i="4" s="1"/>
  <c r="P14" i="3"/>
  <c r="O16" i="4"/>
  <c r="X16" i="3"/>
  <c r="P16" i="3"/>
  <c r="F29" i="29"/>
  <c r="I29" i="29" s="1"/>
  <c r="F30" i="29"/>
  <c r="F15" i="29" s="1"/>
  <c r="F18" i="29" s="1"/>
  <c r="I18" i="29" s="1"/>
  <c r="F35" i="29"/>
  <c r="I35" i="29" s="1"/>
  <c r="F10" i="29"/>
  <c r="I10" i="29" s="1"/>
  <c r="F14" i="29"/>
  <c r="I14" i="29" s="1"/>
  <c r="F36" i="29"/>
  <c r="I36" i="29" s="1"/>
  <c r="F22" i="29"/>
  <c r="I22" i="29" s="1"/>
  <c r="L22" i="29" s="1"/>
  <c r="F19" i="29"/>
  <c r="I19" i="29" s="1"/>
  <c r="F21" i="29"/>
  <c r="I21" i="29" s="1"/>
  <c r="F17" i="29"/>
  <c r="I17" i="29" s="1"/>
  <c r="I15" i="29"/>
  <c r="L90" i="3"/>
  <c r="Z14" i="3" l="1"/>
  <c r="AA14" i="3" s="1"/>
  <c r="Q14" i="3"/>
  <c r="Z12" i="3"/>
  <c r="AA12" i="3" s="1"/>
  <c r="Q12" i="3"/>
  <c r="Z10" i="3"/>
  <c r="AA10" i="3" s="1"/>
  <c r="Q10" i="3"/>
  <c r="Z16" i="3"/>
  <c r="AA16" i="3" s="1"/>
  <c r="Q16" i="3"/>
  <c r="Z8" i="3"/>
  <c r="AA8" i="3" s="1"/>
  <c r="Q8" i="3"/>
  <c r="Y16" i="4"/>
  <c r="F12" i="29"/>
  <c r="I12" i="29" s="1"/>
  <c r="F13" i="29"/>
  <c r="I13" i="29" s="1"/>
  <c r="F34" i="29"/>
  <c r="I34" i="29" s="1"/>
  <c r="F37" i="29"/>
  <c r="F41" i="29" s="1"/>
  <c r="I41" i="29" s="1"/>
  <c r="F20" i="29"/>
  <c r="I20" i="29" s="1"/>
  <c r="F32" i="29"/>
  <c r="I32" i="29" s="1"/>
  <c r="F11" i="29"/>
  <c r="I11" i="29" s="1"/>
  <c r="I30" i="29"/>
  <c r="F33" i="29"/>
  <c r="I33" i="29" s="1"/>
  <c r="F42" i="29" l="1"/>
  <c r="I42" i="29" s="1"/>
  <c r="F39" i="29"/>
  <c r="I39" i="29" s="1"/>
  <c r="F40" i="29"/>
  <c r="I40" i="29" s="1"/>
  <c r="I37" i="29"/>
  <c r="F43" i="29"/>
  <c r="I43" i="29" s="1"/>
  <c r="M14" i="6" l="1"/>
  <c r="M16" i="6"/>
  <c r="M17" i="6"/>
  <c r="M7" i="6"/>
  <c r="N7" i="6" s="1"/>
  <c r="M8" i="6"/>
  <c r="M9" i="6"/>
  <c r="M12" i="6"/>
  <c r="M10" i="6"/>
  <c r="M11" i="6"/>
  <c r="M13" i="6"/>
  <c r="M15" i="6"/>
  <c r="M29" i="6"/>
  <c r="O29" i="6" s="1"/>
  <c r="M30" i="6"/>
  <c r="O30" i="6" s="1"/>
  <c r="M31" i="6"/>
  <c r="O31" i="6" s="1"/>
  <c r="M32" i="6"/>
  <c r="O32" i="6" s="1"/>
  <c r="W17" i="6" l="1"/>
  <c r="N17" i="6"/>
  <c r="W11" i="6"/>
  <c r="N11" i="6"/>
  <c r="W16" i="6"/>
  <c r="N16" i="6"/>
  <c r="W15" i="6"/>
  <c r="N15" i="6"/>
  <c r="N13" i="6"/>
  <c r="W13" i="6"/>
  <c r="N10" i="6"/>
  <c r="W10" i="6"/>
  <c r="W12" i="6"/>
  <c r="N12" i="6"/>
  <c r="W9" i="6"/>
  <c r="N9" i="6"/>
  <c r="N8" i="6"/>
  <c r="W8" i="6"/>
  <c r="W14" i="6"/>
  <c r="N14" i="6"/>
  <c r="W7" i="6"/>
  <c r="G20" i="8"/>
  <c r="M14" i="8" l="1"/>
  <c r="N14" i="8" s="1"/>
  <c r="O14" i="8" s="1"/>
  <c r="M17" i="8"/>
  <c r="N17" i="8" s="1"/>
  <c r="O17" i="8" s="1"/>
  <c r="M13" i="8"/>
  <c r="N13" i="8" s="1"/>
  <c r="O13" i="8" s="1"/>
  <c r="M16" i="8"/>
  <c r="N16" i="8" s="1"/>
  <c r="O16" i="8" s="1"/>
  <c r="M8" i="8"/>
  <c r="N8" i="8" s="1"/>
  <c r="O8" i="8" s="1"/>
  <c r="M12" i="8"/>
  <c r="N12" i="8" s="1"/>
  <c r="O12" i="8" s="1"/>
  <c r="M11" i="8"/>
  <c r="N11" i="8" s="1"/>
  <c r="O11" i="8" s="1"/>
  <c r="M15" i="8"/>
  <c r="N15" i="8" s="1"/>
  <c r="O15" i="8" s="1"/>
  <c r="M10" i="8"/>
  <c r="N10" i="8" s="1"/>
  <c r="O10" i="8" s="1"/>
  <c r="M9" i="8"/>
  <c r="N9" i="8" s="1"/>
  <c r="O9" i="8" s="1"/>
  <c r="O15" i="6"/>
  <c r="X15" i="6"/>
  <c r="X13" i="6"/>
  <c r="O13" i="6"/>
  <c r="O8" i="6"/>
  <c r="X8" i="6"/>
  <c r="O9" i="6"/>
  <c r="X9" i="6"/>
  <c r="X17" i="6"/>
  <c r="O17" i="6"/>
  <c r="O10" i="6"/>
  <c r="X10" i="6"/>
  <c r="X14" i="6"/>
  <c r="O14" i="6"/>
  <c r="X16" i="6"/>
  <c r="O16" i="6"/>
  <c r="X11" i="6"/>
  <c r="O11" i="6"/>
  <c r="X12" i="6"/>
  <c r="O12" i="6"/>
  <c r="Y30" i="8"/>
  <c r="Y32" i="8" s="1"/>
  <c r="M7" i="8"/>
  <c r="N7" i="8" s="1"/>
  <c r="O7" i="8" s="1"/>
  <c r="Y7" i="8" s="1"/>
  <c r="M32" i="8"/>
  <c r="O32" i="8" s="1"/>
  <c r="M29" i="8"/>
  <c r="O29" i="8" s="1"/>
  <c r="M30" i="8"/>
  <c r="O30" i="8" s="1"/>
  <c r="M31" i="8"/>
  <c r="O31" i="8" s="1"/>
  <c r="O7" i="6"/>
  <c r="Y7" i="6" s="1"/>
  <c r="X7" i="6"/>
  <c r="O42" i="8"/>
  <c r="M34" i="8"/>
  <c r="O34" i="8" s="1"/>
  <c r="M33" i="8"/>
  <c r="O33" i="8" s="1"/>
  <c r="M38" i="8"/>
  <c r="O38" i="8" s="1"/>
  <c r="M37" i="8"/>
  <c r="O37" i="8" s="1"/>
  <c r="M36" i="8"/>
  <c r="O36" i="8" s="1"/>
  <c r="M35" i="8"/>
  <c r="O35" i="8" s="1"/>
  <c r="Y9" i="8" l="1"/>
  <c r="Y11" i="8"/>
  <c r="Y12" i="8"/>
  <c r="Y15" i="8"/>
  <c r="Y8" i="8"/>
  <c r="Y16" i="8"/>
  <c r="Y13" i="8"/>
  <c r="Y14" i="8"/>
  <c r="Y10" i="8"/>
  <c r="Y17" i="8"/>
  <c r="Y17" i="6"/>
  <c r="Q17" i="6"/>
  <c r="Q12" i="6"/>
  <c r="Y12" i="6"/>
  <c r="Y9" i="6"/>
  <c r="Q9" i="6"/>
  <c r="Q8" i="6"/>
  <c r="Y8" i="6"/>
  <c r="Q16" i="6"/>
  <c r="Y16" i="6"/>
  <c r="Q14" i="6"/>
  <c r="Y14" i="6"/>
  <c r="Q10" i="6"/>
  <c r="Y10" i="6"/>
  <c r="Q11" i="6"/>
  <c r="Y11" i="6"/>
  <c r="Y13" i="6"/>
  <c r="Q13" i="6"/>
  <c r="Y15" i="6"/>
  <c r="Q15" i="6"/>
  <c r="AC29" i="8"/>
  <c r="Z36" i="8"/>
  <c r="E32" i="6"/>
  <c r="E33" i="6"/>
  <c r="E34" i="6"/>
  <c r="E35" i="6"/>
  <c r="E36" i="6"/>
  <c r="E37" i="6"/>
  <c r="E38" i="6"/>
  <c r="G20" i="4"/>
  <c r="G6" i="2"/>
  <c r="G7" i="2" s="1"/>
  <c r="G8" i="2" s="1"/>
  <c r="G9" i="2" s="1"/>
  <c r="G10" i="2" s="1"/>
  <c r="G11" i="2" s="1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M17" i="4" l="1"/>
  <c r="M10" i="4"/>
  <c r="M15" i="4"/>
  <c r="M9" i="4"/>
  <c r="M14" i="4"/>
  <c r="M12" i="4"/>
  <c r="M11" i="4"/>
  <c r="M16" i="4"/>
  <c r="M13" i="4"/>
  <c r="M8" i="4"/>
  <c r="AA11" i="6"/>
  <c r="AA16" i="6"/>
  <c r="AA13" i="6"/>
  <c r="AA17" i="6"/>
  <c r="AA14" i="6"/>
  <c r="AA15" i="6"/>
  <c r="AA8" i="6"/>
  <c r="AA9" i="6"/>
  <c r="AA12" i="6"/>
  <c r="AA10" i="6"/>
  <c r="M31" i="4"/>
  <c r="O31" i="4" s="1"/>
  <c r="M7" i="4"/>
  <c r="M32" i="4"/>
  <c r="O32" i="4" s="1"/>
  <c r="M29" i="4"/>
  <c r="O29" i="4" s="1"/>
  <c r="M30" i="4"/>
  <c r="O30" i="4" s="1"/>
  <c r="Z35" i="8"/>
  <c r="Z38" i="8"/>
  <c r="Z37" i="8"/>
  <c r="Z39" i="8"/>
  <c r="M38" i="6"/>
  <c r="O38" i="6" s="1"/>
  <c r="M36" i="6"/>
  <c r="O36" i="6" s="1"/>
  <c r="M33" i="6"/>
  <c r="O33" i="6" s="1"/>
  <c r="M37" i="6"/>
  <c r="O37" i="6" s="1"/>
  <c r="M35" i="6"/>
  <c r="O35" i="6" s="1"/>
  <c r="M34" i="6"/>
  <c r="O34" i="6" s="1"/>
  <c r="Y29" i="6"/>
  <c r="Y30" i="6" s="1"/>
  <c r="M38" i="4"/>
  <c r="O38" i="4" s="1"/>
  <c r="O37" i="4"/>
  <c r="S37" i="4" s="1"/>
  <c r="M36" i="4"/>
  <c r="O36" i="4" s="1"/>
  <c r="M35" i="4"/>
  <c r="O35" i="4" s="1"/>
  <c r="M33" i="4"/>
  <c r="O33" i="4" s="1"/>
  <c r="Y29" i="4"/>
  <c r="O42" i="4"/>
  <c r="M34" i="4"/>
  <c r="O34" i="4" s="1"/>
  <c r="L34" i="3"/>
  <c r="L36" i="3"/>
  <c r="L38" i="3"/>
  <c r="X29" i="3"/>
  <c r="L33" i="3"/>
  <c r="L35" i="3"/>
  <c r="L37" i="3"/>
  <c r="Y30" i="4" l="1"/>
  <c r="Y32" i="4" s="1"/>
  <c r="N8" i="4"/>
  <c r="X8" i="4" s="1"/>
  <c r="W8" i="4"/>
  <c r="N16" i="4"/>
  <c r="X16" i="4" s="1"/>
  <c r="W16" i="4"/>
  <c r="N11" i="4"/>
  <c r="X11" i="4" s="1"/>
  <c r="W11" i="4"/>
  <c r="N12" i="4"/>
  <c r="X12" i="4" s="1"/>
  <c r="W12" i="4"/>
  <c r="N14" i="4"/>
  <c r="X14" i="4" s="1"/>
  <c r="W14" i="4"/>
  <c r="N9" i="4"/>
  <c r="X9" i="4" s="1"/>
  <c r="W9" i="4"/>
  <c r="N15" i="4"/>
  <c r="X15" i="4" s="1"/>
  <c r="W15" i="4"/>
  <c r="W10" i="4"/>
  <c r="N10" i="4"/>
  <c r="X10" i="4" s="1"/>
  <c r="N13" i="4"/>
  <c r="X13" i="4" s="1"/>
  <c r="W13" i="4"/>
  <c r="N17" i="4"/>
  <c r="X17" i="4" s="1"/>
  <c r="W17" i="4"/>
  <c r="X32" i="3"/>
  <c r="AB29" i="3"/>
  <c r="N7" i="4"/>
  <c r="X7" i="4" s="1"/>
  <c r="W7" i="4"/>
  <c r="E9" i="4"/>
  <c r="E10" i="4"/>
  <c r="E8" i="4"/>
  <c r="E7" i="4"/>
  <c r="E7" i="9"/>
  <c r="G7" i="9" s="1"/>
  <c r="E7" i="8"/>
  <c r="G26" i="8"/>
  <c r="M48" i="8" s="1"/>
  <c r="E7" i="6"/>
  <c r="Z42" i="8"/>
  <c r="AC29" i="4"/>
  <c r="Z38" i="4" s="1"/>
  <c r="Y32" i="6"/>
  <c r="AC29" i="6"/>
  <c r="K54" i="3"/>
  <c r="L54" i="3" s="1"/>
  <c r="G22" i="8"/>
  <c r="Z66" i="6" l="1"/>
  <c r="Z67" i="6"/>
  <c r="Z65" i="6"/>
  <c r="Z64" i="6"/>
  <c r="Z63" i="6"/>
  <c r="G11" i="9"/>
  <c r="G13" i="9"/>
  <c r="G8" i="9"/>
  <c r="G15" i="9"/>
  <c r="G10" i="9"/>
  <c r="G17" i="9"/>
  <c r="G12" i="9"/>
  <c r="G14" i="9"/>
  <c r="G9" i="9"/>
  <c r="G16" i="9"/>
  <c r="G17" i="8"/>
  <c r="P17" i="8" s="1"/>
  <c r="Z17" i="8" s="1"/>
  <c r="G10" i="8"/>
  <c r="P10" i="8" s="1"/>
  <c r="Z10" i="8" s="1"/>
  <c r="G15" i="8"/>
  <c r="P15" i="8" s="1"/>
  <c r="Z15" i="8" s="1"/>
  <c r="G8" i="8"/>
  <c r="P8" i="8" s="1"/>
  <c r="Z8" i="8" s="1"/>
  <c r="G13" i="8"/>
  <c r="P13" i="8" s="1"/>
  <c r="Z13" i="8" s="1"/>
  <c r="G11" i="8"/>
  <c r="P11" i="8" s="1"/>
  <c r="Z11" i="8" s="1"/>
  <c r="G16" i="8"/>
  <c r="G9" i="8"/>
  <c r="G14" i="8"/>
  <c r="P14" i="8" s="1"/>
  <c r="Z14" i="8" s="1"/>
  <c r="G12" i="8"/>
  <c r="P12" i="8" s="1"/>
  <c r="Z12" i="8" s="1"/>
  <c r="G17" i="6"/>
  <c r="N39" i="6" s="1"/>
  <c r="G10" i="6"/>
  <c r="N32" i="6" s="1"/>
  <c r="G15" i="6"/>
  <c r="N37" i="6" s="1"/>
  <c r="G8" i="6"/>
  <c r="N30" i="6" s="1"/>
  <c r="G13" i="6"/>
  <c r="N35" i="6" s="1"/>
  <c r="G11" i="6"/>
  <c r="N33" i="6" s="1"/>
  <c r="G16" i="6"/>
  <c r="N38" i="6" s="1"/>
  <c r="G9" i="6"/>
  <c r="N31" i="6" s="1"/>
  <c r="G12" i="6"/>
  <c r="N34" i="6" s="1"/>
  <c r="G14" i="6"/>
  <c r="N36" i="6" s="1"/>
  <c r="F34" i="6"/>
  <c r="G34" i="6" s="1"/>
  <c r="F35" i="6"/>
  <c r="B6" i="26"/>
  <c r="B7" i="26" s="1"/>
  <c r="F5" i="29" s="1"/>
  <c r="Q7" i="6"/>
  <c r="AA7" i="6" s="1"/>
  <c r="M47" i="8"/>
  <c r="M49" i="8"/>
  <c r="Z39" i="4"/>
  <c r="Z36" i="4"/>
  <c r="Z37" i="4"/>
  <c r="Z35" i="4"/>
  <c r="Y35" i="3"/>
  <c r="Y37" i="3"/>
  <c r="Y39" i="3"/>
  <c r="Y36" i="3"/>
  <c r="Y38" i="3"/>
  <c r="Z38" i="6"/>
  <c r="Z36" i="6"/>
  <c r="Z39" i="6"/>
  <c r="Z37" i="6"/>
  <c r="Z35" i="6"/>
  <c r="G21" i="9"/>
  <c r="G22" i="9"/>
  <c r="K74" i="3"/>
  <c r="L74" i="3" s="1"/>
  <c r="K58" i="3"/>
  <c r="L58" i="3" s="1"/>
  <c r="K86" i="3"/>
  <c r="L86" i="3" s="1"/>
  <c r="K70" i="3"/>
  <c r="L70" i="3" s="1"/>
  <c r="K82" i="3"/>
  <c r="L82" i="3" s="1"/>
  <c r="K66" i="3"/>
  <c r="L66" i="3" s="1"/>
  <c r="K50" i="3"/>
  <c r="L50" i="3" s="1"/>
  <c r="K78" i="3"/>
  <c r="L78" i="3" s="1"/>
  <c r="K62" i="3"/>
  <c r="L62" i="3" s="1"/>
  <c r="E13" i="4"/>
  <c r="E14" i="4"/>
  <c r="E15" i="4"/>
  <c r="E11" i="4"/>
  <c r="G16" i="4" s="1"/>
  <c r="E12" i="4"/>
  <c r="G20" i="9"/>
  <c r="G25" i="8"/>
  <c r="G21" i="8"/>
  <c r="Q34" i="6" l="1"/>
  <c r="R34" i="6" s="1"/>
  <c r="S34" i="6" s="1"/>
  <c r="P31" i="6"/>
  <c r="Q31" i="6"/>
  <c r="R31" i="6" s="1"/>
  <c r="S31" i="6" s="1"/>
  <c r="Q38" i="6"/>
  <c r="R38" i="6" s="1"/>
  <c r="S38" i="6" s="1"/>
  <c r="P38" i="6"/>
  <c r="P33" i="6"/>
  <c r="Q33" i="6"/>
  <c r="R33" i="6" s="1"/>
  <c r="S33" i="6" s="1"/>
  <c r="P30" i="6"/>
  <c r="Q30" i="6"/>
  <c r="R30" i="6" s="1"/>
  <c r="S30" i="6" s="1"/>
  <c r="Z70" i="6"/>
  <c r="AB63" i="6"/>
  <c r="AC63" i="6" s="1"/>
  <c r="P37" i="6"/>
  <c r="Q37" i="6"/>
  <c r="R37" i="6" s="1"/>
  <c r="S37" i="6" s="1"/>
  <c r="P32" i="6"/>
  <c r="Q32" i="6"/>
  <c r="R32" i="6" s="1"/>
  <c r="S32" i="6" s="1"/>
  <c r="Q39" i="6"/>
  <c r="R39" i="6" s="1"/>
  <c r="S39" i="6" s="1"/>
  <c r="P39" i="6"/>
  <c r="Q36" i="6"/>
  <c r="R36" i="6" s="1"/>
  <c r="S36" i="6" s="1"/>
  <c r="P36" i="6"/>
  <c r="P11" i="3"/>
  <c r="X11" i="3"/>
  <c r="O11" i="4"/>
  <c r="H16" i="9"/>
  <c r="R16" i="9"/>
  <c r="AB16" i="9" s="1"/>
  <c r="Q9" i="8"/>
  <c r="Q13" i="8"/>
  <c r="Q11" i="8"/>
  <c r="Q14" i="8"/>
  <c r="Q12" i="8"/>
  <c r="Q10" i="8"/>
  <c r="Q15" i="8"/>
  <c r="Q17" i="8"/>
  <c r="Q8" i="8"/>
  <c r="Q16" i="8"/>
  <c r="H9" i="9"/>
  <c r="R9" i="9"/>
  <c r="AB9" i="9" s="1"/>
  <c r="P15" i="3"/>
  <c r="X15" i="3"/>
  <c r="O15" i="4"/>
  <c r="Y15" i="4" s="1"/>
  <c r="O10" i="9"/>
  <c r="O14" i="9"/>
  <c r="O16" i="9"/>
  <c r="O8" i="9"/>
  <c r="O15" i="9"/>
  <c r="O17" i="9"/>
  <c r="O13" i="9"/>
  <c r="O11" i="9"/>
  <c r="O12" i="9"/>
  <c r="O9" i="9"/>
  <c r="H12" i="9"/>
  <c r="R12" i="9"/>
  <c r="AB12" i="9" s="1"/>
  <c r="H9" i="8"/>
  <c r="P9" i="8"/>
  <c r="Z9" i="8" s="1"/>
  <c r="H17" i="9"/>
  <c r="R17" i="9"/>
  <c r="AB17" i="9" s="1"/>
  <c r="H16" i="4"/>
  <c r="P16" i="4"/>
  <c r="Z16" i="4" s="1"/>
  <c r="H16" i="8"/>
  <c r="P16" i="8"/>
  <c r="Z16" i="8" s="1"/>
  <c r="H10" i="9"/>
  <c r="R10" i="9"/>
  <c r="AB10" i="9" s="1"/>
  <c r="H15" i="9"/>
  <c r="R15" i="9"/>
  <c r="AB15" i="9" s="1"/>
  <c r="H14" i="9"/>
  <c r="R14" i="9"/>
  <c r="AB14" i="9" s="1"/>
  <c r="H8" i="9"/>
  <c r="R8" i="9"/>
  <c r="AB8" i="9" s="1"/>
  <c r="H13" i="9"/>
  <c r="R13" i="9"/>
  <c r="AB13" i="9" s="1"/>
  <c r="H11" i="9"/>
  <c r="R11" i="9"/>
  <c r="AB11" i="9" s="1"/>
  <c r="H10" i="6"/>
  <c r="P10" i="6"/>
  <c r="H15" i="6"/>
  <c r="P15" i="6"/>
  <c r="H14" i="6"/>
  <c r="P14" i="6"/>
  <c r="H12" i="6"/>
  <c r="P12" i="6"/>
  <c r="H9" i="6"/>
  <c r="P9" i="6"/>
  <c r="H8" i="6"/>
  <c r="P8" i="6"/>
  <c r="H16" i="6"/>
  <c r="P16" i="6"/>
  <c r="H17" i="6"/>
  <c r="P17" i="6"/>
  <c r="H11" i="6"/>
  <c r="P11" i="6"/>
  <c r="H13" i="6"/>
  <c r="P13" i="6"/>
  <c r="H12" i="8"/>
  <c r="H14" i="8"/>
  <c r="H11" i="8"/>
  <c r="H13" i="8"/>
  <c r="H8" i="8"/>
  <c r="H15" i="8"/>
  <c r="H10" i="8"/>
  <c r="H17" i="8"/>
  <c r="G17" i="4"/>
  <c r="N37" i="8"/>
  <c r="N38" i="8"/>
  <c r="N36" i="8"/>
  <c r="N34" i="8"/>
  <c r="E16" i="40"/>
  <c r="H16" i="40" s="1"/>
  <c r="I16" i="40" s="1"/>
  <c r="F24" i="40" s="1"/>
  <c r="G24" i="40" s="1"/>
  <c r="E17" i="40"/>
  <c r="H17" i="40" s="1"/>
  <c r="E18" i="40"/>
  <c r="H18" i="40" s="1"/>
  <c r="I18" i="40" s="1"/>
  <c r="F26" i="40" s="1"/>
  <c r="G26" i="40" s="1"/>
  <c r="N33" i="8"/>
  <c r="N35" i="8"/>
  <c r="Z7" i="3"/>
  <c r="AA7" i="3" s="1"/>
  <c r="O7" i="4"/>
  <c r="Y7" i="4" s="1"/>
  <c r="X7" i="3"/>
  <c r="Q7" i="8"/>
  <c r="O29" i="9"/>
  <c r="Q29" i="9" s="1"/>
  <c r="O7" i="9"/>
  <c r="P29" i="9"/>
  <c r="G7" i="8"/>
  <c r="G7" i="6"/>
  <c r="G23" i="6" s="1"/>
  <c r="G8" i="4"/>
  <c r="P8" i="4" s="1"/>
  <c r="Z8" i="4" s="1"/>
  <c r="G9" i="4"/>
  <c r="P9" i="4" s="1"/>
  <c r="Z9" i="4" s="1"/>
  <c r="G10" i="4"/>
  <c r="P10" i="4" s="1"/>
  <c r="Z10" i="4" s="1"/>
  <c r="G7" i="4"/>
  <c r="Z42" i="4"/>
  <c r="P42" i="9"/>
  <c r="O34" i="9"/>
  <c r="Q34" i="9" s="1"/>
  <c r="O32" i="9"/>
  <c r="Q32" i="9" s="1"/>
  <c r="O30" i="9"/>
  <c r="Q30" i="9" s="1"/>
  <c r="O38" i="9"/>
  <c r="Q38" i="9" s="1"/>
  <c r="O37" i="9"/>
  <c r="Q37" i="9" s="1"/>
  <c r="O36" i="9"/>
  <c r="Q36" i="9" s="1"/>
  <c r="O35" i="9"/>
  <c r="Q35" i="9" s="1"/>
  <c r="O33" i="9"/>
  <c r="Q33" i="9" s="1"/>
  <c r="O31" i="9"/>
  <c r="Q31" i="9" s="1"/>
  <c r="AA32" i="9"/>
  <c r="Z42" i="6"/>
  <c r="Y42" i="3"/>
  <c r="F32" i="6"/>
  <c r="F38" i="6"/>
  <c r="F14" i="10" s="1"/>
  <c r="F37" i="6"/>
  <c r="F13" i="10" s="1"/>
  <c r="F36" i="6"/>
  <c r="F12" i="10" s="1"/>
  <c r="F7" i="10"/>
  <c r="E6" i="26"/>
  <c r="E7" i="26" s="1"/>
  <c r="F33" i="6"/>
  <c r="F11" i="10"/>
  <c r="F32" i="3"/>
  <c r="D12" i="10" s="1"/>
  <c r="F33" i="3"/>
  <c r="D13" i="10" s="1"/>
  <c r="F34" i="3"/>
  <c r="D14" i="10" s="1"/>
  <c r="F31" i="3"/>
  <c r="D11" i="10" s="1"/>
  <c r="F28" i="3"/>
  <c r="D8" i="10" s="1"/>
  <c r="F29" i="3"/>
  <c r="D9" i="10" s="1"/>
  <c r="F30" i="3"/>
  <c r="D10" i="10" s="1"/>
  <c r="F27" i="3"/>
  <c r="D7" i="10" s="1"/>
  <c r="G14" i="4"/>
  <c r="G11" i="4"/>
  <c r="G13" i="4"/>
  <c r="G15" i="4"/>
  <c r="G12" i="4"/>
  <c r="P34" i="6" l="1"/>
  <c r="P35" i="6"/>
  <c r="Q35" i="6"/>
  <c r="R35" i="6" s="1"/>
  <c r="S35" i="6" s="1"/>
  <c r="P12" i="4"/>
  <c r="P8" i="9"/>
  <c r="Y8" i="9"/>
  <c r="R15" i="8"/>
  <c r="AA15" i="8"/>
  <c r="AB15" i="8" s="1"/>
  <c r="P16" i="9"/>
  <c r="Y16" i="9"/>
  <c r="R10" i="8"/>
  <c r="AA10" i="8"/>
  <c r="AB10" i="8" s="1"/>
  <c r="P10" i="9"/>
  <c r="Y10" i="9"/>
  <c r="P14" i="9"/>
  <c r="Y14" i="9"/>
  <c r="R12" i="8"/>
  <c r="AA12" i="8"/>
  <c r="AB12" i="8" s="1"/>
  <c r="H17" i="4"/>
  <c r="P17" i="4"/>
  <c r="Z17" i="4" s="1"/>
  <c r="R14" i="8"/>
  <c r="AA14" i="8"/>
  <c r="AB14" i="8" s="1"/>
  <c r="P9" i="9"/>
  <c r="Y9" i="9"/>
  <c r="Q15" i="3"/>
  <c r="Z15" i="3"/>
  <c r="AA15" i="3" s="1"/>
  <c r="R9" i="8"/>
  <c r="AA9" i="8"/>
  <c r="AB9" i="8" s="1"/>
  <c r="P12" i="9"/>
  <c r="Y12" i="9"/>
  <c r="R13" i="8"/>
  <c r="AA13" i="8"/>
  <c r="AB13" i="8" s="1"/>
  <c r="P13" i="4"/>
  <c r="Z13" i="4" s="1"/>
  <c r="P11" i="4"/>
  <c r="Z11" i="4" s="1"/>
  <c r="P11" i="9"/>
  <c r="Y11" i="9"/>
  <c r="P13" i="9"/>
  <c r="Y13" i="9"/>
  <c r="R16" i="8"/>
  <c r="AA16" i="8"/>
  <c r="AB16" i="8" s="1"/>
  <c r="Y11" i="4"/>
  <c r="P17" i="9"/>
  <c r="Y17" i="9"/>
  <c r="R8" i="8"/>
  <c r="AA8" i="8"/>
  <c r="AB8" i="8" s="1"/>
  <c r="R11" i="8"/>
  <c r="AA11" i="8"/>
  <c r="AB11" i="8" s="1"/>
  <c r="P15" i="4"/>
  <c r="Z15" i="4" s="1"/>
  <c r="P14" i="4"/>
  <c r="Z14" i="4" s="1"/>
  <c r="P15" i="9"/>
  <c r="Y15" i="9"/>
  <c r="R17" i="8"/>
  <c r="AA17" i="8"/>
  <c r="AB17" i="8" s="1"/>
  <c r="Q11" i="3"/>
  <c r="Z11" i="3"/>
  <c r="AA11" i="3" s="1"/>
  <c r="G24" i="6"/>
  <c r="Z9" i="6"/>
  <c r="AB9" i="6" s="1"/>
  <c r="R9" i="6"/>
  <c r="Z14" i="6"/>
  <c r="AB14" i="6" s="1"/>
  <c r="R14" i="6"/>
  <c r="Z17" i="6"/>
  <c r="AB17" i="6" s="1"/>
  <c r="R17" i="6"/>
  <c r="Z15" i="6"/>
  <c r="AB15" i="6" s="1"/>
  <c r="R15" i="6"/>
  <c r="Z13" i="6"/>
  <c r="AB13" i="6" s="1"/>
  <c r="R13" i="6"/>
  <c r="Z11" i="6"/>
  <c r="AB11" i="6" s="1"/>
  <c r="R11" i="6"/>
  <c r="Z8" i="6"/>
  <c r="AB8" i="6" s="1"/>
  <c r="R8" i="6"/>
  <c r="Z12" i="6"/>
  <c r="AB12" i="6" s="1"/>
  <c r="R12" i="6"/>
  <c r="Z16" i="6"/>
  <c r="AB16" i="6" s="1"/>
  <c r="R16" i="6"/>
  <c r="Z10" i="6"/>
  <c r="AB10" i="6" s="1"/>
  <c r="R10" i="6"/>
  <c r="F10" i="10"/>
  <c r="F9" i="10"/>
  <c r="D6" i="26"/>
  <c r="D7" i="26" s="1"/>
  <c r="F8" i="10"/>
  <c r="C6" i="26"/>
  <c r="C7" i="26" s="1"/>
  <c r="L17" i="40"/>
  <c r="I17" i="40"/>
  <c r="Q7" i="3"/>
  <c r="H8" i="4"/>
  <c r="Y7" i="9"/>
  <c r="P7" i="9"/>
  <c r="H7" i="6"/>
  <c r="G26" i="6" s="1"/>
  <c r="P7" i="6"/>
  <c r="H7" i="8"/>
  <c r="P7" i="8"/>
  <c r="Z7" i="8" s="1"/>
  <c r="N29" i="8"/>
  <c r="N30" i="8"/>
  <c r="N31" i="8"/>
  <c r="N32" i="8"/>
  <c r="N29" i="4"/>
  <c r="P7" i="4"/>
  <c r="Z7" i="4" s="1"/>
  <c r="H7" i="4"/>
  <c r="H10" i="4"/>
  <c r="H7" i="9"/>
  <c r="R7" i="9"/>
  <c r="AB7" i="9" s="1"/>
  <c r="H9" i="4"/>
  <c r="AA7" i="8"/>
  <c r="AE29" i="9"/>
  <c r="T29" i="9"/>
  <c r="Q37" i="8"/>
  <c r="R37" i="8" s="1"/>
  <c r="S37" i="8" s="1"/>
  <c r="P37" i="8"/>
  <c r="Q33" i="8"/>
  <c r="R33" i="8" s="1"/>
  <c r="S33" i="8" s="1"/>
  <c r="P33" i="8"/>
  <c r="P34" i="8"/>
  <c r="Q34" i="8"/>
  <c r="R34" i="8" s="1"/>
  <c r="S34" i="8" s="1"/>
  <c r="Q38" i="8"/>
  <c r="R38" i="8" s="1"/>
  <c r="S38" i="8" s="1"/>
  <c r="P38" i="8"/>
  <c r="Q36" i="8"/>
  <c r="R36" i="8" s="1"/>
  <c r="S36" i="8" s="1"/>
  <c r="P36" i="8"/>
  <c r="Q35" i="8"/>
  <c r="R35" i="8" s="1"/>
  <c r="S35" i="8" s="1"/>
  <c r="P35" i="8"/>
  <c r="P49" i="8"/>
  <c r="R49" i="8"/>
  <c r="T49" i="8"/>
  <c r="N49" i="8"/>
  <c r="O49" i="8"/>
  <c r="Q49" i="8"/>
  <c r="S49" i="8"/>
  <c r="U49" i="8"/>
  <c r="P47" i="8"/>
  <c r="R47" i="8"/>
  <c r="T47" i="8"/>
  <c r="N47" i="8"/>
  <c r="O47" i="8"/>
  <c r="Q47" i="8"/>
  <c r="S47" i="8"/>
  <c r="U47" i="8"/>
  <c r="G23" i="8"/>
  <c r="G24" i="8"/>
  <c r="G23" i="9"/>
  <c r="G24" i="9"/>
  <c r="G24" i="4"/>
  <c r="G23" i="4"/>
  <c r="G25" i="4"/>
  <c r="H12" i="4"/>
  <c r="H15" i="4"/>
  <c r="H11" i="4"/>
  <c r="H13" i="4"/>
  <c r="H14" i="4"/>
  <c r="Q9" i="9" l="1"/>
  <c r="Z9" i="9"/>
  <c r="Q15" i="9"/>
  <c r="Z15" i="9"/>
  <c r="Q10" i="9"/>
  <c r="Z10" i="9"/>
  <c r="Q12" i="9"/>
  <c r="Z12" i="9"/>
  <c r="Q13" i="9"/>
  <c r="Z13" i="9"/>
  <c r="Q16" i="9"/>
  <c r="Z16" i="9"/>
  <c r="Q11" i="9"/>
  <c r="Z11" i="9"/>
  <c r="Q14" i="9"/>
  <c r="Z14" i="9"/>
  <c r="Q8" i="9"/>
  <c r="Z8" i="9"/>
  <c r="Z12" i="4"/>
  <c r="AB21" i="4" s="1"/>
  <c r="Q17" i="9"/>
  <c r="Z17" i="9"/>
  <c r="F25" i="40"/>
  <c r="G25" i="40" s="1"/>
  <c r="D6" i="36"/>
  <c r="E6" i="36" s="1"/>
  <c r="F6" i="29"/>
  <c r="I5" i="29"/>
  <c r="G12" i="30" s="1"/>
  <c r="AB7" i="8"/>
  <c r="R7" i="8"/>
  <c r="N48" i="8"/>
  <c r="E29" i="8" s="1"/>
  <c r="F29" i="8" s="1"/>
  <c r="G7" i="10" s="1"/>
  <c r="Q30" i="8"/>
  <c r="R30" i="8" s="1"/>
  <c r="S30" i="8" s="1"/>
  <c r="P30" i="8"/>
  <c r="P32" i="8"/>
  <c r="Q32" i="8"/>
  <c r="R32" i="8" s="1"/>
  <c r="S32" i="8" s="1"/>
  <c r="P29" i="8"/>
  <c r="Q29" i="8"/>
  <c r="R29" i="8" s="1"/>
  <c r="S29" i="8" s="1"/>
  <c r="Q7" i="9"/>
  <c r="Z7" i="9"/>
  <c r="P29" i="4"/>
  <c r="R29" i="4"/>
  <c r="S29" i="4" s="1"/>
  <c r="U40" i="9"/>
  <c r="P29" i="6"/>
  <c r="Q29" i="6"/>
  <c r="R29" i="6" s="1"/>
  <c r="S29" i="6" s="1"/>
  <c r="Z7" i="6"/>
  <c r="AB7" i="6" s="1"/>
  <c r="R7" i="6"/>
  <c r="P31" i="8"/>
  <c r="Q31" i="8"/>
  <c r="R31" i="8" s="1"/>
  <c r="S31" i="8" s="1"/>
  <c r="O48" i="8"/>
  <c r="E30" i="8" s="1"/>
  <c r="P48" i="8"/>
  <c r="E31" i="8" s="1"/>
  <c r="F31" i="8" s="1"/>
  <c r="G9" i="10" s="1"/>
  <c r="U48" i="8"/>
  <c r="E36" i="8" s="1"/>
  <c r="R48" i="8"/>
  <c r="E33" i="8" s="1"/>
  <c r="S48" i="8"/>
  <c r="E34" i="8" s="1"/>
  <c r="F34" i="8" s="1"/>
  <c r="G12" i="10" s="1"/>
  <c r="Q48" i="8"/>
  <c r="E32" i="8" s="1"/>
  <c r="F32" i="8" s="1"/>
  <c r="G10" i="10" s="1"/>
  <c r="T48" i="8"/>
  <c r="E35" i="8" s="1"/>
  <c r="F35" i="8" s="1"/>
  <c r="G13" i="10" s="1"/>
  <c r="AB36" i="9"/>
  <c r="AB38" i="9"/>
  <c r="AB35" i="9"/>
  <c r="AB37" i="9"/>
  <c r="AB39" i="9"/>
  <c r="AE30" i="9"/>
  <c r="AE31" i="9" s="1"/>
  <c r="Y35" i="9" s="1"/>
  <c r="AC30" i="8"/>
  <c r="AC31" i="8" s="1"/>
  <c r="W35" i="8" s="1"/>
  <c r="AC30" i="6"/>
  <c r="G22" i="4"/>
  <c r="AC30" i="4"/>
  <c r="AC31" i="4" s="1"/>
  <c r="W35" i="4" s="1"/>
  <c r="AB30" i="3"/>
  <c r="AB32" i="3" s="1"/>
  <c r="Q21" i="3"/>
  <c r="Q34" i="3"/>
  <c r="Q35" i="3"/>
  <c r="Q37" i="3"/>
  <c r="Q38" i="3"/>
  <c r="Q33" i="3"/>
  <c r="Q36" i="3"/>
  <c r="AA21" i="3"/>
  <c r="G28" i="9"/>
  <c r="AD21" i="9"/>
  <c r="T21" i="9"/>
  <c r="R21" i="4"/>
  <c r="R21" i="6"/>
  <c r="R21" i="8"/>
  <c r="AB21" i="8"/>
  <c r="G30" i="9"/>
  <c r="O49" i="9" s="1"/>
  <c r="G25" i="9"/>
  <c r="G26" i="9"/>
  <c r="G21" i="4"/>
  <c r="AC32" i="6" l="1"/>
  <c r="S13" i="9"/>
  <c r="AA13" i="9"/>
  <c r="S12" i="9"/>
  <c r="AA12" i="9"/>
  <c r="S14" i="9"/>
  <c r="AA14" i="9"/>
  <c r="S10" i="9"/>
  <c r="AA10" i="9"/>
  <c r="Q14" i="4"/>
  <c r="Q17" i="4"/>
  <c r="Q10" i="4"/>
  <c r="Q15" i="4"/>
  <c r="Q8" i="4"/>
  <c r="Q13" i="4"/>
  <c r="Q12" i="4"/>
  <c r="Q9" i="4"/>
  <c r="Q16" i="4"/>
  <c r="Q11" i="4"/>
  <c r="S8" i="9"/>
  <c r="AA8" i="9"/>
  <c r="S11" i="9"/>
  <c r="AA11" i="9"/>
  <c r="S15" i="9"/>
  <c r="AA15" i="9"/>
  <c r="S16" i="9"/>
  <c r="AA16" i="9"/>
  <c r="S17" i="9"/>
  <c r="AA17" i="9"/>
  <c r="S9" i="9"/>
  <c r="AA9" i="9"/>
  <c r="I16" i="9"/>
  <c r="I9" i="9"/>
  <c r="J16" i="9"/>
  <c r="J9" i="9"/>
  <c r="J13" i="9"/>
  <c r="I11" i="9"/>
  <c r="J11" i="9"/>
  <c r="I12" i="9"/>
  <c r="I8" i="9"/>
  <c r="J10" i="9"/>
  <c r="J12" i="9"/>
  <c r="J8" i="9"/>
  <c r="J14" i="9"/>
  <c r="I17" i="9"/>
  <c r="I13" i="9"/>
  <c r="J17" i="9"/>
  <c r="I10" i="9"/>
  <c r="I15" i="9"/>
  <c r="I14" i="9"/>
  <c r="J15" i="9"/>
  <c r="F7" i="29"/>
  <c r="I6" i="29"/>
  <c r="D293" i="39"/>
  <c r="D116" i="39"/>
  <c r="D256" i="39"/>
  <c r="D214" i="39"/>
  <c r="D254" i="39"/>
  <c r="D171" i="39"/>
  <c r="D68" i="39"/>
  <c r="D235" i="39"/>
  <c r="D368" i="39"/>
  <c r="D74" i="39"/>
  <c r="D93" i="39"/>
  <c r="D312" i="39"/>
  <c r="D133" i="39"/>
  <c r="D328" i="39"/>
  <c r="D125" i="39"/>
  <c r="D203" i="39"/>
  <c r="D40" i="39"/>
  <c r="D350" i="39"/>
  <c r="D168" i="39"/>
  <c r="D45" i="39"/>
  <c r="D43" i="39"/>
  <c r="D174" i="39"/>
  <c r="D63" i="39"/>
  <c r="D277" i="39"/>
  <c r="D230" i="39"/>
  <c r="D4" i="39"/>
  <c r="F4" i="39" s="1"/>
  <c r="C5" i="39" s="1"/>
  <c r="D283" i="39"/>
  <c r="D236" i="39"/>
  <c r="D196" i="39"/>
  <c r="D42" i="39"/>
  <c r="D153" i="39"/>
  <c r="D208" i="39"/>
  <c r="D248" i="39"/>
  <c r="D165" i="39"/>
  <c r="D349" i="39"/>
  <c r="D157" i="39"/>
  <c r="D95" i="39"/>
  <c r="D121" i="39"/>
  <c r="D316" i="39"/>
  <c r="D113" i="39"/>
  <c r="D127" i="39"/>
  <c r="D322" i="39"/>
  <c r="D119" i="39"/>
  <c r="D294" i="39"/>
  <c r="D135" i="39"/>
  <c r="D172" i="39"/>
  <c r="D314" i="39"/>
  <c r="D303" i="39"/>
  <c r="D359" i="39"/>
  <c r="D240" i="39"/>
  <c r="D329" i="39"/>
  <c r="D12" i="39"/>
  <c r="D92" i="39"/>
  <c r="D17" i="39"/>
  <c r="D180" i="39"/>
  <c r="D118" i="39"/>
  <c r="D287" i="39"/>
  <c r="D186" i="39"/>
  <c r="D72" i="39"/>
  <c r="D331" i="39"/>
  <c r="D308" i="39"/>
  <c r="D225" i="39"/>
  <c r="D343" i="39"/>
  <c r="D151" i="39"/>
  <c r="D237" i="39"/>
  <c r="D90" i="39"/>
  <c r="D229" i="39"/>
  <c r="D49" i="39"/>
  <c r="D282" i="39"/>
  <c r="D123" i="39"/>
  <c r="D48" i="39"/>
  <c r="D288" i="39"/>
  <c r="D129" i="39"/>
  <c r="D60" i="39"/>
  <c r="D197" i="39"/>
  <c r="D91" i="39"/>
  <c r="D73" i="39"/>
  <c r="D259" i="39"/>
  <c r="D212" i="39"/>
  <c r="D257" i="39"/>
  <c r="D339" i="39"/>
  <c r="D88" i="39"/>
  <c r="D263" i="39"/>
  <c r="D345" i="39"/>
  <c r="D94" i="39"/>
  <c r="D98" i="39"/>
  <c r="D341" i="39"/>
  <c r="D56" i="39"/>
  <c r="D81" i="39"/>
  <c r="D347" i="39"/>
  <c r="D138" i="39"/>
  <c r="D211" i="39"/>
  <c r="D220" i="39"/>
  <c r="D84" i="39"/>
  <c r="D223" i="39"/>
  <c r="D96" i="39"/>
  <c r="D115" i="39"/>
  <c r="D310" i="39"/>
  <c r="D107" i="39"/>
  <c r="D185" i="39"/>
  <c r="D46" i="39"/>
  <c r="D224" i="39"/>
  <c r="D191" i="39"/>
  <c r="D61" i="39"/>
  <c r="D57" i="39"/>
  <c r="D64" i="39"/>
  <c r="D297" i="39"/>
  <c r="D295" i="39"/>
  <c r="D162" i="39"/>
  <c r="D33" i="39"/>
  <c r="D160" i="39"/>
  <c r="D70" i="39"/>
  <c r="D292" i="39"/>
  <c r="D166" i="39"/>
  <c r="D6" i="39"/>
  <c r="D269" i="39"/>
  <c r="D351" i="39"/>
  <c r="D85" i="39"/>
  <c r="D275" i="39"/>
  <c r="D357" i="39"/>
  <c r="D52" i="39"/>
  <c r="D51" i="39"/>
  <c r="D31" i="39"/>
  <c r="D198" i="39"/>
  <c r="D109" i="39"/>
  <c r="D55" i="39"/>
  <c r="D366" i="39"/>
  <c r="D276" i="39"/>
  <c r="D117" i="39"/>
  <c r="D36" i="39"/>
  <c r="D15" i="39"/>
  <c r="D285" i="39"/>
  <c r="D47" i="39"/>
  <c r="D27" i="39"/>
  <c r="D291" i="39"/>
  <c r="D336" i="39"/>
  <c r="D253" i="39"/>
  <c r="D206" i="39"/>
  <c r="D360" i="39"/>
  <c r="D234" i="39"/>
  <c r="D323" i="39"/>
  <c r="D41" i="39"/>
  <c r="D284" i="39"/>
  <c r="D201" i="39"/>
  <c r="D313" i="39"/>
  <c r="D290" i="39"/>
  <c r="D184" i="39"/>
  <c r="D18" i="39"/>
  <c r="D304" i="39"/>
  <c r="D190" i="39"/>
  <c r="D30" i="39"/>
  <c r="D147" i="39"/>
  <c r="D258" i="39"/>
  <c r="D364" i="39"/>
  <c r="D217" i="39"/>
  <c r="D270" i="39"/>
  <c r="D111" i="39"/>
  <c r="D24" i="39"/>
  <c r="D179" i="39"/>
  <c r="D65" i="39"/>
  <c r="D10" i="39"/>
  <c r="D241" i="39"/>
  <c r="D194" i="39"/>
  <c r="D239" i="39"/>
  <c r="D247" i="39"/>
  <c r="D200" i="39"/>
  <c r="D202" i="39"/>
  <c r="D156" i="39"/>
  <c r="D21" i="39"/>
  <c r="D251" i="39"/>
  <c r="D333" i="39"/>
  <c r="D136" i="39"/>
  <c r="D114" i="39"/>
  <c r="D187" i="39"/>
  <c r="D35" i="39"/>
  <c r="D120" i="39"/>
  <c r="D193" i="39"/>
  <c r="D319" i="39"/>
  <c r="D296" i="39"/>
  <c r="D213" i="39"/>
  <c r="D325" i="39"/>
  <c r="D302" i="39"/>
  <c r="D178" i="39"/>
  <c r="D161" i="39"/>
  <c r="D44" i="39"/>
  <c r="D159" i="39"/>
  <c r="D173" i="39"/>
  <c r="D130" i="39"/>
  <c r="D335" i="39"/>
  <c r="D80" i="39"/>
  <c r="D279" i="39"/>
  <c r="D25" i="39"/>
  <c r="D144" i="39"/>
  <c r="D83" i="39"/>
  <c r="D145" i="39"/>
  <c r="D150" i="39"/>
  <c r="D9" i="39"/>
  <c r="D105" i="39"/>
  <c r="D228" i="39"/>
  <c r="D317" i="39"/>
  <c r="D154" i="39"/>
  <c r="D86" i="39"/>
  <c r="D286" i="39"/>
  <c r="D38" i="39"/>
  <c r="D82" i="39"/>
  <c r="D330" i="39"/>
  <c r="D50" i="39"/>
  <c r="D66" i="39"/>
  <c r="D126" i="39"/>
  <c r="D199" i="39"/>
  <c r="D59" i="39"/>
  <c r="D132" i="39"/>
  <c r="D205" i="39"/>
  <c r="D67" i="39"/>
  <c r="D233" i="39"/>
  <c r="D261" i="39"/>
  <c r="D97" i="39"/>
  <c r="D273" i="39"/>
  <c r="D104" i="39"/>
  <c r="D362" i="39"/>
  <c r="D188" i="39"/>
  <c r="D264" i="39"/>
  <c r="D216" i="39"/>
  <c r="D53" i="39"/>
  <c r="D176" i="39"/>
  <c r="D222" i="39"/>
  <c r="D311" i="39"/>
  <c r="D245" i="39"/>
  <c r="D327" i="39"/>
  <c r="D124" i="39"/>
  <c r="D28" i="39"/>
  <c r="D278" i="39"/>
  <c r="D195" i="39"/>
  <c r="D69" i="39"/>
  <c r="D340" i="39"/>
  <c r="D137" i="39"/>
  <c r="D369" i="39"/>
  <c r="D346" i="39"/>
  <c r="D62" i="39"/>
  <c r="D7" i="39"/>
  <c r="D342" i="39"/>
  <c r="D39" i="39"/>
  <c r="D19" i="39"/>
  <c r="D354" i="39"/>
  <c r="D344" i="39"/>
  <c r="D170" i="39"/>
  <c r="D356" i="39"/>
  <c r="D182" i="39"/>
  <c r="D110" i="39"/>
  <c r="D307" i="39"/>
  <c r="D77" i="39"/>
  <c r="D250" i="39"/>
  <c r="D315" i="39"/>
  <c r="D106" i="39"/>
  <c r="D238" i="39"/>
  <c r="D321" i="39"/>
  <c r="D112" i="39"/>
  <c r="D148" i="39"/>
  <c r="D140" i="39"/>
  <c r="D280" i="39"/>
  <c r="D108" i="39"/>
  <c r="D181" i="39"/>
  <c r="D23" i="39"/>
  <c r="D306" i="39"/>
  <c r="D71" i="39"/>
  <c r="D79" i="39"/>
  <c r="D143" i="39"/>
  <c r="D8" i="39"/>
  <c r="D246" i="39"/>
  <c r="D352" i="39"/>
  <c r="D89" i="39"/>
  <c r="D252" i="39"/>
  <c r="D358" i="39"/>
  <c r="D167" i="39"/>
  <c r="D289" i="39"/>
  <c r="D102" i="39"/>
  <c r="D301" i="39"/>
  <c r="D100" i="39"/>
  <c r="D267" i="39"/>
  <c r="D210" i="39"/>
  <c r="D16" i="39"/>
  <c r="D305" i="39"/>
  <c r="D128" i="39"/>
  <c r="D268" i="39"/>
  <c r="D142" i="39"/>
  <c r="D134" i="39"/>
  <c r="D274" i="39"/>
  <c r="D37" i="39"/>
  <c r="D272" i="39"/>
  <c r="D189" i="39"/>
  <c r="D26" i="39"/>
  <c r="D76" i="39"/>
  <c r="D324" i="39"/>
  <c r="D209" i="39"/>
  <c r="D54" i="39"/>
  <c r="D207" i="39"/>
  <c r="D215" i="39"/>
  <c r="D243" i="39"/>
  <c r="D149" i="39"/>
  <c r="D20" i="39"/>
  <c r="D75" i="39"/>
  <c r="D155" i="39"/>
  <c r="D32" i="39"/>
  <c r="D242" i="39"/>
  <c r="D192" i="39"/>
  <c r="D22" i="39"/>
  <c r="D204" i="39"/>
  <c r="D58" i="39"/>
  <c r="D231" i="39"/>
  <c r="D309" i="39"/>
  <c r="D141" i="39"/>
  <c r="D226" i="39"/>
  <c r="D260" i="39"/>
  <c r="D177" i="39"/>
  <c r="D13" i="39"/>
  <c r="D266" i="39"/>
  <c r="D183" i="39"/>
  <c r="D367" i="39"/>
  <c r="D175" i="39"/>
  <c r="D11" i="39"/>
  <c r="D139" i="39"/>
  <c r="D334" i="39"/>
  <c r="D131" i="39"/>
  <c r="D320" i="39"/>
  <c r="D146" i="39"/>
  <c r="D103" i="39"/>
  <c r="D326" i="39"/>
  <c r="D152" i="39"/>
  <c r="D221" i="39"/>
  <c r="D249" i="39"/>
  <c r="D219" i="39"/>
  <c r="D227" i="39"/>
  <c r="D255" i="39"/>
  <c r="D34" i="39"/>
  <c r="D5" i="39"/>
  <c r="D353" i="39"/>
  <c r="D29" i="39"/>
  <c r="D365" i="39"/>
  <c r="D299" i="39"/>
  <c r="D122" i="39"/>
  <c r="D262" i="39"/>
  <c r="D355" i="39"/>
  <c r="D163" i="39"/>
  <c r="D101" i="39"/>
  <c r="D361" i="39"/>
  <c r="D169" i="39"/>
  <c r="D78" i="39"/>
  <c r="D14" i="39"/>
  <c r="D99" i="39"/>
  <c r="D318" i="39"/>
  <c r="D300" i="39"/>
  <c r="D87" i="39"/>
  <c r="D232" i="39"/>
  <c r="D265" i="39"/>
  <c r="D218" i="39"/>
  <c r="D337" i="39"/>
  <c r="D271" i="39"/>
  <c r="D298" i="39"/>
  <c r="D332" i="39"/>
  <c r="D158" i="39"/>
  <c r="D348" i="39"/>
  <c r="D338" i="39"/>
  <c r="D164" i="39"/>
  <c r="D281" i="39"/>
  <c r="D363" i="39"/>
  <c r="D244" i="39"/>
  <c r="S40" i="6"/>
  <c r="O43" i="6" s="1"/>
  <c r="S39" i="8"/>
  <c r="L43" i="8" s="1"/>
  <c r="AB21" i="6"/>
  <c r="S7" i="9"/>
  <c r="AA7" i="9"/>
  <c r="Q20" i="3"/>
  <c r="Q22" i="3" s="1"/>
  <c r="D8" i="11" s="1"/>
  <c r="Q7" i="4"/>
  <c r="F33" i="8"/>
  <c r="G11" i="10" s="1"/>
  <c r="F30" i="8"/>
  <c r="G8" i="10" s="1"/>
  <c r="F36" i="8"/>
  <c r="G14" i="10" s="1"/>
  <c r="I7" i="9"/>
  <c r="J7" i="9"/>
  <c r="AC32" i="8"/>
  <c r="AB42" i="9"/>
  <c r="AC31" i="6"/>
  <c r="W35" i="6" s="1"/>
  <c r="X35" i="6" s="1"/>
  <c r="AE32" i="9"/>
  <c r="N43" i="9"/>
  <c r="P43" i="9"/>
  <c r="Z35" i="9"/>
  <c r="Y36" i="9" s="1"/>
  <c r="O48" i="9"/>
  <c r="O50" i="9"/>
  <c r="X35" i="8"/>
  <c r="W36" i="8" s="1"/>
  <c r="X35" i="4"/>
  <c r="W36" i="4" s="1"/>
  <c r="AC32" i="4"/>
  <c r="AB31" i="3"/>
  <c r="AA20" i="3"/>
  <c r="AA22" i="3" s="1"/>
  <c r="E8" i="11" s="1"/>
  <c r="AB20" i="6"/>
  <c r="AB20" i="8"/>
  <c r="AB22" i="8" s="1"/>
  <c r="E11" i="11" s="1"/>
  <c r="R20" i="8"/>
  <c r="R22" i="8" s="1"/>
  <c r="D11" i="11" s="1"/>
  <c r="R20" i="6"/>
  <c r="R22" i="6" s="1"/>
  <c r="D10" i="11" s="1"/>
  <c r="F31" i="4"/>
  <c r="G31" i="4" s="1"/>
  <c r="H31" i="4" s="1"/>
  <c r="E10" i="10" s="1"/>
  <c r="F32" i="4"/>
  <c r="G32" i="4" s="1"/>
  <c r="H32" i="4" s="1"/>
  <c r="E11" i="10" s="1"/>
  <c r="F35" i="4"/>
  <c r="G35" i="4" s="1"/>
  <c r="H35" i="4" s="1"/>
  <c r="E14" i="10" s="1"/>
  <c r="F34" i="4"/>
  <c r="G34" i="4" s="1"/>
  <c r="H34" i="4" s="1"/>
  <c r="E13" i="10" s="1"/>
  <c r="F29" i="4"/>
  <c r="G29" i="4" s="1"/>
  <c r="H29" i="4" s="1"/>
  <c r="E8" i="10" s="1"/>
  <c r="F30" i="4"/>
  <c r="G30" i="4" s="1"/>
  <c r="H30" i="4" s="1"/>
  <c r="E9" i="10" s="1"/>
  <c r="F33" i="4"/>
  <c r="G33" i="4" s="1"/>
  <c r="H33" i="4" s="1"/>
  <c r="E12" i="10" s="1"/>
  <c r="F28" i="4"/>
  <c r="G28" i="4" s="1"/>
  <c r="AA64" i="6" l="1"/>
  <c r="T15" i="9"/>
  <c r="AC15" i="9"/>
  <c r="AD15" i="9" s="1"/>
  <c r="AA10" i="4"/>
  <c r="AB10" i="4" s="1"/>
  <c r="R10" i="4"/>
  <c r="R17" i="4"/>
  <c r="AA17" i="4"/>
  <c r="AB17" i="4" s="1"/>
  <c r="T11" i="9"/>
  <c r="AC11" i="9"/>
  <c r="AD11" i="9" s="1"/>
  <c r="R14" i="4"/>
  <c r="AA14" i="4"/>
  <c r="AB14" i="4" s="1"/>
  <c r="T8" i="9"/>
  <c r="AC8" i="9"/>
  <c r="AD8" i="9" s="1"/>
  <c r="T10" i="9"/>
  <c r="AC10" i="9"/>
  <c r="AD10" i="9" s="1"/>
  <c r="R15" i="4"/>
  <c r="AA15" i="4"/>
  <c r="AB15" i="4" s="1"/>
  <c r="R11" i="4"/>
  <c r="AA11" i="4"/>
  <c r="AB11" i="4" s="1"/>
  <c r="T9" i="9"/>
  <c r="AC9" i="9"/>
  <c r="AD9" i="9" s="1"/>
  <c r="R16" i="4"/>
  <c r="AA16" i="4"/>
  <c r="AB16" i="4" s="1"/>
  <c r="T14" i="9"/>
  <c r="AC14" i="9"/>
  <c r="AD14" i="9" s="1"/>
  <c r="R9" i="4"/>
  <c r="AA9" i="4"/>
  <c r="AB9" i="4" s="1"/>
  <c r="T17" i="9"/>
  <c r="AC17" i="9"/>
  <c r="AD17" i="9" s="1"/>
  <c r="AA12" i="4"/>
  <c r="AB12" i="4" s="1"/>
  <c r="R12" i="4"/>
  <c r="T12" i="9"/>
  <c r="AC12" i="9"/>
  <c r="AD12" i="9" s="1"/>
  <c r="R13" i="4"/>
  <c r="AA13" i="4"/>
  <c r="AB13" i="4" s="1"/>
  <c r="T16" i="9"/>
  <c r="AC16" i="9"/>
  <c r="AD16" i="9" s="1"/>
  <c r="AA8" i="4"/>
  <c r="AB8" i="4" s="1"/>
  <c r="R8" i="4"/>
  <c r="T13" i="9"/>
  <c r="AC13" i="9"/>
  <c r="AD13" i="9" s="1"/>
  <c r="F5" i="39"/>
  <c r="C6" i="39" s="1"/>
  <c r="F6" i="39" s="1"/>
  <c r="C7" i="39" s="1"/>
  <c r="F7" i="39" s="1"/>
  <c r="C8" i="39" s="1"/>
  <c r="F8" i="39" s="1"/>
  <c r="C9" i="39" s="1"/>
  <c r="F9" i="39" s="1"/>
  <c r="C10" i="39" s="1"/>
  <c r="F10" i="39" s="1"/>
  <c r="C11" i="39" s="1"/>
  <c r="F11" i="39" s="1"/>
  <c r="C12" i="39" s="1"/>
  <c r="F12" i="39" s="1"/>
  <c r="C13" i="39" s="1"/>
  <c r="F13" i="39" s="1"/>
  <c r="C14" i="39" s="1"/>
  <c r="F14" i="39" s="1"/>
  <c r="C15" i="39" s="1"/>
  <c r="F15" i="39" s="1"/>
  <c r="C16" i="39" s="1"/>
  <c r="F16" i="39" s="1"/>
  <c r="C17" i="39" s="1"/>
  <c r="F17" i="39" s="1"/>
  <c r="C18" i="39" s="1"/>
  <c r="F18" i="39" s="1"/>
  <c r="C19" i="39" s="1"/>
  <c r="F19" i="39" s="1"/>
  <c r="C20" i="39" s="1"/>
  <c r="F20" i="39" s="1"/>
  <c r="C21" i="39" s="1"/>
  <c r="F21" i="39" s="1"/>
  <c r="C22" i="39" s="1"/>
  <c r="F22" i="39" s="1"/>
  <c r="C23" i="39" s="1"/>
  <c r="F23" i="39" s="1"/>
  <c r="C24" i="39" s="1"/>
  <c r="F24" i="39" s="1"/>
  <c r="C25" i="39" s="1"/>
  <c r="F25" i="39" s="1"/>
  <c r="C26" i="39" s="1"/>
  <c r="F26" i="39" s="1"/>
  <c r="C27" i="39" s="1"/>
  <c r="F27" i="39" s="1"/>
  <c r="C28" i="39" s="1"/>
  <c r="F28" i="39" s="1"/>
  <c r="C29" i="39" s="1"/>
  <c r="F29" i="39" s="1"/>
  <c r="C30" i="39" s="1"/>
  <c r="F30" i="39" s="1"/>
  <c r="C31" i="39" s="1"/>
  <c r="F31" i="39" s="1"/>
  <c r="C32" i="39" s="1"/>
  <c r="F32" i="39" s="1"/>
  <c r="C33" i="39" s="1"/>
  <c r="F33" i="39" s="1"/>
  <c r="C34" i="39" s="1"/>
  <c r="F34" i="39" s="1"/>
  <c r="C35" i="39" s="1"/>
  <c r="F35" i="39" s="1"/>
  <c r="C36" i="39" s="1"/>
  <c r="F36" i="39" s="1"/>
  <c r="C37" i="39" s="1"/>
  <c r="F37" i="39" s="1"/>
  <c r="C38" i="39" s="1"/>
  <c r="F38" i="39" s="1"/>
  <c r="C39" i="39" s="1"/>
  <c r="F39" i="39" s="1"/>
  <c r="C40" i="39" s="1"/>
  <c r="F40" i="39" s="1"/>
  <c r="C41" i="39" s="1"/>
  <c r="F41" i="39" s="1"/>
  <c r="C42" i="39" s="1"/>
  <c r="F42" i="39" s="1"/>
  <c r="C43" i="39" s="1"/>
  <c r="F43" i="39" s="1"/>
  <c r="C44" i="39" s="1"/>
  <c r="F44" i="39" s="1"/>
  <c r="C45" i="39" s="1"/>
  <c r="F45" i="39" s="1"/>
  <c r="C46" i="39" s="1"/>
  <c r="F46" i="39" s="1"/>
  <c r="C47" i="39" s="1"/>
  <c r="F47" i="39" s="1"/>
  <c r="C48" i="39" s="1"/>
  <c r="F48" i="39" s="1"/>
  <c r="C49" i="39" s="1"/>
  <c r="F49" i="39" s="1"/>
  <c r="C50" i="39" s="1"/>
  <c r="F50" i="39" s="1"/>
  <c r="C51" i="39" s="1"/>
  <c r="F51" i="39" s="1"/>
  <c r="C52" i="39" s="1"/>
  <c r="F52" i="39" s="1"/>
  <c r="C53" i="39" s="1"/>
  <c r="F53" i="39" s="1"/>
  <c r="C54" i="39" s="1"/>
  <c r="F54" i="39" s="1"/>
  <c r="C55" i="39" s="1"/>
  <c r="F55" i="39" s="1"/>
  <c r="C56" i="39" s="1"/>
  <c r="F56" i="39" s="1"/>
  <c r="C57" i="39" s="1"/>
  <c r="F57" i="39" s="1"/>
  <c r="C58" i="39" s="1"/>
  <c r="F58" i="39" s="1"/>
  <c r="C59" i="39" s="1"/>
  <c r="F59" i="39" s="1"/>
  <c r="C60" i="39" s="1"/>
  <c r="F60" i="39" s="1"/>
  <c r="C61" i="39" s="1"/>
  <c r="F61" i="39" s="1"/>
  <c r="C62" i="39" s="1"/>
  <c r="F62" i="39" s="1"/>
  <c r="C63" i="39" s="1"/>
  <c r="F63" i="39" s="1"/>
  <c r="C64" i="39" s="1"/>
  <c r="F64" i="39" s="1"/>
  <c r="C65" i="39" s="1"/>
  <c r="F65" i="39" s="1"/>
  <c r="C66" i="39" s="1"/>
  <c r="F66" i="39" s="1"/>
  <c r="C67" i="39" s="1"/>
  <c r="F67" i="39" s="1"/>
  <c r="C68" i="39" s="1"/>
  <c r="F68" i="39" s="1"/>
  <c r="C69" i="39" s="1"/>
  <c r="F69" i="39" s="1"/>
  <c r="C70" i="39" s="1"/>
  <c r="F70" i="39" s="1"/>
  <c r="C71" i="39" s="1"/>
  <c r="F71" i="39" s="1"/>
  <c r="C72" i="39" s="1"/>
  <c r="F72" i="39" s="1"/>
  <c r="C73" i="39" s="1"/>
  <c r="F73" i="39" s="1"/>
  <c r="C74" i="39" s="1"/>
  <c r="F74" i="39" s="1"/>
  <c r="C75" i="39" s="1"/>
  <c r="F75" i="39" s="1"/>
  <c r="C76" i="39" s="1"/>
  <c r="F76" i="39" s="1"/>
  <c r="C77" i="39" s="1"/>
  <c r="F77" i="39" s="1"/>
  <c r="C78" i="39" s="1"/>
  <c r="F78" i="39" s="1"/>
  <c r="C79" i="39" s="1"/>
  <c r="F79" i="39" s="1"/>
  <c r="C80" i="39" s="1"/>
  <c r="F80" i="39" s="1"/>
  <c r="C81" i="39" s="1"/>
  <c r="F81" i="39" s="1"/>
  <c r="C82" i="39" s="1"/>
  <c r="F82" i="39" s="1"/>
  <c r="C83" i="39" s="1"/>
  <c r="F83" i="39" s="1"/>
  <c r="C84" i="39" s="1"/>
  <c r="F84" i="39" s="1"/>
  <c r="C85" i="39" s="1"/>
  <c r="F85" i="39" s="1"/>
  <c r="C86" i="39" s="1"/>
  <c r="F86" i="39" s="1"/>
  <c r="C87" i="39" s="1"/>
  <c r="F87" i="39" s="1"/>
  <c r="C88" i="39" s="1"/>
  <c r="F88" i="39" s="1"/>
  <c r="C89" i="39" s="1"/>
  <c r="F89" i="39" s="1"/>
  <c r="C90" i="39" s="1"/>
  <c r="F90" i="39" s="1"/>
  <c r="C91" i="39" s="1"/>
  <c r="F91" i="39" s="1"/>
  <c r="C92" i="39" s="1"/>
  <c r="F92" i="39" s="1"/>
  <c r="C93" i="39" s="1"/>
  <c r="F93" i="39" s="1"/>
  <c r="C94" i="39" s="1"/>
  <c r="F94" i="39" s="1"/>
  <c r="C95" i="39" s="1"/>
  <c r="F95" i="39" s="1"/>
  <c r="C96" i="39" s="1"/>
  <c r="F96" i="39" s="1"/>
  <c r="C97" i="39" s="1"/>
  <c r="F97" i="39" s="1"/>
  <c r="C98" i="39" s="1"/>
  <c r="F98" i="39" s="1"/>
  <c r="C99" i="39" s="1"/>
  <c r="F99" i="39" s="1"/>
  <c r="C100" i="39" s="1"/>
  <c r="F100" i="39" s="1"/>
  <c r="C101" i="39" s="1"/>
  <c r="F101" i="39" s="1"/>
  <c r="C102" i="39" s="1"/>
  <c r="F102" i="39" s="1"/>
  <c r="C103" i="39" s="1"/>
  <c r="F103" i="39" s="1"/>
  <c r="C104" i="39" s="1"/>
  <c r="F104" i="39" s="1"/>
  <c r="C105" i="39" s="1"/>
  <c r="F105" i="39" s="1"/>
  <c r="C106" i="39" s="1"/>
  <c r="F106" i="39" s="1"/>
  <c r="C107" i="39" s="1"/>
  <c r="F107" i="39" s="1"/>
  <c r="C108" i="39" s="1"/>
  <c r="F108" i="39" s="1"/>
  <c r="C109" i="39" s="1"/>
  <c r="F109" i="39" s="1"/>
  <c r="C110" i="39" s="1"/>
  <c r="F110" i="39" s="1"/>
  <c r="C111" i="39" s="1"/>
  <c r="F111" i="39" s="1"/>
  <c r="C112" i="39" s="1"/>
  <c r="F112" i="39" s="1"/>
  <c r="C113" i="39" s="1"/>
  <c r="F113" i="39" s="1"/>
  <c r="C114" i="39" s="1"/>
  <c r="F114" i="39" s="1"/>
  <c r="C115" i="39" s="1"/>
  <c r="F115" i="39" s="1"/>
  <c r="C116" i="39" s="1"/>
  <c r="F116" i="39" s="1"/>
  <c r="C117" i="39" s="1"/>
  <c r="F117" i="39" s="1"/>
  <c r="C118" i="39" s="1"/>
  <c r="F118" i="39" s="1"/>
  <c r="C119" i="39" s="1"/>
  <c r="F119" i="39" s="1"/>
  <c r="C120" i="39" s="1"/>
  <c r="F120" i="39" s="1"/>
  <c r="C121" i="39" s="1"/>
  <c r="F121" i="39" s="1"/>
  <c r="C122" i="39" s="1"/>
  <c r="F122" i="39" s="1"/>
  <c r="C123" i="39" s="1"/>
  <c r="F123" i="39" s="1"/>
  <c r="C124" i="39" s="1"/>
  <c r="F124" i="39" s="1"/>
  <c r="C125" i="39" s="1"/>
  <c r="F125" i="39" s="1"/>
  <c r="C126" i="39" s="1"/>
  <c r="F126" i="39" s="1"/>
  <c r="C127" i="39" s="1"/>
  <c r="F127" i="39" s="1"/>
  <c r="C128" i="39" s="1"/>
  <c r="F128" i="39" s="1"/>
  <c r="C129" i="39" s="1"/>
  <c r="F129" i="39" s="1"/>
  <c r="C130" i="39" s="1"/>
  <c r="F130" i="39" s="1"/>
  <c r="C131" i="39" s="1"/>
  <c r="F131" i="39" s="1"/>
  <c r="C132" i="39" s="1"/>
  <c r="F132" i="39" s="1"/>
  <c r="C133" i="39" s="1"/>
  <c r="F133" i="39" s="1"/>
  <c r="C134" i="39" s="1"/>
  <c r="F134" i="39" s="1"/>
  <c r="C135" i="39" s="1"/>
  <c r="F135" i="39" s="1"/>
  <c r="C136" i="39" s="1"/>
  <c r="F136" i="39" s="1"/>
  <c r="C137" i="39" s="1"/>
  <c r="F137" i="39" s="1"/>
  <c r="C138" i="39" s="1"/>
  <c r="F138" i="39" s="1"/>
  <c r="C139" i="39" s="1"/>
  <c r="F139" i="39" s="1"/>
  <c r="C140" i="39" s="1"/>
  <c r="F140" i="39" s="1"/>
  <c r="C141" i="39" s="1"/>
  <c r="F141" i="39" s="1"/>
  <c r="C142" i="39" s="1"/>
  <c r="F142" i="39" s="1"/>
  <c r="C143" i="39" s="1"/>
  <c r="F143" i="39" s="1"/>
  <c r="C144" i="39" s="1"/>
  <c r="F144" i="39" s="1"/>
  <c r="C145" i="39" s="1"/>
  <c r="F145" i="39" s="1"/>
  <c r="C146" i="39" s="1"/>
  <c r="F146" i="39" s="1"/>
  <c r="C147" i="39" s="1"/>
  <c r="F147" i="39" s="1"/>
  <c r="C148" i="39" s="1"/>
  <c r="F148" i="39" s="1"/>
  <c r="C149" i="39" s="1"/>
  <c r="F149" i="39" s="1"/>
  <c r="C150" i="39" s="1"/>
  <c r="F150" i="39" s="1"/>
  <c r="C151" i="39" s="1"/>
  <c r="F151" i="39" s="1"/>
  <c r="C152" i="39" s="1"/>
  <c r="F152" i="39" s="1"/>
  <c r="C153" i="39" s="1"/>
  <c r="F153" i="39" s="1"/>
  <c r="C154" i="39" s="1"/>
  <c r="F154" i="39" s="1"/>
  <c r="C155" i="39" s="1"/>
  <c r="F155" i="39" s="1"/>
  <c r="C156" i="39" s="1"/>
  <c r="F156" i="39" s="1"/>
  <c r="C157" i="39" s="1"/>
  <c r="F157" i="39" s="1"/>
  <c r="C158" i="39" s="1"/>
  <c r="F158" i="39" s="1"/>
  <c r="C159" i="39" s="1"/>
  <c r="F159" i="39" s="1"/>
  <c r="C160" i="39" s="1"/>
  <c r="F160" i="39" s="1"/>
  <c r="C161" i="39" s="1"/>
  <c r="F161" i="39" s="1"/>
  <c r="C162" i="39" s="1"/>
  <c r="F162" i="39" s="1"/>
  <c r="C163" i="39" s="1"/>
  <c r="F163" i="39" s="1"/>
  <c r="C164" i="39" s="1"/>
  <c r="F164" i="39" s="1"/>
  <c r="C165" i="39" s="1"/>
  <c r="F165" i="39" s="1"/>
  <c r="C166" i="39" s="1"/>
  <c r="F166" i="39" s="1"/>
  <c r="C167" i="39" s="1"/>
  <c r="F167" i="39" s="1"/>
  <c r="C168" i="39" s="1"/>
  <c r="F168" i="39" s="1"/>
  <c r="C169" i="39" s="1"/>
  <c r="F169" i="39" s="1"/>
  <c r="C170" i="39" s="1"/>
  <c r="F170" i="39" s="1"/>
  <c r="C171" i="39" s="1"/>
  <c r="F171" i="39" s="1"/>
  <c r="C172" i="39" s="1"/>
  <c r="F172" i="39" s="1"/>
  <c r="C173" i="39" s="1"/>
  <c r="F173" i="39" s="1"/>
  <c r="C174" i="39" s="1"/>
  <c r="F174" i="39" s="1"/>
  <c r="C175" i="39" s="1"/>
  <c r="F175" i="39" s="1"/>
  <c r="C176" i="39" s="1"/>
  <c r="F176" i="39" s="1"/>
  <c r="C177" i="39" s="1"/>
  <c r="F177" i="39" s="1"/>
  <c r="C178" i="39" s="1"/>
  <c r="F178" i="39" s="1"/>
  <c r="C179" i="39" s="1"/>
  <c r="F179" i="39" s="1"/>
  <c r="C180" i="39" s="1"/>
  <c r="F180" i="39" s="1"/>
  <c r="C181" i="39" s="1"/>
  <c r="F181" i="39" s="1"/>
  <c r="C182" i="39" s="1"/>
  <c r="F182" i="39" s="1"/>
  <c r="C183" i="39" s="1"/>
  <c r="F183" i="39" s="1"/>
  <c r="C184" i="39" s="1"/>
  <c r="F184" i="39" s="1"/>
  <c r="C185" i="39" s="1"/>
  <c r="F185" i="39" s="1"/>
  <c r="C186" i="39" s="1"/>
  <c r="F186" i="39" s="1"/>
  <c r="C187" i="39" s="1"/>
  <c r="F187" i="39" s="1"/>
  <c r="C188" i="39" s="1"/>
  <c r="F188" i="39" s="1"/>
  <c r="C189" i="39" s="1"/>
  <c r="F189" i="39" s="1"/>
  <c r="C190" i="39" s="1"/>
  <c r="F190" i="39" s="1"/>
  <c r="C191" i="39" s="1"/>
  <c r="F191" i="39" s="1"/>
  <c r="C192" i="39" s="1"/>
  <c r="F192" i="39" s="1"/>
  <c r="C193" i="39" s="1"/>
  <c r="F193" i="39" s="1"/>
  <c r="C194" i="39" s="1"/>
  <c r="F194" i="39" s="1"/>
  <c r="C195" i="39" s="1"/>
  <c r="F195" i="39" s="1"/>
  <c r="C196" i="39" s="1"/>
  <c r="F196" i="39" s="1"/>
  <c r="C197" i="39" s="1"/>
  <c r="F197" i="39" s="1"/>
  <c r="C198" i="39" s="1"/>
  <c r="F198" i="39" s="1"/>
  <c r="C199" i="39" s="1"/>
  <c r="F199" i="39" s="1"/>
  <c r="C200" i="39" s="1"/>
  <c r="F200" i="39" s="1"/>
  <c r="C201" i="39" s="1"/>
  <c r="F201" i="39" s="1"/>
  <c r="C202" i="39" s="1"/>
  <c r="F202" i="39" s="1"/>
  <c r="C203" i="39" s="1"/>
  <c r="F203" i="39" s="1"/>
  <c r="C204" i="39" s="1"/>
  <c r="F204" i="39" s="1"/>
  <c r="C205" i="39" s="1"/>
  <c r="F205" i="39" s="1"/>
  <c r="C206" i="39" s="1"/>
  <c r="F206" i="39" s="1"/>
  <c r="C207" i="39" s="1"/>
  <c r="F207" i="39" s="1"/>
  <c r="C208" i="39" s="1"/>
  <c r="F208" i="39" s="1"/>
  <c r="C209" i="39" s="1"/>
  <c r="F209" i="39" s="1"/>
  <c r="C210" i="39" s="1"/>
  <c r="F210" i="39" s="1"/>
  <c r="C211" i="39" s="1"/>
  <c r="F211" i="39" s="1"/>
  <c r="C212" i="39" s="1"/>
  <c r="F212" i="39" s="1"/>
  <c r="C213" i="39" s="1"/>
  <c r="F213" i="39" s="1"/>
  <c r="C214" i="39" s="1"/>
  <c r="F214" i="39" s="1"/>
  <c r="C215" i="39" s="1"/>
  <c r="F215" i="39" s="1"/>
  <c r="C216" i="39" s="1"/>
  <c r="F216" i="39" s="1"/>
  <c r="C217" i="39" s="1"/>
  <c r="F217" i="39" s="1"/>
  <c r="C218" i="39" s="1"/>
  <c r="F218" i="39" s="1"/>
  <c r="C219" i="39" s="1"/>
  <c r="F219" i="39" s="1"/>
  <c r="C220" i="39" s="1"/>
  <c r="F220" i="39" s="1"/>
  <c r="C221" i="39" s="1"/>
  <c r="F221" i="39" s="1"/>
  <c r="C222" i="39" s="1"/>
  <c r="F222" i="39" s="1"/>
  <c r="C223" i="39" s="1"/>
  <c r="F223" i="39" s="1"/>
  <c r="C224" i="39" s="1"/>
  <c r="F224" i="39" s="1"/>
  <c r="C225" i="39" s="1"/>
  <c r="F225" i="39" s="1"/>
  <c r="C226" i="39" s="1"/>
  <c r="F226" i="39" s="1"/>
  <c r="C227" i="39" s="1"/>
  <c r="F227" i="39" s="1"/>
  <c r="C228" i="39" s="1"/>
  <c r="F228" i="39" s="1"/>
  <c r="C229" i="39" s="1"/>
  <c r="F229" i="39" s="1"/>
  <c r="C230" i="39" s="1"/>
  <c r="F230" i="39" s="1"/>
  <c r="C231" i="39" s="1"/>
  <c r="F231" i="39" s="1"/>
  <c r="C232" i="39" s="1"/>
  <c r="F232" i="39" s="1"/>
  <c r="C233" i="39" s="1"/>
  <c r="F233" i="39" s="1"/>
  <c r="C234" i="39" s="1"/>
  <c r="F234" i="39" s="1"/>
  <c r="C235" i="39" s="1"/>
  <c r="F235" i="39" s="1"/>
  <c r="C236" i="39" s="1"/>
  <c r="F236" i="39" s="1"/>
  <c r="C237" i="39" s="1"/>
  <c r="F237" i="39" s="1"/>
  <c r="C238" i="39" s="1"/>
  <c r="F238" i="39" s="1"/>
  <c r="C239" i="39" s="1"/>
  <c r="F239" i="39" s="1"/>
  <c r="C240" i="39" s="1"/>
  <c r="F240" i="39" s="1"/>
  <c r="C241" i="39" s="1"/>
  <c r="F241" i="39" s="1"/>
  <c r="C242" i="39" s="1"/>
  <c r="F242" i="39" s="1"/>
  <c r="C243" i="39" s="1"/>
  <c r="F243" i="39" s="1"/>
  <c r="C244" i="39" s="1"/>
  <c r="F244" i="39" s="1"/>
  <c r="C245" i="39" s="1"/>
  <c r="F245" i="39" s="1"/>
  <c r="C246" i="39" s="1"/>
  <c r="F246" i="39" s="1"/>
  <c r="C247" i="39" s="1"/>
  <c r="F247" i="39" s="1"/>
  <c r="C248" i="39" s="1"/>
  <c r="F248" i="39" s="1"/>
  <c r="C249" i="39" s="1"/>
  <c r="F249" i="39" s="1"/>
  <c r="C250" i="39" s="1"/>
  <c r="F250" i="39" s="1"/>
  <c r="C251" i="39" s="1"/>
  <c r="F251" i="39" s="1"/>
  <c r="C252" i="39" s="1"/>
  <c r="F252" i="39" s="1"/>
  <c r="C253" i="39" s="1"/>
  <c r="F253" i="39" s="1"/>
  <c r="C254" i="39" s="1"/>
  <c r="F254" i="39" s="1"/>
  <c r="C255" i="39" s="1"/>
  <c r="F255" i="39" s="1"/>
  <c r="C256" i="39" s="1"/>
  <c r="F256" i="39" s="1"/>
  <c r="C257" i="39" s="1"/>
  <c r="F257" i="39" s="1"/>
  <c r="C258" i="39" s="1"/>
  <c r="F258" i="39" s="1"/>
  <c r="C259" i="39" s="1"/>
  <c r="F259" i="39" s="1"/>
  <c r="C260" i="39" s="1"/>
  <c r="F260" i="39" s="1"/>
  <c r="C261" i="39" s="1"/>
  <c r="F261" i="39" s="1"/>
  <c r="C262" i="39" s="1"/>
  <c r="F262" i="39" s="1"/>
  <c r="C263" i="39" s="1"/>
  <c r="F263" i="39" s="1"/>
  <c r="C264" i="39" s="1"/>
  <c r="F264" i="39" s="1"/>
  <c r="C265" i="39" s="1"/>
  <c r="F265" i="39" s="1"/>
  <c r="C266" i="39" s="1"/>
  <c r="F266" i="39" s="1"/>
  <c r="C267" i="39" s="1"/>
  <c r="F267" i="39" s="1"/>
  <c r="C268" i="39" s="1"/>
  <c r="F268" i="39" s="1"/>
  <c r="C269" i="39" s="1"/>
  <c r="F269" i="39" s="1"/>
  <c r="C270" i="39" s="1"/>
  <c r="F270" i="39" s="1"/>
  <c r="C271" i="39" s="1"/>
  <c r="F271" i="39" s="1"/>
  <c r="C272" i="39" s="1"/>
  <c r="F272" i="39" s="1"/>
  <c r="C273" i="39" s="1"/>
  <c r="F273" i="39" s="1"/>
  <c r="C274" i="39" s="1"/>
  <c r="F274" i="39" s="1"/>
  <c r="C275" i="39" s="1"/>
  <c r="F275" i="39" s="1"/>
  <c r="C276" i="39" s="1"/>
  <c r="F276" i="39" s="1"/>
  <c r="C277" i="39" s="1"/>
  <c r="F277" i="39" s="1"/>
  <c r="C278" i="39" s="1"/>
  <c r="F278" i="39" s="1"/>
  <c r="C279" i="39" s="1"/>
  <c r="F279" i="39" s="1"/>
  <c r="C280" i="39" s="1"/>
  <c r="F280" i="39" s="1"/>
  <c r="C281" i="39" s="1"/>
  <c r="F281" i="39" s="1"/>
  <c r="C282" i="39" s="1"/>
  <c r="F282" i="39" s="1"/>
  <c r="C283" i="39" s="1"/>
  <c r="F283" i="39" s="1"/>
  <c r="C284" i="39" s="1"/>
  <c r="F284" i="39" s="1"/>
  <c r="C285" i="39" s="1"/>
  <c r="F285" i="39" s="1"/>
  <c r="C286" i="39" s="1"/>
  <c r="F286" i="39" s="1"/>
  <c r="C287" i="39" s="1"/>
  <c r="F287" i="39" s="1"/>
  <c r="C288" i="39" s="1"/>
  <c r="F288" i="39" s="1"/>
  <c r="C289" i="39" s="1"/>
  <c r="F289" i="39" s="1"/>
  <c r="C290" i="39" s="1"/>
  <c r="F290" i="39" s="1"/>
  <c r="C291" i="39" s="1"/>
  <c r="F291" i="39" s="1"/>
  <c r="C292" i="39" s="1"/>
  <c r="F292" i="39" s="1"/>
  <c r="C293" i="39" s="1"/>
  <c r="F293" i="39" s="1"/>
  <c r="C294" i="39" s="1"/>
  <c r="F294" i="39" s="1"/>
  <c r="C295" i="39" s="1"/>
  <c r="F295" i="39" s="1"/>
  <c r="C296" i="39" s="1"/>
  <c r="F296" i="39" s="1"/>
  <c r="C297" i="39" s="1"/>
  <c r="F297" i="39" s="1"/>
  <c r="C298" i="39" s="1"/>
  <c r="F298" i="39" s="1"/>
  <c r="C299" i="39" s="1"/>
  <c r="F299" i="39" s="1"/>
  <c r="C300" i="39" s="1"/>
  <c r="F300" i="39" s="1"/>
  <c r="C301" i="39" s="1"/>
  <c r="F301" i="39" s="1"/>
  <c r="C302" i="39" s="1"/>
  <c r="F302" i="39" s="1"/>
  <c r="C303" i="39" s="1"/>
  <c r="F303" i="39" s="1"/>
  <c r="C304" i="39" s="1"/>
  <c r="F304" i="39" s="1"/>
  <c r="C305" i="39" s="1"/>
  <c r="F305" i="39" s="1"/>
  <c r="C306" i="39" s="1"/>
  <c r="F306" i="39" s="1"/>
  <c r="C307" i="39" s="1"/>
  <c r="F307" i="39" s="1"/>
  <c r="C308" i="39" s="1"/>
  <c r="F308" i="39" s="1"/>
  <c r="C309" i="39" s="1"/>
  <c r="F309" i="39" s="1"/>
  <c r="C310" i="39" s="1"/>
  <c r="F310" i="39" s="1"/>
  <c r="C311" i="39" s="1"/>
  <c r="F311" i="39" s="1"/>
  <c r="C312" i="39" s="1"/>
  <c r="F312" i="39" s="1"/>
  <c r="C313" i="39" s="1"/>
  <c r="F313" i="39" s="1"/>
  <c r="C314" i="39" s="1"/>
  <c r="F314" i="39" s="1"/>
  <c r="C315" i="39" s="1"/>
  <c r="F315" i="39" s="1"/>
  <c r="C316" i="39" s="1"/>
  <c r="F316" i="39" s="1"/>
  <c r="C317" i="39" s="1"/>
  <c r="F317" i="39" s="1"/>
  <c r="C318" i="39" s="1"/>
  <c r="F318" i="39" s="1"/>
  <c r="C319" i="39" s="1"/>
  <c r="F319" i="39" s="1"/>
  <c r="C320" i="39" s="1"/>
  <c r="F320" i="39" s="1"/>
  <c r="C321" i="39" s="1"/>
  <c r="F321" i="39" s="1"/>
  <c r="C322" i="39" s="1"/>
  <c r="F322" i="39" s="1"/>
  <c r="C323" i="39" s="1"/>
  <c r="F323" i="39" s="1"/>
  <c r="C324" i="39" s="1"/>
  <c r="F324" i="39" s="1"/>
  <c r="C325" i="39" s="1"/>
  <c r="F325" i="39" s="1"/>
  <c r="C326" i="39" s="1"/>
  <c r="F326" i="39" s="1"/>
  <c r="C327" i="39" s="1"/>
  <c r="F327" i="39" s="1"/>
  <c r="C328" i="39" s="1"/>
  <c r="F328" i="39" s="1"/>
  <c r="C329" i="39" s="1"/>
  <c r="F329" i="39" s="1"/>
  <c r="C330" i="39" s="1"/>
  <c r="F330" i="39" s="1"/>
  <c r="C331" i="39" s="1"/>
  <c r="F331" i="39" s="1"/>
  <c r="C332" i="39" s="1"/>
  <c r="F332" i="39" s="1"/>
  <c r="C333" i="39" s="1"/>
  <c r="F333" i="39" s="1"/>
  <c r="C334" i="39" s="1"/>
  <c r="F334" i="39" s="1"/>
  <c r="C335" i="39" s="1"/>
  <c r="F335" i="39" s="1"/>
  <c r="C336" i="39" s="1"/>
  <c r="F336" i="39" s="1"/>
  <c r="C337" i="39" s="1"/>
  <c r="F337" i="39" s="1"/>
  <c r="C338" i="39" s="1"/>
  <c r="F338" i="39" s="1"/>
  <c r="C339" i="39" s="1"/>
  <c r="F339" i="39" s="1"/>
  <c r="C340" i="39" s="1"/>
  <c r="F340" i="39" s="1"/>
  <c r="C341" i="39" s="1"/>
  <c r="F341" i="39" s="1"/>
  <c r="C342" i="39" s="1"/>
  <c r="F342" i="39" s="1"/>
  <c r="C343" i="39" s="1"/>
  <c r="F343" i="39" s="1"/>
  <c r="C344" i="39" s="1"/>
  <c r="F344" i="39" s="1"/>
  <c r="C345" i="39" s="1"/>
  <c r="F345" i="39" s="1"/>
  <c r="C346" i="39" s="1"/>
  <c r="F346" i="39" s="1"/>
  <c r="C347" i="39" s="1"/>
  <c r="F347" i="39" s="1"/>
  <c r="C348" i="39" s="1"/>
  <c r="F348" i="39" s="1"/>
  <c r="C349" i="39" s="1"/>
  <c r="F349" i="39" s="1"/>
  <c r="C350" i="39" s="1"/>
  <c r="F350" i="39" s="1"/>
  <c r="C351" i="39" s="1"/>
  <c r="F351" i="39" s="1"/>
  <c r="C352" i="39" s="1"/>
  <c r="F352" i="39" s="1"/>
  <c r="C353" i="39" s="1"/>
  <c r="F353" i="39" s="1"/>
  <c r="C354" i="39" s="1"/>
  <c r="F354" i="39" s="1"/>
  <c r="C355" i="39" s="1"/>
  <c r="F355" i="39" s="1"/>
  <c r="C356" i="39" s="1"/>
  <c r="F356" i="39" s="1"/>
  <c r="C357" i="39" s="1"/>
  <c r="F357" i="39" s="1"/>
  <c r="C358" i="39" s="1"/>
  <c r="F358" i="39" s="1"/>
  <c r="C359" i="39" s="1"/>
  <c r="F359" i="39" s="1"/>
  <c r="C360" i="39" s="1"/>
  <c r="F360" i="39" s="1"/>
  <c r="C361" i="39" s="1"/>
  <c r="F361" i="39" s="1"/>
  <c r="C362" i="39" s="1"/>
  <c r="F362" i="39" s="1"/>
  <c r="C363" i="39" s="1"/>
  <c r="F363" i="39" s="1"/>
  <c r="C364" i="39" s="1"/>
  <c r="F364" i="39" s="1"/>
  <c r="C365" i="39" s="1"/>
  <c r="F365" i="39" s="1"/>
  <c r="C366" i="39" s="1"/>
  <c r="F366" i="39" s="1"/>
  <c r="C367" i="39" s="1"/>
  <c r="F367" i="39" s="1"/>
  <c r="C368" i="39" s="1"/>
  <c r="F368" i="39" s="1"/>
  <c r="C369" i="39" s="1"/>
  <c r="F369" i="39" s="1"/>
  <c r="F23" i="29"/>
  <c r="I23" i="29" s="1"/>
  <c r="I7" i="29"/>
  <c r="L43" i="6"/>
  <c r="O43" i="8"/>
  <c r="AB22" i="6"/>
  <c r="E10" i="11" s="1"/>
  <c r="F10" i="11" s="1"/>
  <c r="T7" i="9"/>
  <c r="AC7" i="9"/>
  <c r="AD7" i="9" s="1"/>
  <c r="R7" i="4"/>
  <c r="AA7" i="4"/>
  <c r="AB7" i="4" s="1"/>
  <c r="H28" i="4"/>
  <c r="E7" i="10" s="1"/>
  <c r="V35" i="3"/>
  <c r="F8" i="11"/>
  <c r="AA35" i="8"/>
  <c r="Y35" i="4"/>
  <c r="AD35" i="9"/>
  <c r="AE35" i="9" s="1"/>
  <c r="Y35" i="8"/>
  <c r="AA35" i="4"/>
  <c r="AB35" i="4" s="1"/>
  <c r="AC35" i="4" s="1"/>
  <c r="AA35" i="9"/>
  <c r="W36" i="6"/>
  <c r="X36" i="6" s="1"/>
  <c r="W37" i="6" s="1"/>
  <c r="AA35" i="6"/>
  <c r="AB35" i="6" s="1"/>
  <c r="AC35" i="6" s="1"/>
  <c r="AA23" i="3"/>
  <c r="F11" i="11"/>
  <c r="Z36" i="9"/>
  <c r="Y37" i="9" s="1"/>
  <c r="S48" i="9"/>
  <c r="W48" i="9"/>
  <c r="R48" i="9"/>
  <c r="V48" i="9"/>
  <c r="Q48" i="9"/>
  <c r="U48" i="9"/>
  <c r="P48" i="9"/>
  <c r="T48" i="9"/>
  <c r="S50" i="9"/>
  <c r="W50" i="9"/>
  <c r="R50" i="9"/>
  <c r="V50" i="9"/>
  <c r="Q50" i="9"/>
  <c r="U50" i="9"/>
  <c r="P50" i="9"/>
  <c r="T50" i="9"/>
  <c r="X36" i="8"/>
  <c r="W37" i="8" s="1"/>
  <c r="Y35" i="6"/>
  <c r="S40" i="4"/>
  <c r="X36" i="4"/>
  <c r="W37" i="4" s="1"/>
  <c r="G27" i="9"/>
  <c r="G29" i="9"/>
  <c r="AB64" i="6" l="1"/>
  <c r="AC64" i="6" s="1"/>
  <c r="L23" i="29"/>
  <c r="W35" i="3"/>
  <c r="V36" i="3" s="1"/>
  <c r="W36" i="3" s="1"/>
  <c r="AA36" i="8"/>
  <c r="AB36" i="8" s="1"/>
  <c r="AC36" i="8" s="1"/>
  <c r="P49" i="9"/>
  <c r="E33" i="9" s="1"/>
  <c r="F33" i="9" s="1"/>
  <c r="G33" i="9" s="1"/>
  <c r="H7" i="10" s="1"/>
  <c r="Q49" i="9"/>
  <c r="E34" i="9" s="1"/>
  <c r="F34" i="9" s="1"/>
  <c r="G34" i="9" s="1"/>
  <c r="H8" i="10" s="1"/>
  <c r="AA36" i="9"/>
  <c r="Y36" i="4"/>
  <c r="AA36" i="6"/>
  <c r="AB36" i="6" s="1"/>
  <c r="AC36" i="6" s="1"/>
  <c r="Y36" i="6"/>
  <c r="AC36" i="9"/>
  <c r="AD36" i="9" s="1"/>
  <c r="AE36" i="9" s="1"/>
  <c r="AA36" i="4"/>
  <c r="Y36" i="8"/>
  <c r="Z37" i="9"/>
  <c r="Y38" i="9" s="1"/>
  <c r="T49" i="9"/>
  <c r="E37" i="9" s="1"/>
  <c r="F37" i="9" s="1"/>
  <c r="G37" i="9" s="1"/>
  <c r="H11" i="10" s="1"/>
  <c r="U49" i="9"/>
  <c r="E38" i="9" s="1"/>
  <c r="F38" i="9" s="1"/>
  <c r="G38" i="9" s="1"/>
  <c r="H12" i="10" s="1"/>
  <c r="V49" i="9"/>
  <c r="E39" i="9" s="1"/>
  <c r="F39" i="9" s="1"/>
  <c r="G39" i="9" s="1"/>
  <c r="H13" i="10" s="1"/>
  <c r="W49" i="9"/>
  <c r="E40" i="9" s="1"/>
  <c r="F40" i="9" s="1"/>
  <c r="G40" i="9" s="1"/>
  <c r="H14" i="10" s="1"/>
  <c r="R49" i="9"/>
  <c r="E35" i="9" s="1"/>
  <c r="F35" i="9" s="1"/>
  <c r="G35" i="9" s="1"/>
  <c r="H9" i="10" s="1"/>
  <c r="S49" i="9"/>
  <c r="E36" i="9" s="1"/>
  <c r="F36" i="9" s="1"/>
  <c r="G36" i="9" s="1"/>
  <c r="H10" i="10" s="1"/>
  <c r="X37" i="8"/>
  <c r="W38" i="8" s="1"/>
  <c r="AB35" i="8"/>
  <c r="AC35" i="8" s="1"/>
  <c r="X37" i="6"/>
  <c r="W38" i="6" s="1"/>
  <c r="X37" i="4"/>
  <c r="W38" i="4" s="1"/>
  <c r="O43" i="4"/>
  <c r="L43" i="4"/>
  <c r="R20" i="4"/>
  <c r="R22" i="4" s="1"/>
  <c r="D9" i="11" s="1"/>
  <c r="T20" i="9"/>
  <c r="T22" i="9" s="1"/>
  <c r="D12" i="11" s="1"/>
  <c r="AB20" i="4"/>
  <c r="AB22" i="4" s="1"/>
  <c r="E9" i="11" s="1"/>
  <c r="AD20" i="9"/>
  <c r="AD22" i="9" s="1"/>
  <c r="E12" i="11" s="1"/>
  <c r="AA65" i="6" l="1"/>
  <c r="AB65" i="6" s="1"/>
  <c r="AC65" i="6" s="1"/>
  <c r="AA66" i="6"/>
  <c r="AB66" i="6" s="1"/>
  <c r="AC66" i="6" s="1"/>
  <c r="V37" i="3"/>
  <c r="W37" i="3" s="1"/>
  <c r="Z37" i="3" s="1"/>
  <c r="AA37" i="3" s="1"/>
  <c r="AB37" i="3" s="1"/>
  <c r="X36" i="3"/>
  <c r="Z35" i="3"/>
  <c r="AA35" i="3" s="1"/>
  <c r="AB35" i="3" s="1"/>
  <c r="E13" i="11"/>
  <c r="E14" i="11"/>
  <c r="X35" i="3"/>
  <c r="AC37" i="9"/>
  <c r="AD37" i="9" s="1"/>
  <c r="AE37" i="9" s="1"/>
  <c r="AA37" i="8"/>
  <c r="AB37" i="8" s="1"/>
  <c r="AC37" i="8" s="1"/>
  <c r="AA37" i="6"/>
  <c r="AB37" i="6" s="1"/>
  <c r="AC37" i="6" s="1"/>
  <c r="AA37" i="4"/>
  <c r="AB37" i="4" s="1"/>
  <c r="AC37" i="4" s="1"/>
  <c r="AA37" i="9"/>
  <c r="Y37" i="8"/>
  <c r="Y37" i="6"/>
  <c r="Y37" i="4"/>
  <c r="F9" i="11"/>
  <c r="F12" i="11"/>
  <c r="Z38" i="9"/>
  <c r="Y39" i="9" s="1"/>
  <c r="X38" i="8"/>
  <c r="W39" i="8" s="1"/>
  <c r="X38" i="6"/>
  <c r="W39" i="6" s="1"/>
  <c r="AB36" i="4"/>
  <c r="AC36" i="4" s="1"/>
  <c r="X38" i="4"/>
  <c r="W39" i="4" s="1"/>
  <c r="AA36" i="3"/>
  <c r="AB36" i="3" s="1"/>
  <c r="D13" i="11"/>
  <c r="D14" i="11"/>
  <c r="X37" i="3" l="1"/>
  <c r="V38" i="3"/>
  <c r="W38" i="3" s="1"/>
  <c r="Z38" i="3" s="1"/>
  <c r="AA38" i="3" s="1"/>
  <c r="AB38" i="3" s="1"/>
  <c r="Y38" i="8"/>
  <c r="AA38" i="4"/>
  <c r="AB38" i="4" s="1"/>
  <c r="AC38" i="4" s="1"/>
  <c r="AC38" i="9"/>
  <c r="AD38" i="9" s="1"/>
  <c r="AE38" i="9" s="1"/>
  <c r="AA38" i="6"/>
  <c r="AB38" i="6" s="1"/>
  <c r="AC38" i="6" s="1"/>
  <c r="AA38" i="8"/>
  <c r="AB38" i="8" s="1"/>
  <c r="AC38" i="8" s="1"/>
  <c r="Y38" i="4"/>
  <c r="AA38" i="9"/>
  <c r="Y38" i="6"/>
  <c r="Z39" i="9"/>
  <c r="AA39" i="9" s="1"/>
  <c r="X39" i="8"/>
  <c r="Y39" i="8" s="1"/>
  <c r="X39" i="6"/>
  <c r="AA39" i="6" s="1"/>
  <c r="X39" i="4"/>
  <c r="Y39" i="4" s="1"/>
  <c r="AB67" i="6" l="1"/>
  <c r="AC67" i="6" s="1"/>
  <c r="AC70" i="6" s="1"/>
  <c r="AA70" i="6"/>
  <c r="X38" i="3"/>
  <c r="V39" i="3"/>
  <c r="W39" i="3" s="1"/>
  <c r="Z39" i="3" s="1"/>
  <c r="AA39" i="3" s="1"/>
  <c r="AB39" i="3" s="1"/>
  <c r="AA39" i="8"/>
  <c r="AB39" i="8" s="1"/>
  <c r="AC39" i="9"/>
  <c r="AD39" i="9" s="1"/>
  <c r="AE39" i="9" s="1"/>
  <c r="AE42" i="9" s="1"/>
  <c r="Y44" i="9" s="1"/>
  <c r="AA44" i="9" s="1"/>
  <c r="Y39" i="6"/>
  <c r="AA39" i="4"/>
  <c r="AB39" i="4" s="1"/>
  <c r="AC39" i="4" s="1"/>
  <c r="AC42" i="4" s="1"/>
  <c r="W44" i="4" s="1"/>
  <c r="Y44" i="4" s="1"/>
  <c r="Z42" i="3" l="1"/>
  <c r="X39" i="3"/>
  <c r="AB42" i="3"/>
  <c r="V44" i="3" s="1"/>
  <c r="X44" i="3" s="1"/>
  <c r="AC39" i="8"/>
  <c r="AC42" i="8" s="1"/>
  <c r="W44" i="8" s="1"/>
  <c r="Y44" i="8" s="1"/>
  <c r="AA42" i="8"/>
  <c r="AA42" i="4"/>
  <c r="AC42" i="9"/>
  <c r="AB39" i="6"/>
  <c r="AC39" i="6" s="1"/>
  <c r="AC42" i="6" s="1"/>
  <c r="W44" i="6" s="1"/>
  <c r="Y44" i="6" s="1"/>
  <c r="AA42" i="6"/>
  <c r="E18" i="13" l="1"/>
  <c r="E20" i="13"/>
  <c r="E21" i="13"/>
  <c r="E27" i="13" s="1"/>
  <c r="E19" i="13"/>
  <c r="D5" i="13"/>
  <c r="E16" i="13"/>
  <c r="F12" i="13" l="1"/>
  <c r="F13" i="13"/>
  <c r="F15" i="13"/>
  <c r="F7" i="13"/>
  <c r="F9" i="13"/>
  <c r="F10" i="13"/>
  <c r="F11" i="13"/>
  <c r="F6" i="13"/>
  <c r="F8" i="13"/>
  <c r="F14" i="13"/>
  <c r="G5" i="13"/>
  <c r="H5" i="13" s="1"/>
  <c r="G15" i="13"/>
  <c r="G14" i="13"/>
  <c r="G12" i="13"/>
  <c r="G11" i="13"/>
  <c r="G13" i="13"/>
  <c r="G7" i="13"/>
  <c r="G6" i="13"/>
  <c r="G9" i="13"/>
  <c r="G8" i="13"/>
  <c r="G10" i="13"/>
  <c r="E22" i="13"/>
  <c r="G22" i="13" s="1"/>
  <c r="D31" i="13" s="1"/>
  <c r="E34" i="13"/>
  <c r="E32" i="13"/>
  <c r="E30" i="13"/>
  <c r="E33" i="13"/>
  <c r="F5" i="13"/>
  <c r="H8" i="13" l="1"/>
  <c r="J8" i="13"/>
  <c r="I8" i="13"/>
  <c r="J5" i="13"/>
  <c r="H9" i="13"/>
  <c r="I9" i="13"/>
  <c r="J9" i="13"/>
  <c r="I7" i="13"/>
  <c r="J7" i="13"/>
  <c r="H7" i="13"/>
  <c r="H15" i="13"/>
  <c r="I15" i="13"/>
  <c r="J15" i="13"/>
  <c r="J10" i="13"/>
  <c r="I10" i="13"/>
  <c r="H10" i="13"/>
  <c r="I5" i="13"/>
  <c r="I6" i="13"/>
  <c r="H6" i="13"/>
  <c r="J6" i="13"/>
  <c r="G23" i="13"/>
  <c r="D29" i="13" s="1"/>
  <c r="H13" i="13"/>
  <c r="I13" i="13"/>
  <c r="J13" i="13"/>
  <c r="H11" i="13"/>
  <c r="I11" i="13"/>
  <c r="J11" i="13"/>
  <c r="J12" i="13"/>
  <c r="I12" i="13"/>
  <c r="H12" i="13"/>
  <c r="J14" i="13"/>
  <c r="I14" i="13"/>
  <c r="H14" i="13"/>
  <c r="G16" i="13"/>
  <c r="I16" i="13" l="1"/>
  <c r="H16" i="13"/>
  <c r="J16" i="13"/>
  <c r="E28" i="13" s="1"/>
  <c r="E35" i="13" s="1"/>
  <c r="AB51" i="3" l="1"/>
  <c r="Y50" i="4"/>
  <c r="Z50" i="4" s="1"/>
  <c r="W66" i="4" s="1"/>
  <c r="X67" i="4" l="1"/>
  <c r="AA66" i="4"/>
  <c r="AB66" i="4" l="1"/>
  <c r="AC66" i="4" s="1"/>
  <c r="AA67" i="4"/>
  <c r="AB67" i="4" s="1"/>
  <c r="AC67" i="4" s="1"/>
  <c r="AC71" i="4" l="1"/>
  <c r="AA71" i="4"/>
  <c r="R40" i="3" l="1"/>
  <c r="N43" i="3" s="1"/>
  <c r="K43" i="3" l="1"/>
  <c r="W49" i="3"/>
  <c r="V49" i="3"/>
  <c r="W50" i="3"/>
  <c r="V50" i="3"/>
  <c r="W52" i="3"/>
  <c r="V52" i="3"/>
  <c r="W48" i="3"/>
  <c r="V48" i="3"/>
  <c r="V51" i="3"/>
  <c r="W5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F2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Ganti secara manual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N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Input MANUAL batas atas dan batas bawahnya saat INTERPOLASI!</t>
        </r>
      </text>
    </comment>
    <comment ref="X30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Y30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Y30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O6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rumus diperoleh dari persamaan garis di grafik di bawah</t>
        </r>
      </text>
    </comment>
    <comment ref="F26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Input MANUAL batas atas dan batas bawahnya saat INTERPOLASI!</t>
        </r>
      </text>
    </comment>
    <comment ref="Y30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  <comment ref="Y82" authorId="0" shapeId="0" xr:uid="{EF4002ED-F1E5-4B98-9C9D-525559271058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Yanuar Chandra W</author>
  </authors>
  <commentList>
    <comment ref="Q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rumus diperoleh dari persamaan garis di grafik di bawah</t>
        </r>
      </text>
    </comment>
    <comment ref="F30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Input MANUAL batas atas dan batas bawahnya saat INTERPOLASI!</t>
        </r>
      </text>
    </comment>
    <comment ref="AA30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Yanuar Chandra W:</t>
        </r>
        <r>
          <rPr>
            <sz val="9"/>
            <color indexed="81"/>
            <rFont val="Tahoma"/>
            <family val="2"/>
          </rPr>
          <t xml:space="preserve">
Untuk Pearson, log pearson, gumbel, alfa = 1, untuk distribusi normal, log normal dan binomial, alfa = 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ta1" type="6" refreshedVersion="5" background="1" saveData="1">
    <textPr codePage="437" sourceFile="C:\Users\Yanuar Chandra W\Desktop\data.txt" delimited="0">
      <textFields count="6">
        <textField/>
        <textField position="24"/>
        <textField position="31"/>
        <textField position="42"/>
        <textField position="56"/>
        <textField position="67"/>
      </textFields>
    </textPr>
  </connection>
</connections>
</file>

<file path=xl/sharedStrings.xml><?xml version="1.0" encoding="utf-8"?>
<sst xmlns="http://schemas.openxmlformats.org/spreadsheetml/2006/main" count="6696" uniqueCount="4840">
  <si>
    <t>Mei</t>
  </si>
  <si>
    <t>Min</t>
  </si>
  <si>
    <t>Max</t>
  </si>
  <si>
    <t>Rata-rata</t>
  </si>
  <si>
    <t>No</t>
  </si>
  <si>
    <t>Tahun</t>
  </si>
  <si>
    <t>Peringkat</t>
  </si>
  <si>
    <t>Harga d Distribusi Normal</t>
  </si>
  <si>
    <t>No.</t>
  </si>
  <si>
    <t>Tr (thn)</t>
  </si>
  <si>
    <t>Peluang</t>
  </si>
  <si>
    <t>d</t>
  </si>
  <si>
    <r>
      <t>Harga K</t>
    </r>
    <r>
      <rPr>
        <b/>
        <vertAlign val="subscript"/>
        <sz val="11"/>
        <rFont val="Calibri"/>
        <family val="2"/>
        <scheme val="minor"/>
      </rPr>
      <t>Tr</t>
    </r>
    <r>
      <rPr>
        <b/>
        <sz val="11"/>
        <rFont val="Calibri"/>
        <family val="2"/>
        <scheme val="minor"/>
      </rPr>
      <t xml:space="preserve"> Distribusi Normal</t>
    </r>
  </si>
  <si>
    <r>
      <t>K</t>
    </r>
    <r>
      <rPr>
        <b/>
        <vertAlign val="subscript"/>
        <sz val="11"/>
        <rFont val="Calibri"/>
        <family val="2"/>
        <scheme val="minor"/>
      </rPr>
      <t>Tr</t>
    </r>
  </si>
  <si>
    <t>CURAH HUJAN HARIAN MAKSIMUM TAHUNAN</t>
  </si>
  <si>
    <t>Analisa Curah Hujan Rencana</t>
  </si>
  <si>
    <t>Distribusi Normal</t>
  </si>
  <si>
    <t>Jumlah Data</t>
  </si>
  <si>
    <t>Nilai Rata-rata</t>
  </si>
  <si>
    <t>Standar Deviasi</t>
  </si>
  <si>
    <t>N</t>
  </si>
  <si>
    <t>m</t>
  </si>
  <si>
    <t>s</t>
  </si>
  <si>
    <t>Tr (tahun)</t>
  </si>
  <si>
    <t>KTr</t>
  </si>
  <si>
    <r>
      <t>K</t>
    </r>
    <r>
      <rPr>
        <b/>
        <vertAlign val="subscript"/>
        <sz val="11"/>
        <color theme="1"/>
        <rFont val="Calibri"/>
        <family val="2"/>
        <scheme val="minor"/>
      </rPr>
      <t>Tr</t>
    </r>
  </si>
  <si>
    <t>Weibull</t>
  </si>
  <si>
    <t>Tr</t>
  </si>
  <si>
    <t>% Error</t>
  </si>
  <si>
    <t>Uji Kecocokan : Rata-rata presentase error</t>
  </si>
  <si>
    <r>
      <t>Interpolasi K</t>
    </r>
    <r>
      <rPr>
        <vertAlign val="subscript"/>
        <sz val="11"/>
        <color theme="1"/>
        <rFont val="Calibri"/>
        <family val="2"/>
        <scheme val="minor"/>
      </rPr>
      <t>Tr</t>
    </r>
  </si>
  <si>
    <t>X</t>
  </si>
  <si>
    <t>Y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</si>
  <si>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</si>
  <si>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</si>
  <si>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</si>
  <si>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</si>
  <si>
    <t>Total Persentasi Error</t>
  </si>
  <si>
    <t>Uji Kecocokan : Deviasi</t>
  </si>
  <si>
    <t>Total Selisih pangkat dua</t>
  </si>
  <si>
    <t>Rata-rata Persentasi Error</t>
  </si>
  <si>
    <r>
      <t>Deviasi (</t>
    </r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</rPr>
      <t>)</t>
    </r>
  </si>
  <si>
    <r>
      <t>Selisih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</si>
  <si>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Distribusi Log Normal</t>
  </si>
  <si>
    <t>Koefisien Kemencengan</t>
  </si>
  <si>
    <t>Cs</t>
  </si>
  <si>
    <r>
      <t>Log (R</t>
    </r>
    <r>
      <rPr>
        <b/>
        <vertAlign val="subscript"/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>)</t>
    </r>
  </si>
  <si>
    <r>
      <t>K</t>
    </r>
    <r>
      <rPr>
        <b/>
        <vertAlign val="subscript"/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 xml:space="preserve">.S </t>
    </r>
    <r>
      <rPr>
        <b/>
        <vertAlign val="subscript"/>
        <sz val="11"/>
        <color theme="1"/>
        <rFont val="Calibri"/>
        <family val="2"/>
        <scheme val="minor"/>
      </rPr>
      <t xml:space="preserve">log </t>
    </r>
    <r>
      <rPr>
        <b/>
        <sz val="11"/>
        <color theme="1"/>
        <rFont val="Calibri"/>
        <family val="2"/>
        <scheme val="minor"/>
      </rPr>
      <t>(Rmax)</t>
    </r>
  </si>
  <si>
    <t>Harga Yn &amp; Sn Distribusi Gumbel</t>
  </si>
  <si>
    <t>Sampel</t>
  </si>
  <si>
    <t>Yn</t>
  </si>
  <si>
    <t>Sn</t>
  </si>
  <si>
    <t>DARI REFERENSI</t>
  </si>
  <si>
    <t>Distribusi Gumbel</t>
  </si>
  <si>
    <r>
      <t>(R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</si>
  <si>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Jumlah Nilai Data</t>
  </si>
  <si>
    <r>
      <rPr>
        <b/>
        <sz val="11"/>
        <color theme="1"/>
        <rFont val="Symbol"/>
        <family val="1"/>
        <charset val="2"/>
      </rPr>
      <t>S</t>
    </r>
    <r>
      <rPr>
        <b/>
        <sz val="11"/>
        <color theme="1"/>
        <rFont val="Calibri"/>
        <family val="2"/>
        <scheme val="minor"/>
      </rPr>
      <t>R</t>
    </r>
    <r>
      <rPr>
        <b/>
        <vertAlign val="subscript"/>
        <sz val="11"/>
        <color theme="1"/>
        <rFont val="Calibri"/>
        <family val="2"/>
        <scheme val="minor"/>
      </rPr>
      <t>max</t>
    </r>
  </si>
  <si>
    <t>Jumlah selisih mean pangkat dua</t>
  </si>
  <si>
    <r>
      <rPr>
        <b/>
        <sz val="11"/>
        <color theme="1"/>
        <rFont val="Symbol"/>
        <family val="1"/>
        <charset val="2"/>
      </rPr>
      <t>S</t>
    </r>
    <r>
      <rPr>
        <b/>
        <sz val="11"/>
        <color theme="1"/>
        <rFont val="Calibri"/>
        <family val="2"/>
        <scheme val="minor"/>
      </rPr>
      <t>(R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</si>
  <si>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Koefisien Yn</t>
  </si>
  <si>
    <t>Koefisien Sn</t>
  </si>
  <si>
    <r>
      <t>Y</t>
    </r>
    <r>
      <rPr>
        <b/>
        <vertAlign val="subscript"/>
        <sz val="11"/>
        <color theme="1"/>
        <rFont val="Calibri"/>
        <family val="2"/>
        <scheme val="minor"/>
      </rPr>
      <t>Tr</t>
    </r>
  </si>
  <si>
    <t>S</t>
  </si>
  <si>
    <t>Skew</t>
  </si>
  <si>
    <t>Return Periode (Year)</t>
  </si>
  <si>
    <t>Coef.</t>
  </si>
  <si>
    <t>C</t>
  </si>
  <si>
    <t>Probability</t>
  </si>
  <si>
    <r>
      <t>Harga K</t>
    </r>
    <r>
      <rPr>
        <b/>
        <vertAlign val="subscript"/>
        <sz val="11"/>
        <rFont val="Calibri"/>
        <family val="2"/>
        <scheme val="minor"/>
      </rPr>
      <t>Tr</t>
    </r>
    <r>
      <rPr>
        <b/>
        <sz val="11"/>
        <rFont val="Calibri"/>
        <family val="2"/>
        <scheme val="minor"/>
      </rPr>
      <t xml:space="preserve"> Metode Pearson III dan Log Pearson III</t>
    </r>
  </si>
  <si>
    <r>
      <t>(R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</si>
  <si>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t>Distribusi Pearson Type III</t>
  </si>
  <si>
    <t>interpolasi Cs</t>
  </si>
  <si>
    <t>Distribusi Log Pearson Type III</t>
  </si>
  <si>
    <r>
      <t>Log R</t>
    </r>
    <r>
      <rPr>
        <b/>
        <vertAlign val="subscript"/>
        <sz val="11"/>
        <color theme="1"/>
        <rFont val="Calibri"/>
        <family val="2"/>
        <scheme val="minor"/>
      </rPr>
      <t>max</t>
    </r>
  </si>
  <si>
    <r>
      <t>(Log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-Log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</si>
  <si>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(Log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-Log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</si>
  <si>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t>Jumlah Nilai 'LogRmax'</t>
  </si>
  <si>
    <t>Nilai Rata-rata 'logRmax' (mean)</t>
  </si>
  <si>
    <t>Jumlah selisih dengan mean pangkat dua</t>
  </si>
  <si>
    <t>Standar deviasi 'logRmax'</t>
  </si>
  <si>
    <t>Jumlah selisih dengan mean pangkat tiga</t>
  </si>
  <si>
    <t>Koefisien kemencengan</t>
  </si>
  <si>
    <r>
      <rPr>
        <b/>
        <sz val="11"/>
        <color theme="1"/>
        <rFont val="Symbol"/>
        <family val="1"/>
        <charset val="2"/>
      </rPr>
      <t>S</t>
    </r>
    <r>
      <rPr>
        <b/>
        <sz val="11"/>
        <color theme="1"/>
        <rFont val="Calibri"/>
        <family val="2"/>
        <scheme val="minor"/>
      </rPr>
      <t>logR</t>
    </r>
    <r>
      <rPr>
        <b/>
        <vertAlign val="subscript"/>
        <sz val="11"/>
        <color theme="1"/>
        <rFont val="Calibri"/>
        <family val="2"/>
        <scheme val="minor"/>
      </rPr>
      <t>max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</si>
  <si>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Rmax</t>
    </r>
  </si>
  <si>
    <r>
      <rPr>
        <b/>
        <sz val="11"/>
        <color theme="1"/>
        <rFont val="Symbol"/>
        <family val="1"/>
        <charset val="2"/>
      </rPr>
      <t>S</t>
    </r>
    <r>
      <rPr>
        <b/>
        <sz val="11"/>
        <color theme="1"/>
        <rFont val="Calibri"/>
        <family val="2"/>
        <scheme val="minor"/>
      </rPr>
      <t>(Log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-Log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</si>
  <si>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rPr>
        <b/>
        <sz val="11"/>
        <color theme="1"/>
        <rFont val="Symbol"/>
        <family val="1"/>
        <charset val="2"/>
      </rPr>
      <t>S</t>
    </r>
    <r>
      <rPr>
        <b/>
        <sz val="11"/>
        <color theme="1"/>
        <rFont val="Calibri"/>
        <family val="2"/>
        <scheme val="minor"/>
      </rPr>
      <t>(Log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-Log</t>
    </r>
    <r>
      <rPr>
        <b/>
        <vertAlign val="subscript"/>
        <sz val="11"/>
        <color theme="1"/>
        <rFont val="Calibri"/>
        <family val="2"/>
        <scheme val="minor"/>
      </rPr>
      <t>Rmax</t>
    </r>
    <r>
      <rPr>
        <b/>
        <sz val="11"/>
        <color theme="1"/>
        <rFont val="Calibri"/>
        <family val="2"/>
        <scheme val="minor"/>
      </rPr>
      <t>)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</si>
  <si>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log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</si>
  <si>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RTr</t>
    </r>
  </si>
  <si>
    <t>Resume Analisa Curah Hujan Rencana</t>
  </si>
  <si>
    <t>Normal</t>
  </si>
  <si>
    <t>Log Normal</t>
  </si>
  <si>
    <t>Gumbel</t>
  </si>
  <si>
    <t>Pearson III</t>
  </si>
  <si>
    <t>Log Pearson III</t>
  </si>
  <si>
    <t>Resume Uji Kecocokan</t>
  </si>
  <si>
    <t>Jenis Distribusi</t>
  </si>
  <si>
    <t>Jenis Uji Kecocokan</t>
  </si>
  <si>
    <t>Rata-rata % Error</t>
  </si>
  <si>
    <t>Deviasi</t>
  </si>
  <si>
    <t>Maksimum</t>
  </si>
  <si>
    <t>Minimum</t>
  </si>
  <si>
    <r>
      <t>Tr</t>
    </r>
    <r>
      <rPr>
        <vertAlign val="subscript"/>
        <sz val="11"/>
        <rFont val="Calibri"/>
        <family val="2"/>
        <scheme val="minor"/>
      </rPr>
      <t>2</t>
    </r>
  </si>
  <si>
    <r>
      <t>Tr</t>
    </r>
    <r>
      <rPr>
        <vertAlign val="subscript"/>
        <sz val="11"/>
        <rFont val="Calibri"/>
        <family val="2"/>
        <scheme val="minor"/>
      </rPr>
      <t>5</t>
    </r>
  </si>
  <si>
    <r>
      <t>Tr</t>
    </r>
    <r>
      <rPr>
        <vertAlign val="subscript"/>
        <sz val="11"/>
        <rFont val="Calibri"/>
        <family val="2"/>
        <scheme val="minor"/>
      </rPr>
      <t>10</t>
    </r>
  </si>
  <si>
    <r>
      <t>Tr</t>
    </r>
    <r>
      <rPr>
        <vertAlign val="subscript"/>
        <sz val="11"/>
        <rFont val="Calibri"/>
        <family val="2"/>
        <scheme val="minor"/>
      </rPr>
      <t>25</t>
    </r>
  </si>
  <si>
    <r>
      <t>Tr</t>
    </r>
    <r>
      <rPr>
        <vertAlign val="subscript"/>
        <sz val="11"/>
        <rFont val="Calibri"/>
        <family val="2"/>
        <scheme val="minor"/>
      </rPr>
      <t>50</t>
    </r>
  </si>
  <si>
    <r>
      <t>Tr</t>
    </r>
    <r>
      <rPr>
        <vertAlign val="subscript"/>
        <sz val="11"/>
        <rFont val="Calibri"/>
        <family val="2"/>
        <scheme val="minor"/>
      </rPr>
      <t>100</t>
    </r>
  </si>
  <si>
    <r>
      <t>Tr</t>
    </r>
    <r>
      <rPr>
        <vertAlign val="subscript"/>
        <sz val="11"/>
        <rFont val="Calibri"/>
        <family val="2"/>
        <scheme val="minor"/>
      </rPr>
      <t>200</t>
    </r>
  </si>
  <si>
    <r>
      <t>Tr</t>
    </r>
    <r>
      <rPr>
        <vertAlign val="subscript"/>
        <sz val="11"/>
        <rFont val="Calibri"/>
        <family val="2"/>
        <scheme val="minor"/>
      </rPr>
      <t>1000</t>
    </r>
  </si>
  <si>
    <t>CURAH HUJAN HARIAN MAKSIMUM BULANAN</t>
  </si>
  <si>
    <t>batas bawah</t>
  </si>
  <si>
    <t>batas atas</t>
  </si>
  <si>
    <t>a</t>
  </si>
  <si>
    <t>Uji Kecocokan : Chi Square Kuadrat</t>
  </si>
  <si>
    <t>No. Kelas</t>
  </si>
  <si>
    <t>Batas Bawah</t>
  </si>
  <si>
    <t>Batas Atas</t>
  </si>
  <si>
    <t>Kemungkinan</t>
  </si>
  <si>
    <t>Ef</t>
  </si>
  <si>
    <t>Of</t>
  </si>
  <si>
    <t>Ef-Of</t>
  </si>
  <si>
    <t>, maka distribusi</t>
  </si>
  <si>
    <t>Jumlah</t>
  </si>
  <si>
    <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</si>
  <si>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t>Nilai Maksimum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</si>
  <si>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awal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</si>
  <si>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akhir</t>
    </r>
  </si>
  <si>
    <t>Nilai Minimum</t>
  </si>
  <si>
    <r>
      <t>N</t>
    </r>
    <r>
      <rPr>
        <b/>
        <vertAlign val="subscript"/>
        <sz val="11"/>
        <color theme="1"/>
        <rFont val="Calibri"/>
        <family val="2"/>
        <scheme val="minor"/>
      </rPr>
      <t>max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</si>
  <si>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min</t>
    </r>
  </si>
  <si>
    <t>k</t>
  </si>
  <si>
    <t>Dk</t>
  </si>
  <si>
    <t>Nilai kritis chi square</t>
  </si>
  <si>
    <t>Frekuensi yg diharapkan</t>
  </si>
  <si>
    <t>Derajat kebebasan</t>
  </si>
  <si>
    <t>Jumlah kelas</t>
  </si>
  <si>
    <r>
      <t>Nilai X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 xml:space="preserve"> =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</si>
  <si>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</si>
  <si>
    <t>Selisih yg diharapkan</t>
  </si>
  <si>
    <t>Nilai rentang awal</t>
  </si>
  <si>
    <t>Nilai rentang akhir</t>
  </si>
  <si>
    <t>Tabel nilai kritis untuk distribusi Chi Square (uji satu sisi)</t>
  </si>
  <si>
    <t>dk</t>
  </si>
  <si>
    <r>
      <t>(Ef-Of)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/Ef</t>
    </r>
  </si>
  <si>
    <t>Derajat kepercayaan</t>
  </si>
  <si>
    <t>Xi</t>
  </si>
  <si>
    <t>Xi urut</t>
  </si>
  <si>
    <t>Xi-Xr</t>
  </si>
  <si>
    <t>Jumlah data, N</t>
  </si>
  <si>
    <t>Rata-rata (Xr)</t>
  </si>
  <si>
    <t>Standar Deviasi, S</t>
  </si>
  <si>
    <t>Koef. Skewness, Cs</t>
  </si>
  <si>
    <t>Koef. Variasi, Cv</t>
  </si>
  <si>
    <t>Koef. Kurtosis, Ck</t>
  </si>
  <si>
    <t>Sumber (Sri Harto 1981)</t>
  </si>
  <si>
    <t>Jan</t>
  </si>
  <si>
    <t>Feb</t>
  </si>
  <si>
    <t>Mar</t>
  </si>
  <si>
    <t>Apr</t>
  </si>
  <si>
    <t>Jun</t>
  </si>
  <si>
    <t>Jul</t>
  </si>
  <si>
    <t>Agu</t>
  </si>
  <si>
    <t>Sep</t>
  </si>
  <si>
    <t>Okt</t>
  </si>
  <si>
    <t>Des</t>
  </si>
  <si>
    <t>-</t>
  </si>
  <si>
    <t>DATA CURAH HUJAN BULANAN</t>
  </si>
  <si>
    <t>Thn/bln</t>
  </si>
  <si>
    <t>Nov</t>
  </si>
  <si>
    <t>n/a</t>
  </si>
  <si>
    <t>CURAH HUJAN BULANAN (DATA STASIUN LANUD ATANG SANDJAYA, KAB. BOGOR)</t>
  </si>
  <si>
    <t>HARI HUJAN BULNAN (DATA STASIUN LANUD ATANG SANDJAYA, KAB. BOGOR)</t>
  </si>
  <si>
    <t>CURAH HUJAN BULANAN (DATA STASIUN HALIM PERDANA KUSUMA, JAKARTA)</t>
  </si>
  <si>
    <t>HARI HUJAN BULANAN (DATA STASIUN HALIM PERDANA KUSUMA, JAKARTA)</t>
  </si>
  <si>
    <t>DATA CURAH HUJAN HARIAN MAKSIMUM BULANAN</t>
  </si>
  <si>
    <t>CURAH HUJAN HARIAN MAKSIMUM BULANAN (DATA STASIUN HALIM PERDANAKUSUMA, JAKARTA)</t>
  </si>
  <si>
    <t>Maks Tahunan</t>
  </si>
  <si>
    <t>CURAH HUJAN HARIAN MAKSIMUM BULANAN (DATA STASIUN PONDOK BETUNG, TANGERANG SELATAN)</t>
  </si>
  <si>
    <t>CURAH HUJAN HARIAN MAKSIMUM BULANAN (DATA STASIUN ATANG SANJAYA, KAB. BOGOR)</t>
  </si>
  <si>
    <t>CURAH HUJAN HARIAN MAKSIMUM BULANAN (DATA STASIUN DRAMAGA, KAB. BOGOR)</t>
  </si>
  <si>
    <t>N/A</t>
  </si>
  <si>
    <t>CH Maks Harian Tahunan</t>
  </si>
  <si>
    <t>P (x &lt; )</t>
  </si>
  <si>
    <t>f(t) = (Xi - Xrt)/S</t>
  </si>
  <si>
    <t>P'(x)</t>
  </si>
  <si>
    <t>P'(x &lt; )</t>
  </si>
  <si>
    <t>D</t>
  </si>
  <si>
    <t>D max</t>
  </si>
  <si>
    <t>Uji Kecocokan : Smirnov - Kolmogorov</t>
  </si>
  <si>
    <t>Derajat signifikasi</t>
  </si>
  <si>
    <t>Do kritis</t>
  </si>
  <si>
    <t>n</t>
  </si>
  <si>
    <t>Nilai kritis Do untuk uji Smirnov-Kolmogorov</t>
  </si>
  <si>
    <t>n &gt; 50</t>
  </si>
  <si>
    <t>(1.07)/(n^0.5)</t>
  </si>
  <si>
    <t>(1.22)/(n^0.5)</t>
  </si>
  <si>
    <t>(1.36)/(n^0.5)</t>
  </si>
  <si>
    <t>(1.63)/(n^0.5)</t>
  </si>
  <si>
    <t>Rerata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</si>
  <si>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 xml:space="preserve"> (mm/hari)</t>
    </r>
  </si>
  <si>
    <r>
      <t>R</t>
    </r>
    <r>
      <rPr>
        <b/>
        <vertAlign val="subscript"/>
        <sz val="11"/>
        <color theme="1"/>
        <rFont val="Calibri"/>
        <family val="2"/>
        <scheme val="minor"/>
      </rPr>
      <t>max-urut</t>
    </r>
    <r>
      <rPr>
        <b/>
        <sz val="11"/>
        <color theme="1"/>
        <rFont val="Calibri"/>
        <family val="2"/>
        <scheme val="minor"/>
      </rPr>
      <t xml:space="preserve"> (mm/hari)</t>
    </r>
  </si>
  <si>
    <r>
      <t>R</t>
    </r>
    <r>
      <rPr>
        <b/>
        <vertAlign val="subscript"/>
        <sz val="11"/>
        <color theme="1"/>
        <rFont val="Calibri"/>
        <family val="2"/>
        <scheme val="minor"/>
      </rPr>
      <t xml:space="preserve">max-aktual </t>
    </r>
    <r>
      <rPr>
        <b/>
        <sz val="11"/>
        <color theme="1"/>
        <rFont val="Calibri"/>
        <family val="2"/>
        <scheme val="minor"/>
      </rPr>
      <t>(mm/hari)</t>
    </r>
  </si>
  <si>
    <r>
      <t>R</t>
    </r>
    <r>
      <rPr>
        <b/>
        <vertAlign val="subscript"/>
        <sz val="11"/>
        <color theme="1"/>
        <rFont val="Calibri"/>
        <family val="2"/>
        <scheme val="minor"/>
      </rPr>
      <t xml:space="preserve">max-prediksi </t>
    </r>
    <r>
      <rPr>
        <b/>
        <sz val="11"/>
        <color theme="1"/>
        <rFont val="Calibri"/>
        <family val="2"/>
        <scheme val="minor"/>
      </rPr>
      <t>(mm/hari)</t>
    </r>
  </si>
  <si>
    <r>
      <t>R</t>
    </r>
    <r>
      <rPr>
        <b/>
        <vertAlign val="subscript"/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 xml:space="preserve"> (mm/hari)</t>
    </r>
  </si>
  <si>
    <r>
      <t>Log R</t>
    </r>
    <r>
      <rPr>
        <b/>
        <vertAlign val="subscript"/>
        <sz val="11"/>
        <color theme="1"/>
        <rFont val="Calibri"/>
        <family val="2"/>
        <scheme val="minor"/>
      </rPr>
      <t>max-urut</t>
    </r>
    <r>
      <rPr>
        <b/>
        <sz val="11"/>
        <color theme="1"/>
        <rFont val="Calibri"/>
        <family val="2"/>
        <scheme val="minor"/>
      </rPr>
      <t xml:space="preserve"> </t>
    </r>
  </si>
  <si>
    <r>
      <rPr>
        <b/>
        <sz val="9"/>
        <rFont val="Symbol"/>
        <family val="1"/>
        <charset val="2"/>
      </rPr>
      <t>a</t>
    </r>
    <r>
      <rPr>
        <b/>
        <sz val="9"/>
        <rFont val="Tahoma"/>
        <family val="2"/>
      </rPr>
      <t xml:space="preserve"> derajat kepercayaaan</t>
    </r>
  </si>
  <si>
    <t>date</t>
  </si>
  <si>
    <t>precipMM</t>
  </si>
  <si>
    <t>2014-01-01</t>
  </si>
  <si>
    <t>2015-01-01</t>
  </si>
  <si>
    <t>2016-01-01</t>
  </si>
  <si>
    <t>2017-01-01</t>
  </si>
  <si>
    <t>2014-01-02</t>
  </si>
  <si>
    <t>2015-01-02</t>
  </si>
  <si>
    <t>2016-01-02</t>
  </si>
  <si>
    <t>2017-01-02</t>
  </si>
  <si>
    <t>2014-01-03</t>
  </si>
  <si>
    <t>2015-01-03</t>
  </si>
  <si>
    <t>2016-01-03</t>
  </si>
  <si>
    <t>2017-01-03</t>
  </si>
  <si>
    <t>2014-01-04</t>
  </si>
  <si>
    <t>2015-01-04</t>
  </si>
  <si>
    <t>2016-01-04</t>
  </si>
  <si>
    <t>2017-01-04</t>
  </si>
  <si>
    <t>2014-01-05</t>
  </si>
  <si>
    <t>2015-01-05</t>
  </si>
  <si>
    <t>2016-01-05</t>
  </si>
  <si>
    <t>2017-01-05</t>
  </si>
  <si>
    <t>2014-01-06</t>
  </si>
  <si>
    <t>2015-01-06</t>
  </si>
  <si>
    <t>2016-01-06</t>
  </si>
  <si>
    <t>2017-01-06</t>
  </si>
  <si>
    <t>2014-01-07</t>
  </si>
  <si>
    <t>2015-01-07</t>
  </si>
  <si>
    <t>2016-01-07</t>
  </si>
  <si>
    <t>2017-01-07</t>
  </si>
  <si>
    <t>2014-01-08</t>
  </si>
  <si>
    <t>2015-01-08</t>
  </si>
  <si>
    <t>2016-01-08</t>
  </si>
  <si>
    <t>2017-01-08</t>
  </si>
  <si>
    <t>2014-01-09</t>
  </si>
  <si>
    <t>2015-01-09</t>
  </si>
  <si>
    <t>2016-01-09</t>
  </si>
  <si>
    <t>2017-01-09</t>
  </si>
  <si>
    <t>2014-01-10</t>
  </si>
  <si>
    <t>2015-01-10</t>
  </si>
  <si>
    <t>2016-01-10</t>
  </si>
  <si>
    <t>2017-01-10</t>
  </si>
  <si>
    <t>2014-01-11</t>
  </si>
  <si>
    <t>2015-01-11</t>
  </si>
  <si>
    <t>2016-01-11</t>
  </si>
  <si>
    <t>2017-01-11</t>
  </si>
  <si>
    <t>2014-01-12</t>
  </si>
  <si>
    <t>2015-01-12</t>
  </si>
  <si>
    <t>2016-01-12</t>
  </si>
  <si>
    <t>2017-01-12</t>
  </si>
  <si>
    <t>2014-01-13</t>
  </si>
  <si>
    <t>2015-01-13</t>
  </si>
  <si>
    <t>2016-01-13</t>
  </si>
  <si>
    <t>2017-01-13</t>
  </si>
  <si>
    <t>2014-01-14</t>
  </si>
  <si>
    <t>2015-01-14</t>
  </si>
  <si>
    <t>2016-01-14</t>
  </si>
  <si>
    <t>2017-01-14</t>
  </si>
  <si>
    <t>2014-01-15</t>
  </si>
  <si>
    <t>2015-01-15</t>
  </si>
  <si>
    <t>2016-01-15</t>
  </si>
  <si>
    <t>2017-01-15</t>
  </si>
  <si>
    <t>2014-01-16</t>
  </si>
  <si>
    <t>2015-01-16</t>
  </si>
  <si>
    <t>2016-01-16</t>
  </si>
  <si>
    <t>2017-01-16</t>
  </si>
  <si>
    <t>2014-01-17</t>
  </si>
  <si>
    <t>2015-01-17</t>
  </si>
  <si>
    <t>2016-01-17</t>
  </si>
  <si>
    <t>2017-01-17</t>
  </si>
  <si>
    <t>2014-01-18</t>
  </si>
  <si>
    <t>2015-01-18</t>
  </si>
  <si>
    <t>2016-01-18</t>
  </si>
  <si>
    <t>2017-01-18</t>
  </si>
  <si>
    <t>2014-01-19</t>
  </si>
  <si>
    <t>2015-01-19</t>
  </si>
  <si>
    <t>2016-01-19</t>
  </si>
  <si>
    <t>2017-01-19</t>
  </si>
  <si>
    <t>2014-01-20</t>
  </si>
  <si>
    <t>2015-01-20</t>
  </si>
  <si>
    <t>2016-01-20</t>
  </si>
  <si>
    <t>2017-01-20</t>
  </si>
  <si>
    <t>2014-01-21</t>
  </si>
  <si>
    <t>2015-01-21</t>
  </si>
  <si>
    <t>2016-01-21</t>
  </si>
  <si>
    <t>2017-01-21</t>
  </si>
  <si>
    <t>2014-01-22</t>
  </si>
  <si>
    <t>2015-01-22</t>
  </si>
  <si>
    <t>2016-01-22</t>
  </si>
  <si>
    <t>2017-01-22</t>
  </si>
  <si>
    <t>2014-01-23</t>
  </si>
  <si>
    <t>2015-01-23</t>
  </si>
  <si>
    <t>2016-01-23</t>
  </si>
  <si>
    <t>2017-01-23</t>
  </si>
  <si>
    <t>2014-01-24</t>
  </si>
  <si>
    <t>2015-01-24</t>
  </si>
  <si>
    <t>2016-01-24</t>
  </si>
  <si>
    <t>2017-01-24</t>
  </si>
  <si>
    <t>2014-01-25</t>
  </si>
  <si>
    <t>2015-01-25</t>
  </si>
  <si>
    <t>2016-01-25</t>
  </si>
  <si>
    <t>2017-01-25</t>
  </si>
  <si>
    <t>2014-01-26</t>
  </si>
  <si>
    <t>2015-01-26</t>
  </si>
  <si>
    <t>2016-01-26</t>
  </si>
  <si>
    <t>2017-01-26</t>
  </si>
  <si>
    <t>2014-01-27</t>
  </si>
  <si>
    <t>2015-01-27</t>
  </si>
  <si>
    <t>2016-01-27</t>
  </si>
  <si>
    <t>2017-01-27</t>
  </si>
  <si>
    <t>2014-01-28</t>
  </si>
  <si>
    <t>2015-01-28</t>
  </si>
  <si>
    <t>2016-01-28</t>
  </si>
  <si>
    <t>2017-01-28</t>
  </si>
  <si>
    <t>2014-01-29</t>
  </si>
  <si>
    <t>2015-01-29</t>
  </si>
  <si>
    <t>2016-01-29</t>
  </si>
  <si>
    <t>2017-01-29</t>
  </si>
  <si>
    <t>2014-01-30</t>
  </si>
  <si>
    <t>2015-01-30</t>
  </si>
  <si>
    <t>2016-01-30</t>
  </si>
  <si>
    <t>2017-01-30</t>
  </si>
  <si>
    <t>2014-01-31</t>
  </si>
  <si>
    <t>2015-01-31</t>
  </si>
  <si>
    <t>2016-01-31</t>
  </si>
  <si>
    <t>2017-01-31</t>
  </si>
  <si>
    <t>2014-02-01</t>
  </si>
  <si>
    <t>2015-02-01</t>
  </si>
  <si>
    <t>2016-02-01</t>
  </si>
  <si>
    <t>2017-02-01</t>
  </si>
  <si>
    <t>2014-02-02</t>
  </si>
  <si>
    <t>2015-02-02</t>
  </si>
  <si>
    <t>2016-02-02</t>
  </si>
  <si>
    <t>2017-02-02</t>
  </si>
  <si>
    <t>2014-02-03</t>
  </si>
  <si>
    <t>2015-02-03</t>
  </si>
  <si>
    <t>2016-02-03</t>
  </si>
  <si>
    <t>2017-02-03</t>
  </si>
  <si>
    <t>2014-02-04</t>
  </si>
  <si>
    <t>2015-02-04</t>
  </si>
  <si>
    <t>2016-02-04</t>
  </si>
  <si>
    <t>2017-02-04</t>
  </si>
  <si>
    <t>2014-02-05</t>
  </si>
  <si>
    <t>2015-02-05</t>
  </si>
  <si>
    <t>2016-02-05</t>
  </si>
  <si>
    <t>2017-02-05</t>
  </si>
  <si>
    <t>2014-02-06</t>
  </si>
  <si>
    <t>2015-02-06</t>
  </si>
  <si>
    <t>2016-02-06</t>
  </si>
  <si>
    <t>2017-02-06</t>
  </si>
  <si>
    <t>2014-02-07</t>
  </si>
  <si>
    <t>2015-02-07</t>
  </si>
  <si>
    <t>2016-02-07</t>
  </si>
  <si>
    <t>2017-02-07</t>
  </si>
  <si>
    <t>2014-02-08</t>
  </si>
  <si>
    <t>2015-02-08</t>
  </si>
  <si>
    <t>2016-02-08</t>
  </si>
  <si>
    <t>2017-02-08</t>
  </si>
  <si>
    <t>2014-02-09</t>
  </si>
  <si>
    <t>2015-02-09</t>
  </si>
  <si>
    <t>2016-02-09</t>
  </si>
  <si>
    <t>2017-02-09</t>
  </si>
  <si>
    <t>2014-02-10</t>
  </si>
  <si>
    <t>2015-02-10</t>
  </si>
  <si>
    <t>2016-02-10</t>
  </si>
  <si>
    <t>2017-02-10</t>
  </si>
  <si>
    <t>2014-02-11</t>
  </si>
  <si>
    <t>2015-02-11</t>
  </si>
  <si>
    <t>2016-02-11</t>
  </si>
  <si>
    <t>2017-02-11</t>
  </si>
  <si>
    <t>2014-02-12</t>
  </si>
  <si>
    <t>2015-02-12</t>
  </si>
  <si>
    <t>2016-02-12</t>
  </si>
  <si>
    <t>2017-02-12</t>
  </si>
  <si>
    <t>2014-02-13</t>
  </si>
  <si>
    <t>2015-02-13</t>
  </si>
  <si>
    <t>2016-02-13</t>
  </si>
  <si>
    <t>2017-02-13</t>
  </si>
  <si>
    <t>2014-02-14</t>
  </si>
  <si>
    <t>2015-02-14</t>
  </si>
  <si>
    <t>2016-02-14</t>
  </si>
  <si>
    <t>2017-02-14</t>
  </si>
  <si>
    <t>2014-02-15</t>
  </si>
  <si>
    <t>2015-02-15</t>
  </si>
  <si>
    <t>2016-02-15</t>
  </si>
  <si>
    <t>2017-02-15</t>
  </si>
  <si>
    <t>2014-02-16</t>
  </si>
  <si>
    <t>2015-02-16</t>
  </si>
  <si>
    <t>2016-02-16</t>
  </si>
  <si>
    <t>2017-02-16</t>
  </si>
  <si>
    <t>2014-02-17</t>
  </si>
  <si>
    <t>2015-02-17</t>
  </si>
  <si>
    <t>2016-02-17</t>
  </si>
  <si>
    <t>2017-02-17</t>
  </si>
  <si>
    <t>2014-02-18</t>
  </si>
  <si>
    <t>2015-02-18</t>
  </si>
  <si>
    <t>2016-02-18</t>
  </si>
  <si>
    <t>2017-02-18</t>
  </si>
  <si>
    <t>2014-02-19</t>
  </si>
  <si>
    <t>2015-02-19</t>
  </si>
  <si>
    <t>2016-02-19</t>
  </si>
  <si>
    <t>2017-02-19</t>
  </si>
  <si>
    <t>2014-02-20</t>
  </si>
  <si>
    <t>2015-02-20</t>
  </si>
  <si>
    <t>2016-02-20</t>
  </si>
  <si>
    <t>2017-02-20</t>
  </si>
  <si>
    <t>2014-02-21</t>
  </si>
  <si>
    <t>2015-02-21</t>
  </si>
  <si>
    <t>2016-02-21</t>
  </si>
  <si>
    <t>2017-02-21</t>
  </si>
  <si>
    <t>2014-02-22</t>
  </si>
  <si>
    <t>2015-02-22</t>
  </si>
  <si>
    <t>2016-02-22</t>
  </si>
  <si>
    <t>2017-02-22</t>
  </si>
  <si>
    <t>2014-02-23</t>
  </si>
  <si>
    <t>2015-02-23</t>
  </si>
  <si>
    <t>2016-02-23</t>
  </si>
  <si>
    <t>2017-02-23</t>
  </si>
  <si>
    <t>2014-02-24</t>
  </si>
  <si>
    <t>2015-02-24</t>
  </si>
  <si>
    <t>2016-02-24</t>
  </si>
  <si>
    <t>2017-02-24</t>
  </si>
  <si>
    <t>2014-02-25</t>
  </si>
  <si>
    <t>2015-02-25</t>
  </si>
  <si>
    <t>2016-02-25</t>
  </si>
  <si>
    <t>2017-02-25</t>
  </si>
  <si>
    <t>2014-02-26</t>
  </si>
  <si>
    <t>2015-02-26</t>
  </si>
  <si>
    <t>2016-02-26</t>
  </si>
  <si>
    <t>2017-02-26</t>
  </si>
  <si>
    <t>2014-02-27</t>
  </si>
  <si>
    <t>2015-02-27</t>
  </si>
  <si>
    <t>2016-02-27</t>
  </si>
  <si>
    <t>2017-02-27</t>
  </si>
  <si>
    <t>2014-02-28</t>
  </si>
  <si>
    <t>2015-02-28</t>
  </si>
  <si>
    <t>2016-02-28</t>
  </si>
  <si>
    <t>2017-02-28</t>
  </si>
  <si>
    <t>2014-03-01</t>
  </si>
  <si>
    <t>2015-03-01</t>
  </si>
  <si>
    <t>2016-02-29</t>
  </si>
  <si>
    <t>2017-03-01</t>
  </si>
  <si>
    <t>2014-03-02</t>
  </si>
  <si>
    <t>2015-03-02</t>
  </si>
  <si>
    <t>2016-03-01</t>
  </si>
  <si>
    <t>2017-03-02</t>
  </si>
  <si>
    <t>2014-03-03</t>
  </si>
  <si>
    <t>2015-03-03</t>
  </si>
  <si>
    <t>2016-03-02</t>
  </si>
  <si>
    <t>2017-03-03</t>
  </si>
  <si>
    <t>2014-03-04</t>
  </si>
  <si>
    <t>2015-03-04</t>
  </si>
  <si>
    <t>2016-03-03</t>
  </si>
  <si>
    <t>2017-03-04</t>
  </si>
  <si>
    <t>2014-03-05</t>
  </si>
  <si>
    <t>2015-03-05</t>
  </si>
  <si>
    <t>2016-03-04</t>
  </si>
  <si>
    <t>2017-03-05</t>
  </si>
  <si>
    <t>2014-03-06</t>
  </si>
  <si>
    <t>2015-03-06</t>
  </si>
  <si>
    <t>2016-03-05</t>
  </si>
  <si>
    <t>2017-03-06</t>
  </si>
  <si>
    <t>2014-03-07</t>
  </si>
  <si>
    <t>2015-03-07</t>
  </si>
  <si>
    <t>2016-03-06</t>
  </si>
  <si>
    <t>2017-03-07</t>
  </si>
  <si>
    <t>2014-03-08</t>
  </si>
  <si>
    <t>2015-03-08</t>
  </si>
  <si>
    <t>2016-03-07</t>
  </si>
  <si>
    <t>2017-03-08</t>
  </si>
  <si>
    <t>2014-03-09</t>
  </si>
  <si>
    <t>2015-03-09</t>
  </si>
  <si>
    <t>2016-03-08</t>
  </si>
  <si>
    <t>2017-03-09</t>
  </si>
  <si>
    <t>2014-03-10</t>
  </si>
  <si>
    <t>2015-03-10</t>
  </si>
  <si>
    <t>2016-03-09</t>
  </si>
  <si>
    <t>2017-03-10</t>
  </si>
  <si>
    <t>2014-03-11</t>
  </si>
  <si>
    <t>2015-03-11</t>
  </si>
  <si>
    <t>2016-03-10</t>
  </si>
  <si>
    <t>2017-03-11</t>
  </si>
  <si>
    <t>2014-03-12</t>
  </si>
  <si>
    <t>2015-03-12</t>
  </si>
  <si>
    <t>2016-03-11</t>
  </si>
  <si>
    <t>2017-03-12</t>
  </si>
  <si>
    <t>2014-03-13</t>
  </si>
  <si>
    <t>2015-03-13</t>
  </si>
  <si>
    <t>2016-03-12</t>
  </si>
  <si>
    <t>2017-03-13</t>
  </si>
  <si>
    <t>2014-03-14</t>
  </si>
  <si>
    <t>2015-03-14</t>
  </si>
  <si>
    <t>2016-03-13</t>
  </si>
  <si>
    <t>2017-03-14</t>
  </si>
  <si>
    <t>2014-03-15</t>
  </si>
  <si>
    <t>2015-03-15</t>
  </si>
  <si>
    <t>2016-03-14</t>
  </si>
  <si>
    <t>2017-03-15</t>
  </si>
  <si>
    <t>2014-03-16</t>
  </si>
  <si>
    <t>2015-03-16</t>
  </si>
  <si>
    <t>2016-03-15</t>
  </si>
  <si>
    <t>2017-03-16</t>
  </si>
  <si>
    <t>2014-03-17</t>
  </si>
  <si>
    <t>2015-03-17</t>
  </si>
  <si>
    <t>2016-03-16</t>
  </si>
  <si>
    <t>2017-03-17</t>
  </si>
  <si>
    <t>2014-03-18</t>
  </si>
  <si>
    <t>2015-03-18</t>
  </si>
  <si>
    <t>2016-03-17</t>
  </si>
  <si>
    <t>2017-03-18</t>
  </si>
  <si>
    <t>2014-03-19</t>
  </si>
  <si>
    <t>2015-03-19</t>
  </si>
  <si>
    <t>2016-03-18</t>
  </si>
  <si>
    <t>2017-03-19</t>
  </si>
  <si>
    <t>2014-03-20</t>
  </si>
  <si>
    <t>2015-03-20</t>
  </si>
  <si>
    <t>2016-03-19</t>
  </si>
  <si>
    <t>2017-03-20</t>
  </si>
  <si>
    <t>2014-03-21</t>
  </si>
  <si>
    <t>2015-03-21</t>
  </si>
  <si>
    <t>2016-03-20</t>
  </si>
  <si>
    <t>2017-03-21</t>
  </si>
  <si>
    <t>2014-03-22</t>
  </si>
  <si>
    <t>2015-03-22</t>
  </si>
  <si>
    <t>2016-03-21</t>
  </si>
  <si>
    <t>2017-03-22</t>
  </si>
  <si>
    <t>2014-03-23</t>
  </si>
  <si>
    <t>2015-03-23</t>
  </si>
  <si>
    <t>2016-03-22</t>
  </si>
  <si>
    <t>2017-03-23</t>
  </si>
  <si>
    <t>2014-03-24</t>
  </si>
  <si>
    <t>2015-03-24</t>
  </si>
  <si>
    <t>2016-03-23</t>
  </si>
  <si>
    <t>2017-03-24</t>
  </si>
  <si>
    <t>2014-03-25</t>
  </si>
  <si>
    <t>2015-03-25</t>
  </si>
  <si>
    <t>2016-03-24</t>
  </si>
  <si>
    <t>2017-03-25</t>
  </si>
  <si>
    <t>2014-03-26</t>
  </si>
  <si>
    <t>2015-03-26</t>
  </si>
  <si>
    <t>2016-03-25</t>
  </si>
  <si>
    <t>2017-03-26</t>
  </si>
  <si>
    <t>2014-03-27</t>
  </si>
  <si>
    <t>2015-03-27</t>
  </si>
  <si>
    <t>2016-03-26</t>
  </si>
  <si>
    <t>2017-03-27</t>
  </si>
  <si>
    <t>2014-03-28</t>
  </si>
  <si>
    <t>2015-03-28</t>
  </si>
  <si>
    <t>2016-03-27</t>
  </si>
  <si>
    <t>2017-03-28</t>
  </si>
  <si>
    <t>2014-03-29</t>
  </si>
  <si>
    <t>2015-03-29</t>
  </si>
  <si>
    <t>2016-03-28</t>
  </si>
  <si>
    <t>2017-03-29</t>
  </si>
  <si>
    <t>2014-03-30</t>
  </si>
  <si>
    <t>2015-03-30</t>
  </si>
  <si>
    <t>2016-03-29</t>
  </si>
  <si>
    <t>2017-03-30</t>
  </si>
  <si>
    <t>2014-03-31</t>
  </si>
  <si>
    <t>2015-03-31</t>
  </si>
  <si>
    <t>2016-03-30</t>
  </si>
  <si>
    <t>2017-03-31</t>
  </si>
  <si>
    <t>2014-04-01</t>
  </si>
  <si>
    <t>2015-04-01</t>
  </si>
  <si>
    <t>2016-03-31</t>
  </si>
  <si>
    <t>2017-04-01</t>
  </si>
  <si>
    <t>2014-04-02</t>
  </si>
  <si>
    <t>2015-04-02</t>
  </si>
  <si>
    <t>2016-04-01</t>
  </si>
  <si>
    <t>2017-04-02</t>
  </si>
  <si>
    <t>2014-04-03</t>
  </si>
  <si>
    <t>2015-04-03</t>
  </si>
  <si>
    <t>2016-04-02</t>
  </si>
  <si>
    <t>2017-04-03</t>
  </si>
  <si>
    <t>2014-04-04</t>
  </si>
  <si>
    <t>2015-04-04</t>
  </si>
  <si>
    <t>2016-04-03</t>
  </si>
  <si>
    <t>2017-04-04</t>
  </si>
  <si>
    <t>2014-04-05</t>
  </si>
  <si>
    <t>2015-04-05</t>
  </si>
  <si>
    <t>2016-04-04</t>
  </si>
  <si>
    <t>2017-04-05</t>
  </si>
  <si>
    <t>2014-04-06</t>
  </si>
  <si>
    <t>2015-04-06</t>
  </si>
  <si>
    <t>2016-04-05</t>
  </si>
  <si>
    <t>2017-04-06</t>
  </si>
  <si>
    <t>2014-04-07</t>
  </si>
  <si>
    <t>2015-04-07</t>
  </si>
  <si>
    <t>2016-04-06</t>
  </si>
  <si>
    <t>2017-04-07</t>
  </si>
  <si>
    <t>2014-04-08</t>
  </si>
  <si>
    <t>2015-04-08</t>
  </si>
  <si>
    <t>2016-04-07</t>
  </si>
  <si>
    <t>2017-04-08</t>
  </si>
  <si>
    <t>2014-04-09</t>
  </si>
  <si>
    <t>2015-04-09</t>
  </si>
  <si>
    <t>2016-04-08</t>
  </si>
  <si>
    <t>2017-04-09</t>
  </si>
  <si>
    <t>2014-04-10</t>
  </si>
  <si>
    <t>2015-04-10</t>
  </si>
  <si>
    <t>2016-04-09</t>
  </si>
  <si>
    <t>2017-04-10</t>
  </si>
  <si>
    <t>2014-04-11</t>
  </si>
  <si>
    <t>2015-04-11</t>
  </si>
  <si>
    <t>2016-04-10</t>
  </si>
  <si>
    <t>2017-04-11</t>
  </si>
  <si>
    <t>2014-04-12</t>
  </si>
  <si>
    <t>2015-04-12</t>
  </si>
  <si>
    <t>2016-04-11</t>
  </si>
  <si>
    <t>2017-04-12</t>
  </si>
  <si>
    <t>2014-04-13</t>
  </si>
  <si>
    <t>2015-04-13</t>
  </si>
  <si>
    <t>2016-04-12</t>
  </si>
  <si>
    <t>2017-04-13</t>
  </si>
  <si>
    <t>2014-04-14</t>
  </si>
  <si>
    <t>2015-04-14</t>
  </si>
  <si>
    <t>2016-04-13</t>
  </si>
  <si>
    <t>2017-04-14</t>
  </si>
  <si>
    <t>2014-04-15</t>
  </si>
  <si>
    <t>2015-04-15</t>
  </si>
  <si>
    <t>2016-04-14</t>
  </si>
  <si>
    <t>2017-04-15</t>
  </si>
  <si>
    <t>2014-04-16</t>
  </si>
  <si>
    <t>2015-04-16</t>
  </si>
  <si>
    <t>2016-04-15</t>
  </si>
  <si>
    <t>2017-04-16</t>
  </si>
  <si>
    <t>2014-04-17</t>
  </si>
  <si>
    <t>2015-04-17</t>
  </si>
  <si>
    <t>2016-04-16</t>
  </si>
  <si>
    <t>2017-04-17</t>
  </si>
  <si>
    <t>2014-04-18</t>
  </si>
  <si>
    <t>2015-04-18</t>
  </si>
  <si>
    <t>2016-04-17</t>
  </si>
  <si>
    <t>2017-04-18</t>
  </si>
  <si>
    <t>2014-04-19</t>
  </si>
  <si>
    <t>2015-04-19</t>
  </si>
  <si>
    <t>2016-04-18</t>
  </si>
  <si>
    <t>2017-04-19</t>
  </si>
  <si>
    <t>2014-04-20</t>
  </si>
  <si>
    <t>2015-04-20</t>
  </si>
  <si>
    <t>2016-04-19</t>
  </si>
  <si>
    <t>2017-04-20</t>
  </si>
  <si>
    <t>2014-04-21</t>
  </si>
  <si>
    <t>2015-04-21</t>
  </si>
  <si>
    <t>2016-04-20</t>
  </si>
  <si>
    <t>2017-04-21</t>
  </si>
  <si>
    <t>2014-04-22</t>
  </si>
  <si>
    <t>2015-04-22</t>
  </si>
  <si>
    <t>2016-04-21</t>
  </si>
  <si>
    <t>2017-04-22</t>
  </si>
  <si>
    <t>2014-04-23</t>
  </si>
  <si>
    <t>2015-04-23</t>
  </si>
  <si>
    <t>2016-04-22</t>
  </si>
  <si>
    <t>2017-04-23</t>
  </si>
  <si>
    <t>2014-04-24</t>
  </si>
  <si>
    <t>2015-04-24</t>
  </si>
  <si>
    <t>2016-04-23</t>
  </si>
  <si>
    <t>2017-04-24</t>
  </si>
  <si>
    <t>2014-04-25</t>
  </si>
  <si>
    <t>2015-04-25</t>
  </si>
  <si>
    <t>2016-04-24</t>
  </si>
  <si>
    <t>2017-04-25</t>
  </si>
  <si>
    <t>2014-04-26</t>
  </si>
  <si>
    <t>2015-04-26</t>
  </si>
  <si>
    <t>2016-04-25</t>
  </si>
  <si>
    <t>2017-04-26</t>
  </si>
  <si>
    <t>2014-04-27</t>
  </si>
  <si>
    <t>2015-04-27</t>
  </si>
  <si>
    <t>2016-04-26</t>
  </si>
  <si>
    <t>2017-04-27</t>
  </si>
  <si>
    <t>2014-04-28</t>
  </si>
  <si>
    <t>2015-04-28</t>
  </si>
  <si>
    <t>2016-04-27</t>
  </si>
  <si>
    <t>2017-04-28</t>
  </si>
  <si>
    <t>2014-04-29</t>
  </si>
  <si>
    <t>2015-04-29</t>
  </si>
  <si>
    <t>2016-04-28</t>
  </si>
  <si>
    <t>2017-04-29</t>
  </si>
  <si>
    <t>2014-04-30</t>
  </si>
  <si>
    <t>2015-04-30</t>
  </si>
  <si>
    <t>2016-04-29</t>
  </si>
  <si>
    <t>2017-04-30</t>
  </si>
  <si>
    <t>2014-05-01</t>
  </si>
  <si>
    <t>2015-05-01</t>
  </si>
  <si>
    <t>2016-04-30</t>
  </si>
  <si>
    <t>2017-05-01</t>
  </si>
  <si>
    <t>2014-05-02</t>
  </si>
  <si>
    <t>2015-05-02</t>
  </si>
  <si>
    <t>2016-05-01</t>
  </si>
  <si>
    <t>2017-05-02</t>
  </si>
  <si>
    <t>2014-05-03</t>
  </si>
  <si>
    <t>2015-05-03</t>
  </si>
  <si>
    <t>2016-05-02</t>
  </si>
  <si>
    <t>2017-05-03</t>
  </si>
  <si>
    <t>2014-05-04</t>
  </si>
  <si>
    <t>2015-05-04</t>
  </si>
  <si>
    <t>2016-05-03</t>
  </si>
  <si>
    <t>2017-05-04</t>
  </si>
  <si>
    <t>2014-05-05</t>
  </si>
  <si>
    <t>2015-05-05</t>
  </si>
  <si>
    <t>2016-05-04</t>
  </si>
  <si>
    <t>2017-05-05</t>
  </si>
  <si>
    <t>2014-05-06</t>
  </si>
  <si>
    <t>2015-05-06</t>
  </si>
  <si>
    <t>2016-05-05</t>
  </si>
  <si>
    <t>2017-05-06</t>
  </si>
  <si>
    <t>2014-05-07</t>
  </si>
  <si>
    <t>2015-05-07</t>
  </si>
  <si>
    <t>2016-05-06</t>
  </si>
  <si>
    <t>2017-05-07</t>
  </si>
  <si>
    <t>2014-05-08</t>
  </si>
  <si>
    <t>2015-05-08</t>
  </si>
  <si>
    <t>2016-05-07</t>
  </si>
  <si>
    <t>2017-05-08</t>
  </si>
  <si>
    <t>2014-05-09</t>
  </si>
  <si>
    <t>2015-05-09</t>
  </si>
  <si>
    <t>2016-05-08</t>
  </si>
  <si>
    <t>2017-05-09</t>
  </si>
  <si>
    <t>2014-05-10</t>
  </si>
  <si>
    <t>2015-05-10</t>
  </si>
  <si>
    <t>2016-05-09</t>
  </si>
  <si>
    <t>2017-05-10</t>
  </si>
  <si>
    <t>2014-05-11</t>
  </si>
  <si>
    <t>2015-05-11</t>
  </si>
  <si>
    <t>2016-05-10</t>
  </si>
  <si>
    <t>2017-05-11</t>
  </si>
  <si>
    <t>2014-05-12</t>
  </si>
  <si>
    <t>2015-05-12</t>
  </si>
  <si>
    <t>2016-05-11</t>
  </si>
  <si>
    <t>2017-05-12</t>
  </si>
  <si>
    <t>2014-05-13</t>
  </si>
  <si>
    <t>2015-05-13</t>
  </si>
  <si>
    <t>2016-05-12</t>
  </si>
  <si>
    <t>2017-05-13</t>
  </si>
  <si>
    <t>2014-05-14</t>
  </si>
  <si>
    <t>2015-05-14</t>
  </si>
  <si>
    <t>2016-05-13</t>
  </si>
  <si>
    <t>2017-05-14</t>
  </si>
  <si>
    <t>2014-05-15</t>
  </si>
  <si>
    <t>2015-05-15</t>
  </si>
  <si>
    <t>2016-05-14</t>
  </si>
  <si>
    <t>2017-05-15</t>
  </si>
  <si>
    <t>2014-05-16</t>
  </si>
  <si>
    <t>2015-05-16</t>
  </si>
  <si>
    <t>2016-05-15</t>
  </si>
  <si>
    <t>2017-05-16</t>
  </si>
  <si>
    <t>2014-05-17</t>
  </si>
  <si>
    <t>2015-05-17</t>
  </si>
  <si>
    <t>2016-05-16</t>
  </si>
  <si>
    <t>2017-05-17</t>
  </si>
  <si>
    <t>2014-05-18</t>
  </si>
  <si>
    <t>2015-05-18</t>
  </si>
  <si>
    <t>2016-05-17</t>
  </si>
  <si>
    <t>2017-05-18</t>
  </si>
  <si>
    <t>2014-05-19</t>
  </si>
  <si>
    <t>2015-05-19</t>
  </si>
  <si>
    <t>2016-05-18</t>
  </si>
  <si>
    <t>2017-05-19</t>
  </si>
  <si>
    <t>2014-05-20</t>
  </si>
  <si>
    <t>2015-05-20</t>
  </si>
  <si>
    <t>2016-05-19</t>
  </si>
  <si>
    <t>2017-05-20</t>
  </si>
  <si>
    <t>2014-05-21</t>
  </si>
  <si>
    <t>2015-05-21</t>
  </si>
  <si>
    <t>2016-05-20</t>
  </si>
  <si>
    <t>2017-05-21</t>
  </si>
  <si>
    <t>2014-05-22</t>
  </si>
  <si>
    <t>2015-05-22</t>
  </si>
  <si>
    <t>2016-05-21</t>
  </si>
  <si>
    <t>2017-05-22</t>
  </si>
  <si>
    <t>2014-05-23</t>
  </si>
  <si>
    <t>2015-05-23</t>
  </si>
  <si>
    <t>2016-05-22</t>
  </si>
  <si>
    <t>2017-05-23</t>
  </si>
  <si>
    <t>2014-05-24</t>
  </si>
  <si>
    <t>2015-05-24</t>
  </si>
  <si>
    <t>2016-05-23</t>
  </si>
  <si>
    <t>2017-05-24</t>
  </si>
  <si>
    <t>2014-05-25</t>
  </si>
  <si>
    <t>2015-05-25</t>
  </si>
  <si>
    <t>2016-05-24</t>
  </si>
  <si>
    <t>2017-05-25</t>
  </si>
  <si>
    <t>2014-05-26</t>
  </si>
  <si>
    <t>2015-05-26</t>
  </si>
  <si>
    <t>2016-05-25</t>
  </si>
  <si>
    <t>2017-05-26</t>
  </si>
  <si>
    <t>2014-05-27</t>
  </si>
  <si>
    <t>2015-05-27</t>
  </si>
  <si>
    <t>2016-05-26</t>
  </si>
  <si>
    <t>2017-05-27</t>
  </si>
  <si>
    <t>2014-05-28</t>
  </si>
  <si>
    <t>2015-05-28</t>
  </si>
  <si>
    <t>2016-05-27</t>
  </si>
  <si>
    <t>2017-05-28</t>
  </si>
  <si>
    <t>2014-05-29</t>
  </si>
  <si>
    <t>2015-05-29</t>
  </si>
  <si>
    <t>2016-05-28</t>
  </si>
  <si>
    <t>2017-05-29</t>
  </si>
  <si>
    <t>2014-05-30</t>
  </si>
  <si>
    <t>2015-05-30</t>
  </si>
  <si>
    <t>2016-05-29</t>
  </si>
  <si>
    <t>2017-05-30</t>
  </si>
  <si>
    <t>2014-05-31</t>
  </si>
  <si>
    <t>2015-05-31</t>
  </si>
  <si>
    <t>2016-05-30</t>
  </si>
  <si>
    <t>2017-05-31</t>
  </si>
  <si>
    <t>2014-06-01</t>
  </si>
  <si>
    <t>2015-06-01</t>
  </si>
  <si>
    <t>2016-05-31</t>
  </si>
  <si>
    <t>2017-06-01</t>
  </si>
  <si>
    <t>2014-06-02</t>
  </si>
  <si>
    <t>2015-06-02</t>
  </si>
  <si>
    <t>2016-06-01</t>
  </si>
  <si>
    <t>2017-06-02</t>
  </si>
  <si>
    <t>2014-06-03</t>
  </si>
  <si>
    <t>2015-06-03</t>
  </si>
  <si>
    <t>2016-06-02</t>
  </si>
  <si>
    <t>2017-06-03</t>
  </si>
  <si>
    <t>2014-06-04</t>
  </si>
  <si>
    <t>2015-06-04</t>
  </si>
  <si>
    <t>2016-06-03</t>
  </si>
  <si>
    <t>2017-06-04</t>
  </si>
  <si>
    <t>2014-06-05</t>
  </si>
  <si>
    <t>2015-06-05</t>
  </si>
  <si>
    <t>2016-06-04</t>
  </si>
  <si>
    <t>2017-06-05</t>
  </si>
  <si>
    <t>2014-06-06</t>
  </si>
  <si>
    <t>2015-06-06</t>
  </si>
  <si>
    <t>2016-06-05</t>
  </si>
  <si>
    <t>2017-06-06</t>
  </si>
  <si>
    <t>2014-06-07</t>
  </si>
  <si>
    <t>2015-06-07</t>
  </si>
  <si>
    <t>2016-06-06</t>
  </si>
  <si>
    <t>2017-06-07</t>
  </si>
  <si>
    <t>2014-06-08</t>
  </si>
  <si>
    <t>2015-06-08</t>
  </si>
  <si>
    <t>2016-06-07</t>
  </si>
  <si>
    <t>2017-06-08</t>
  </si>
  <si>
    <t>2014-06-09</t>
  </si>
  <si>
    <t>2015-06-09</t>
  </si>
  <si>
    <t>2016-06-08</t>
  </si>
  <si>
    <t>2017-06-09</t>
  </si>
  <si>
    <t>2014-06-10</t>
  </si>
  <si>
    <t>2015-06-10</t>
  </si>
  <si>
    <t>2016-06-09</t>
  </si>
  <si>
    <t>2017-06-10</t>
  </si>
  <si>
    <t>2014-06-11</t>
  </si>
  <si>
    <t>2015-06-11</t>
  </si>
  <si>
    <t>2016-06-10</t>
  </si>
  <si>
    <t>2017-06-11</t>
  </si>
  <si>
    <t>2014-06-12</t>
  </si>
  <si>
    <t>2015-06-12</t>
  </si>
  <si>
    <t>2016-06-11</t>
  </si>
  <si>
    <t>2017-06-12</t>
  </si>
  <si>
    <t>2014-06-13</t>
  </si>
  <si>
    <t>2015-06-13</t>
  </si>
  <si>
    <t>2016-06-12</t>
  </si>
  <si>
    <t>2017-06-13</t>
  </si>
  <si>
    <t>2014-06-14</t>
  </si>
  <si>
    <t>2015-06-14</t>
  </si>
  <si>
    <t>2016-06-13</t>
  </si>
  <si>
    <t>2017-06-14</t>
  </si>
  <si>
    <t>2014-06-15</t>
  </si>
  <si>
    <t>2015-06-15</t>
  </si>
  <si>
    <t>2016-06-14</t>
  </si>
  <si>
    <t>2017-06-15</t>
  </si>
  <si>
    <t>2014-06-16</t>
  </si>
  <si>
    <t>2015-06-16</t>
  </si>
  <si>
    <t>2016-06-15</t>
  </si>
  <si>
    <t>2017-06-16</t>
  </si>
  <si>
    <t>2014-06-17</t>
  </si>
  <si>
    <t>2015-06-17</t>
  </si>
  <si>
    <t>2016-06-16</t>
  </si>
  <si>
    <t>2017-06-17</t>
  </si>
  <si>
    <t>2014-06-18</t>
  </si>
  <si>
    <t>2015-06-18</t>
  </si>
  <si>
    <t>2016-06-17</t>
  </si>
  <si>
    <t>2017-06-18</t>
  </si>
  <si>
    <t>2014-06-19</t>
  </si>
  <si>
    <t>2015-06-19</t>
  </si>
  <si>
    <t>2016-06-18</t>
  </si>
  <si>
    <t>2017-06-19</t>
  </si>
  <si>
    <t>2014-06-20</t>
  </si>
  <si>
    <t>2015-06-20</t>
  </si>
  <si>
    <t>2016-06-19</t>
  </si>
  <si>
    <t>2017-06-20</t>
  </si>
  <si>
    <t>2014-06-21</t>
  </si>
  <si>
    <t>2015-06-21</t>
  </si>
  <si>
    <t>2016-06-20</t>
  </si>
  <si>
    <t>2017-06-21</t>
  </si>
  <si>
    <t>2014-06-22</t>
  </si>
  <si>
    <t>2015-06-22</t>
  </si>
  <si>
    <t>2016-06-21</t>
  </si>
  <si>
    <t>2017-06-22</t>
  </si>
  <si>
    <t>2014-06-23</t>
  </si>
  <si>
    <t>2015-06-23</t>
  </si>
  <si>
    <t>2016-06-22</t>
  </si>
  <si>
    <t>2017-06-23</t>
  </si>
  <si>
    <t>2014-06-24</t>
  </si>
  <si>
    <t>2015-06-24</t>
  </si>
  <si>
    <t>2016-06-23</t>
  </si>
  <si>
    <t>2017-06-24</t>
  </si>
  <si>
    <t>2014-06-25</t>
  </si>
  <si>
    <t>2015-06-25</t>
  </si>
  <si>
    <t>2016-06-24</t>
  </si>
  <si>
    <t>2017-06-25</t>
  </si>
  <si>
    <t>2014-06-26</t>
  </si>
  <si>
    <t>2015-06-26</t>
  </si>
  <si>
    <t>2016-06-25</t>
  </si>
  <si>
    <t>2017-06-26</t>
  </si>
  <si>
    <t>2014-06-27</t>
  </si>
  <si>
    <t>2015-06-27</t>
  </si>
  <si>
    <t>2016-06-26</t>
  </si>
  <si>
    <t>2017-06-27</t>
  </si>
  <si>
    <t>2014-06-28</t>
  </si>
  <si>
    <t>2015-06-28</t>
  </si>
  <si>
    <t>2016-06-27</t>
  </si>
  <si>
    <t>2017-06-28</t>
  </si>
  <si>
    <t>2014-06-29</t>
  </si>
  <si>
    <t>2015-06-29</t>
  </si>
  <si>
    <t>2016-06-28</t>
  </si>
  <si>
    <t>2017-06-29</t>
  </si>
  <si>
    <t>2014-06-30</t>
  </si>
  <si>
    <t>2015-06-30</t>
  </si>
  <si>
    <t>2016-06-29</t>
  </si>
  <si>
    <t>2017-06-30</t>
  </si>
  <si>
    <t>2014-07-01</t>
  </si>
  <si>
    <t>2015-07-01</t>
  </si>
  <si>
    <t>2016-06-30</t>
  </si>
  <si>
    <t>2017-07-01</t>
  </si>
  <si>
    <t>2014-07-02</t>
  </si>
  <si>
    <t>2015-07-02</t>
  </si>
  <si>
    <t>2016-07-01</t>
  </si>
  <si>
    <t>2017-07-02</t>
  </si>
  <si>
    <t>2014-07-03</t>
  </si>
  <si>
    <t>2015-07-03</t>
  </si>
  <si>
    <t>2016-07-02</t>
  </si>
  <si>
    <t>2017-07-03</t>
  </si>
  <si>
    <t>2014-07-04</t>
  </si>
  <si>
    <t>2015-07-04</t>
  </si>
  <si>
    <t>2016-07-03</t>
  </si>
  <si>
    <t>2017-07-04</t>
  </si>
  <si>
    <t>2014-07-05</t>
  </si>
  <si>
    <t>2015-07-05</t>
  </si>
  <si>
    <t>2016-07-04</t>
  </si>
  <si>
    <t>2017-07-05</t>
  </si>
  <si>
    <t>2014-07-06</t>
  </si>
  <si>
    <t>2015-07-06</t>
  </si>
  <si>
    <t>2016-07-05</t>
  </si>
  <si>
    <t>2017-07-06</t>
  </si>
  <si>
    <t>2014-07-07</t>
  </si>
  <si>
    <t>2015-07-07</t>
  </si>
  <si>
    <t>2016-07-06</t>
  </si>
  <si>
    <t>2017-07-07</t>
  </si>
  <si>
    <t>2014-07-08</t>
  </si>
  <si>
    <t>2015-07-08</t>
  </si>
  <si>
    <t>2016-07-07</t>
  </si>
  <si>
    <t>2017-07-08</t>
  </si>
  <si>
    <t>2014-07-09</t>
  </si>
  <si>
    <t>2015-07-09</t>
  </si>
  <si>
    <t>2016-07-08</t>
  </si>
  <si>
    <t>2017-07-09</t>
  </si>
  <si>
    <t>2014-07-10</t>
  </si>
  <si>
    <t>2015-07-10</t>
  </si>
  <si>
    <t>2016-07-09</t>
  </si>
  <si>
    <t>2017-07-10</t>
  </si>
  <si>
    <t>2014-07-11</t>
  </si>
  <si>
    <t>2015-07-11</t>
  </si>
  <si>
    <t>2016-07-10</t>
  </si>
  <si>
    <t>2017-07-11</t>
  </si>
  <si>
    <t>2014-07-12</t>
  </si>
  <si>
    <t>2015-07-12</t>
  </si>
  <si>
    <t>2016-07-11</t>
  </si>
  <si>
    <t>2017-07-12</t>
  </si>
  <si>
    <t>2014-07-13</t>
  </si>
  <si>
    <t>2015-07-13</t>
  </si>
  <si>
    <t>2016-07-12</t>
  </si>
  <si>
    <t>2017-07-13</t>
  </si>
  <si>
    <t>2014-07-14</t>
  </si>
  <si>
    <t>2015-07-14</t>
  </si>
  <si>
    <t>2016-07-13</t>
  </si>
  <si>
    <t>2017-07-14</t>
  </si>
  <si>
    <t>2014-07-15</t>
  </si>
  <si>
    <t>2015-07-15</t>
  </si>
  <si>
    <t>2016-07-14</t>
  </si>
  <si>
    <t>2017-07-15</t>
  </si>
  <si>
    <t>2014-07-16</t>
  </si>
  <si>
    <t>2015-07-16</t>
  </si>
  <si>
    <t>2016-07-15</t>
  </si>
  <si>
    <t>2017-07-16</t>
  </si>
  <si>
    <t>2014-07-17</t>
  </si>
  <si>
    <t>2015-07-17</t>
  </si>
  <si>
    <t>2016-07-16</t>
  </si>
  <si>
    <t>2017-07-17</t>
  </si>
  <si>
    <t>2014-07-18</t>
  </si>
  <si>
    <t>2015-07-18</t>
  </si>
  <si>
    <t>2016-07-17</t>
  </si>
  <si>
    <t>2017-07-18</t>
  </si>
  <si>
    <t>2014-07-19</t>
  </si>
  <si>
    <t>2015-07-19</t>
  </si>
  <si>
    <t>2016-07-18</t>
  </si>
  <si>
    <t>2017-07-19</t>
  </si>
  <si>
    <t>2014-07-20</t>
  </si>
  <si>
    <t>2015-07-20</t>
  </si>
  <si>
    <t>2016-07-19</t>
  </si>
  <si>
    <t>2017-07-20</t>
  </si>
  <si>
    <t>2014-07-21</t>
  </si>
  <si>
    <t>2015-07-21</t>
  </si>
  <si>
    <t>2016-07-20</t>
  </si>
  <si>
    <t>2017-07-21</t>
  </si>
  <si>
    <t>2014-07-22</t>
  </si>
  <si>
    <t>2015-07-22</t>
  </si>
  <si>
    <t>2016-07-21</t>
  </si>
  <si>
    <t>2017-07-22</t>
  </si>
  <si>
    <t>2014-07-23</t>
  </si>
  <si>
    <t>2015-07-23</t>
  </si>
  <si>
    <t>2016-07-22</t>
  </si>
  <si>
    <t>2017-07-23</t>
  </si>
  <si>
    <t>2014-07-24</t>
  </si>
  <si>
    <t>2015-07-24</t>
  </si>
  <si>
    <t>2016-07-23</t>
  </si>
  <si>
    <t>2017-07-24</t>
  </si>
  <si>
    <t>2014-07-25</t>
  </si>
  <si>
    <t>2015-07-25</t>
  </si>
  <si>
    <t>2016-07-24</t>
  </si>
  <si>
    <t>2017-07-25</t>
  </si>
  <si>
    <t>2014-07-26</t>
  </si>
  <si>
    <t>2015-07-26</t>
  </si>
  <si>
    <t>2016-07-25</t>
  </si>
  <si>
    <t>2017-07-26</t>
  </si>
  <si>
    <t>2014-07-27</t>
  </si>
  <si>
    <t>2015-07-27</t>
  </si>
  <si>
    <t>2016-07-26</t>
  </si>
  <si>
    <t>2017-07-27</t>
  </si>
  <si>
    <t>2014-07-28</t>
  </si>
  <si>
    <t>2015-07-28</t>
  </si>
  <si>
    <t>2016-07-27</t>
  </si>
  <si>
    <t>2017-07-28</t>
  </si>
  <si>
    <t>2014-07-29</t>
  </si>
  <si>
    <t>2015-07-29</t>
  </si>
  <si>
    <t>2016-07-28</t>
  </si>
  <si>
    <t>2017-07-29</t>
  </si>
  <si>
    <t>2014-07-30</t>
  </si>
  <si>
    <t>2015-07-30</t>
  </si>
  <si>
    <t>2016-07-29</t>
  </si>
  <si>
    <t>2017-07-30</t>
  </si>
  <si>
    <t>2014-07-31</t>
  </si>
  <si>
    <t>2015-07-31</t>
  </si>
  <si>
    <t>2016-07-30</t>
  </si>
  <si>
    <t>2017-07-31</t>
  </si>
  <si>
    <t>2014-08-01</t>
  </si>
  <si>
    <t>2015-08-01</t>
  </si>
  <si>
    <t>2016-07-31</t>
  </si>
  <si>
    <t>2017-08-01</t>
  </si>
  <si>
    <t>2014-08-02</t>
  </si>
  <si>
    <t>2015-08-02</t>
  </si>
  <si>
    <t>2016-08-01</t>
  </si>
  <si>
    <t>2017-08-02</t>
  </si>
  <si>
    <t>2014-08-03</t>
  </si>
  <si>
    <t>2015-08-03</t>
  </si>
  <si>
    <t>2016-08-02</t>
  </si>
  <si>
    <t>2017-08-03</t>
  </si>
  <si>
    <t>2014-08-04</t>
  </si>
  <si>
    <t>2015-08-04</t>
  </si>
  <si>
    <t>2016-08-03</t>
  </si>
  <si>
    <t>2017-08-04</t>
  </si>
  <si>
    <t>2014-08-05</t>
  </si>
  <si>
    <t>2015-08-05</t>
  </si>
  <si>
    <t>2016-08-04</t>
  </si>
  <si>
    <t>2017-08-05</t>
  </si>
  <si>
    <t>2014-08-06</t>
  </si>
  <si>
    <t>2015-08-06</t>
  </si>
  <si>
    <t>2016-08-05</t>
  </si>
  <si>
    <t>2017-08-06</t>
  </si>
  <si>
    <t>2014-08-07</t>
  </si>
  <si>
    <t>2015-08-07</t>
  </si>
  <si>
    <t>2016-08-06</t>
  </si>
  <si>
    <t>2017-08-07</t>
  </si>
  <si>
    <t>2014-08-08</t>
  </si>
  <si>
    <t>2015-08-08</t>
  </si>
  <si>
    <t>2016-08-07</t>
  </si>
  <si>
    <t>2017-08-08</t>
  </si>
  <si>
    <t>2014-08-09</t>
  </si>
  <si>
    <t>2015-08-09</t>
  </si>
  <si>
    <t>2016-08-08</t>
  </si>
  <si>
    <t>2017-08-09</t>
  </si>
  <si>
    <t>2014-08-10</t>
  </si>
  <si>
    <t>2015-08-10</t>
  </si>
  <si>
    <t>2016-08-09</t>
  </si>
  <si>
    <t>2017-08-10</t>
  </si>
  <si>
    <t>2014-08-11</t>
  </si>
  <si>
    <t>2015-08-11</t>
  </si>
  <si>
    <t>2016-08-10</t>
  </si>
  <si>
    <t>2017-08-11</t>
  </si>
  <si>
    <t>2014-08-12</t>
  </si>
  <si>
    <t>2015-08-12</t>
  </si>
  <si>
    <t>2016-08-11</t>
  </si>
  <si>
    <t>2017-08-12</t>
  </si>
  <si>
    <t>2014-08-13</t>
  </si>
  <si>
    <t>2015-08-13</t>
  </si>
  <si>
    <t>2016-08-12</t>
  </si>
  <si>
    <t>2017-08-13</t>
  </si>
  <si>
    <t>2014-08-14</t>
  </si>
  <si>
    <t>2015-08-14</t>
  </si>
  <si>
    <t>2016-08-13</t>
  </si>
  <si>
    <t>2017-08-14</t>
  </si>
  <si>
    <t>2014-08-15</t>
  </si>
  <si>
    <t>2015-08-15</t>
  </si>
  <si>
    <t>2016-08-14</t>
  </si>
  <si>
    <t>2017-08-15</t>
  </si>
  <si>
    <t>2014-08-16</t>
  </si>
  <si>
    <t>2015-08-16</t>
  </si>
  <si>
    <t>2016-08-15</t>
  </si>
  <si>
    <t>2017-08-16</t>
  </si>
  <si>
    <t>2014-08-17</t>
  </si>
  <si>
    <t>2015-08-17</t>
  </si>
  <si>
    <t>2016-08-16</t>
  </si>
  <si>
    <t>2017-08-17</t>
  </si>
  <si>
    <t>2014-08-18</t>
  </si>
  <si>
    <t>2015-08-18</t>
  </si>
  <si>
    <t>2016-08-17</t>
  </si>
  <si>
    <t>2017-08-18</t>
  </si>
  <si>
    <t>2014-08-19</t>
  </si>
  <si>
    <t>2015-08-19</t>
  </si>
  <si>
    <t>2016-08-18</t>
  </si>
  <si>
    <t>2017-08-19</t>
  </si>
  <si>
    <t>2014-08-20</t>
  </si>
  <si>
    <t>2015-08-20</t>
  </si>
  <si>
    <t>2016-08-19</t>
  </si>
  <si>
    <t>2017-08-20</t>
  </si>
  <si>
    <t>2014-08-21</t>
  </si>
  <si>
    <t>2015-08-21</t>
  </si>
  <si>
    <t>2016-08-20</t>
  </si>
  <si>
    <t>2017-08-21</t>
  </si>
  <si>
    <t>2014-08-22</t>
  </si>
  <si>
    <t>2015-08-22</t>
  </si>
  <si>
    <t>2016-08-21</t>
  </si>
  <si>
    <t>2017-08-22</t>
  </si>
  <si>
    <t>2014-08-23</t>
  </si>
  <si>
    <t>2015-08-23</t>
  </si>
  <si>
    <t>2016-08-22</t>
  </si>
  <si>
    <t>2017-08-23</t>
  </si>
  <si>
    <t>2014-08-24</t>
  </si>
  <si>
    <t>2015-08-24</t>
  </si>
  <si>
    <t>2016-08-23</t>
  </si>
  <si>
    <t>2017-08-24</t>
  </si>
  <si>
    <t>2014-08-25</t>
  </si>
  <si>
    <t>2015-08-25</t>
  </si>
  <si>
    <t>2016-08-24</t>
  </si>
  <si>
    <t>2017-08-25</t>
  </si>
  <si>
    <t>2014-08-26</t>
  </si>
  <si>
    <t>2015-08-26</t>
  </si>
  <si>
    <t>2016-08-25</t>
  </si>
  <si>
    <t>2017-08-26</t>
  </si>
  <si>
    <t>2014-08-27</t>
  </si>
  <si>
    <t>2015-08-27</t>
  </si>
  <si>
    <t>2016-08-26</t>
  </si>
  <si>
    <t>2017-08-27</t>
  </si>
  <si>
    <t>2014-08-28</t>
  </si>
  <si>
    <t>2015-08-28</t>
  </si>
  <si>
    <t>2016-08-27</t>
  </si>
  <si>
    <t>2017-08-28</t>
  </si>
  <si>
    <t>2014-08-29</t>
  </si>
  <si>
    <t>2015-08-29</t>
  </si>
  <si>
    <t>2016-08-28</t>
  </si>
  <si>
    <t>2017-08-29</t>
  </si>
  <si>
    <t>2014-08-30</t>
  </si>
  <si>
    <t>2015-08-30</t>
  </si>
  <si>
    <t>2016-08-29</t>
  </si>
  <si>
    <t>2017-08-30</t>
  </si>
  <si>
    <t>2014-08-31</t>
  </si>
  <si>
    <t>2015-08-31</t>
  </si>
  <si>
    <t>2016-08-30</t>
  </si>
  <si>
    <t>2017-08-31</t>
  </si>
  <si>
    <t>2014-09-01</t>
  </si>
  <si>
    <t>2015-09-01</t>
  </si>
  <si>
    <t>2016-08-31</t>
  </si>
  <si>
    <t>2017-09-01</t>
  </si>
  <si>
    <t>2014-09-02</t>
  </si>
  <si>
    <t>2015-09-02</t>
  </si>
  <si>
    <t>2016-09-01</t>
  </si>
  <si>
    <t>2017-09-02</t>
  </si>
  <si>
    <t>2014-09-03</t>
  </si>
  <si>
    <t>2015-09-03</t>
  </si>
  <si>
    <t>2016-09-02</t>
  </si>
  <si>
    <t>2017-09-03</t>
  </si>
  <si>
    <t>2014-09-04</t>
  </si>
  <si>
    <t>2015-09-04</t>
  </si>
  <si>
    <t>2016-09-03</t>
  </si>
  <si>
    <t>2017-09-04</t>
  </si>
  <si>
    <t>2014-09-05</t>
  </si>
  <si>
    <t>2015-09-05</t>
  </si>
  <si>
    <t>2016-09-04</t>
  </si>
  <si>
    <t>2017-09-05</t>
  </si>
  <si>
    <t>2014-09-06</t>
  </si>
  <si>
    <t>2015-09-06</t>
  </si>
  <si>
    <t>2016-09-05</t>
  </si>
  <si>
    <t>2017-09-06</t>
  </si>
  <si>
    <t>2014-09-07</t>
  </si>
  <si>
    <t>2015-09-07</t>
  </si>
  <si>
    <t>2016-09-06</t>
  </si>
  <si>
    <t>2017-09-07</t>
  </si>
  <si>
    <t>2014-09-08</t>
  </si>
  <si>
    <t>2015-09-08</t>
  </si>
  <si>
    <t>2016-09-07</t>
  </si>
  <si>
    <t>2017-09-08</t>
  </si>
  <si>
    <t>2014-09-09</t>
  </si>
  <si>
    <t>2015-09-09</t>
  </si>
  <si>
    <t>2016-09-08</t>
  </si>
  <si>
    <t>2017-09-09</t>
  </si>
  <si>
    <t>2014-09-10</t>
  </si>
  <si>
    <t>2015-09-10</t>
  </si>
  <si>
    <t>2016-09-09</t>
  </si>
  <si>
    <t>2017-09-10</t>
  </si>
  <si>
    <t>2014-09-11</t>
  </si>
  <si>
    <t>2015-09-11</t>
  </si>
  <si>
    <t>2016-09-10</t>
  </si>
  <si>
    <t>2017-09-11</t>
  </si>
  <si>
    <t>2014-09-12</t>
  </si>
  <si>
    <t>2015-09-12</t>
  </si>
  <si>
    <t>2016-09-11</t>
  </si>
  <si>
    <t>2017-09-12</t>
  </si>
  <si>
    <t>2014-09-13</t>
  </si>
  <si>
    <t>2015-09-13</t>
  </si>
  <si>
    <t>2016-09-12</t>
  </si>
  <si>
    <t>2017-09-13</t>
  </si>
  <si>
    <t>2014-09-14</t>
  </si>
  <si>
    <t>2015-09-14</t>
  </si>
  <si>
    <t>2016-09-13</t>
  </si>
  <si>
    <t>2017-09-14</t>
  </si>
  <si>
    <t>2014-09-15</t>
  </si>
  <si>
    <t>2015-09-15</t>
  </si>
  <si>
    <t>2016-09-14</t>
  </si>
  <si>
    <t>2017-09-15</t>
  </si>
  <si>
    <t>2014-09-16</t>
  </si>
  <si>
    <t>2015-09-16</t>
  </si>
  <si>
    <t>2016-09-15</t>
  </si>
  <si>
    <t>2017-09-16</t>
  </si>
  <si>
    <t>2014-09-17</t>
  </si>
  <si>
    <t>2015-09-17</t>
  </si>
  <si>
    <t>2016-09-16</t>
  </si>
  <si>
    <t>2017-09-17</t>
  </si>
  <si>
    <t>2014-09-18</t>
  </si>
  <si>
    <t>2015-09-18</t>
  </si>
  <si>
    <t>2016-09-17</t>
  </si>
  <si>
    <t>2017-09-18</t>
  </si>
  <si>
    <t>2014-09-19</t>
  </si>
  <si>
    <t>2015-09-19</t>
  </si>
  <si>
    <t>2016-09-18</t>
  </si>
  <si>
    <t>2017-09-19</t>
  </si>
  <si>
    <t>2014-09-20</t>
  </si>
  <si>
    <t>2015-09-20</t>
  </si>
  <si>
    <t>2016-09-19</t>
  </si>
  <si>
    <t>2017-09-20</t>
  </si>
  <si>
    <t>2014-09-21</t>
  </si>
  <si>
    <t>2015-09-21</t>
  </si>
  <si>
    <t>2016-09-20</t>
  </si>
  <si>
    <t>2017-09-21</t>
  </si>
  <si>
    <t>2014-09-22</t>
  </si>
  <si>
    <t>2015-09-22</t>
  </si>
  <si>
    <t>2016-09-21</t>
  </si>
  <si>
    <t>2017-09-22</t>
  </si>
  <si>
    <t>2014-09-23</t>
  </si>
  <si>
    <t>2015-09-23</t>
  </si>
  <si>
    <t>2016-09-22</t>
  </si>
  <si>
    <t>2017-09-23</t>
  </si>
  <si>
    <t>2014-09-24</t>
  </si>
  <si>
    <t>2015-09-24</t>
  </si>
  <si>
    <t>2016-09-23</t>
  </si>
  <si>
    <t>2017-09-24</t>
  </si>
  <si>
    <t>2014-09-25</t>
  </si>
  <si>
    <t>2015-09-25</t>
  </si>
  <si>
    <t>2016-09-24</t>
  </si>
  <si>
    <t>2017-09-25</t>
  </si>
  <si>
    <t>2014-09-26</t>
  </si>
  <si>
    <t>2015-09-26</t>
  </si>
  <si>
    <t>2016-09-25</t>
  </si>
  <si>
    <t>2017-09-26</t>
  </si>
  <si>
    <t>2014-09-27</t>
  </si>
  <si>
    <t>2015-09-27</t>
  </si>
  <si>
    <t>2016-09-26</t>
  </si>
  <si>
    <t>2017-09-27</t>
  </si>
  <si>
    <t>2014-09-28</t>
  </si>
  <si>
    <t>2015-09-28</t>
  </si>
  <si>
    <t>2016-09-27</t>
  </si>
  <si>
    <t>2017-09-28</t>
  </si>
  <si>
    <t>2014-09-29</t>
  </si>
  <si>
    <t>2015-09-29</t>
  </si>
  <si>
    <t>2016-09-28</t>
  </si>
  <si>
    <t>2017-09-29</t>
  </si>
  <si>
    <t>2014-09-30</t>
  </si>
  <si>
    <t>2015-09-30</t>
  </si>
  <si>
    <t>2016-09-29</t>
  </si>
  <si>
    <t>2017-09-30</t>
  </si>
  <si>
    <t>2014-10-01</t>
  </si>
  <si>
    <t>2015-10-01</t>
  </si>
  <si>
    <t>2016-09-30</t>
  </si>
  <si>
    <t>2017-10-01</t>
  </si>
  <si>
    <t>2014-10-02</t>
  </si>
  <si>
    <t>2015-10-02</t>
  </si>
  <si>
    <t>2016-10-01</t>
  </si>
  <si>
    <t>2017-10-02</t>
  </si>
  <si>
    <t>2014-10-03</t>
  </si>
  <si>
    <t>2015-10-03</t>
  </si>
  <si>
    <t>2016-10-02</t>
  </si>
  <si>
    <t>2017-10-03</t>
  </si>
  <si>
    <t>2014-10-04</t>
  </si>
  <si>
    <t>2015-10-04</t>
  </si>
  <si>
    <t>2016-10-03</t>
  </si>
  <si>
    <t>2017-10-04</t>
  </si>
  <si>
    <t>2014-10-05</t>
  </si>
  <si>
    <t>2015-10-05</t>
  </si>
  <si>
    <t>2016-10-04</t>
  </si>
  <si>
    <t>2017-10-05</t>
  </si>
  <si>
    <t>2014-10-06</t>
  </si>
  <si>
    <t>2015-10-06</t>
  </si>
  <si>
    <t>2016-10-05</t>
  </si>
  <si>
    <t>2017-10-06</t>
  </si>
  <si>
    <t>2014-10-07</t>
  </si>
  <si>
    <t>2015-10-07</t>
  </si>
  <si>
    <t>2016-10-06</t>
  </si>
  <si>
    <t>2017-10-07</t>
  </si>
  <si>
    <t>2014-10-08</t>
  </si>
  <si>
    <t>2015-10-08</t>
  </si>
  <si>
    <t>2016-10-07</t>
  </si>
  <si>
    <t>2017-10-08</t>
  </si>
  <si>
    <t>2014-10-09</t>
  </si>
  <si>
    <t>2015-10-09</t>
  </si>
  <si>
    <t>2016-10-08</t>
  </si>
  <si>
    <t>2017-10-09</t>
  </si>
  <si>
    <t>2014-10-10</t>
  </si>
  <si>
    <t>2015-10-10</t>
  </si>
  <si>
    <t>2016-10-09</t>
  </si>
  <si>
    <t>2017-10-10</t>
  </si>
  <si>
    <t>2014-10-11</t>
  </si>
  <si>
    <t>2015-10-11</t>
  </si>
  <si>
    <t>2016-10-10</t>
  </si>
  <si>
    <t>2017-10-11</t>
  </si>
  <si>
    <t>2014-10-12</t>
  </si>
  <si>
    <t>2015-10-12</t>
  </si>
  <si>
    <t>2016-10-11</t>
  </si>
  <si>
    <t>2017-10-12</t>
  </si>
  <si>
    <t>2014-10-13</t>
  </si>
  <si>
    <t>2015-10-13</t>
  </si>
  <si>
    <t>2016-10-12</t>
  </si>
  <si>
    <t>2017-10-13</t>
  </si>
  <si>
    <t>2014-10-14</t>
  </si>
  <si>
    <t>2015-10-14</t>
  </si>
  <si>
    <t>2016-10-13</t>
  </si>
  <si>
    <t>2017-10-14</t>
  </si>
  <si>
    <t>2014-10-15</t>
  </si>
  <si>
    <t>2015-10-15</t>
  </si>
  <si>
    <t>2016-10-14</t>
  </si>
  <si>
    <t>2017-10-15</t>
  </si>
  <si>
    <t>2014-10-16</t>
  </si>
  <si>
    <t>2015-10-16</t>
  </si>
  <si>
    <t>2016-10-15</t>
  </si>
  <si>
    <t>2017-10-16</t>
  </si>
  <si>
    <t>2014-10-17</t>
  </si>
  <si>
    <t>2015-10-17</t>
  </si>
  <si>
    <t>2016-10-16</t>
  </si>
  <si>
    <t>2017-10-17</t>
  </si>
  <si>
    <t>2014-10-18</t>
  </si>
  <si>
    <t>2015-10-18</t>
  </si>
  <si>
    <t>2016-10-17</t>
  </si>
  <si>
    <t>2017-10-18</t>
  </si>
  <si>
    <t>2014-10-19</t>
  </si>
  <si>
    <t>2015-10-19</t>
  </si>
  <si>
    <t>2016-10-18</t>
  </si>
  <si>
    <t>2017-10-19</t>
  </si>
  <si>
    <t>2014-10-20</t>
  </si>
  <si>
    <t>2015-10-20</t>
  </si>
  <si>
    <t>2016-10-19</t>
  </si>
  <si>
    <t>2017-10-20</t>
  </si>
  <si>
    <t>2014-10-21</t>
  </si>
  <si>
    <t>2015-10-21</t>
  </si>
  <si>
    <t>2016-10-20</t>
  </si>
  <si>
    <t>2017-10-21</t>
  </si>
  <si>
    <t>2014-10-22</t>
  </si>
  <si>
    <t>2015-10-22</t>
  </si>
  <si>
    <t>2016-10-21</t>
  </si>
  <si>
    <t>2017-10-22</t>
  </si>
  <si>
    <t>2014-10-23</t>
  </si>
  <si>
    <t>2015-10-23</t>
  </si>
  <si>
    <t>2016-10-22</t>
  </si>
  <si>
    <t>2017-10-23</t>
  </si>
  <si>
    <t>2014-10-24</t>
  </si>
  <si>
    <t>2015-10-24</t>
  </si>
  <si>
    <t>2016-10-23</t>
  </si>
  <si>
    <t>2017-10-24</t>
  </si>
  <si>
    <t>2014-10-25</t>
  </si>
  <si>
    <t>2015-10-25</t>
  </si>
  <si>
    <t>2016-10-24</t>
  </si>
  <si>
    <t>2017-10-25</t>
  </si>
  <si>
    <t>2014-10-26</t>
  </si>
  <si>
    <t>2015-10-26</t>
  </si>
  <si>
    <t>2016-10-25</t>
  </si>
  <si>
    <t>2017-10-26</t>
  </si>
  <si>
    <t>2014-10-27</t>
  </si>
  <si>
    <t>2015-10-27</t>
  </si>
  <si>
    <t>2016-10-26</t>
  </si>
  <si>
    <t>2017-10-27</t>
  </si>
  <si>
    <t>2014-10-28</t>
  </si>
  <si>
    <t>2015-10-28</t>
  </si>
  <si>
    <t>2016-10-27</t>
  </si>
  <si>
    <t>2017-10-28</t>
  </si>
  <si>
    <t>2014-10-29</t>
  </si>
  <si>
    <t>2015-10-29</t>
  </si>
  <si>
    <t>2016-10-28</t>
  </si>
  <si>
    <t>2017-10-29</t>
  </si>
  <si>
    <t>2014-10-30</t>
  </si>
  <si>
    <t>2015-10-30</t>
  </si>
  <si>
    <t>2016-10-29</t>
  </si>
  <si>
    <t>2017-10-30</t>
  </si>
  <si>
    <t>2014-10-31</t>
  </si>
  <si>
    <t>2015-10-31</t>
  </si>
  <si>
    <t>2016-10-30</t>
  </si>
  <si>
    <t>2017-10-31</t>
  </si>
  <si>
    <t>2014-11-01</t>
  </si>
  <si>
    <t>2015-11-01</t>
  </si>
  <si>
    <t>2016-10-31</t>
  </si>
  <si>
    <t>2017-11-01</t>
  </si>
  <si>
    <t>2014-11-02</t>
  </si>
  <si>
    <t>2015-11-02</t>
  </si>
  <si>
    <t>2016-11-01</t>
  </si>
  <si>
    <t>2017-11-02</t>
  </si>
  <si>
    <t>2014-11-03</t>
  </si>
  <si>
    <t>2015-11-03</t>
  </si>
  <si>
    <t>2016-11-02</t>
  </si>
  <si>
    <t>2017-11-03</t>
  </si>
  <si>
    <t>2014-11-04</t>
  </si>
  <si>
    <t>2015-11-04</t>
  </si>
  <si>
    <t>2016-11-03</t>
  </si>
  <si>
    <t>2017-11-04</t>
  </si>
  <si>
    <t>2014-11-05</t>
  </si>
  <si>
    <t>2015-11-05</t>
  </si>
  <si>
    <t>2016-11-04</t>
  </si>
  <si>
    <t>2017-11-05</t>
  </si>
  <si>
    <t>2014-11-06</t>
  </si>
  <si>
    <t>2015-11-06</t>
  </si>
  <si>
    <t>2016-11-05</t>
  </si>
  <si>
    <t>2017-11-06</t>
  </si>
  <si>
    <t>2014-11-07</t>
  </si>
  <si>
    <t>2015-11-07</t>
  </si>
  <si>
    <t>2016-11-06</t>
  </si>
  <si>
    <t>2017-11-07</t>
  </si>
  <si>
    <t>2014-11-08</t>
  </si>
  <si>
    <t>2015-11-08</t>
  </si>
  <si>
    <t>2016-11-07</t>
  </si>
  <si>
    <t>2017-11-08</t>
  </si>
  <si>
    <t>2014-11-09</t>
  </si>
  <si>
    <t>2015-11-09</t>
  </si>
  <si>
    <t>2016-11-08</t>
  </si>
  <si>
    <t>2017-11-09</t>
  </si>
  <si>
    <t>2014-11-10</t>
  </si>
  <si>
    <t>2015-11-10</t>
  </si>
  <si>
    <t>2016-11-09</t>
  </si>
  <si>
    <t>2017-11-10</t>
  </si>
  <si>
    <t>2014-11-11</t>
  </si>
  <si>
    <t>2015-11-11</t>
  </si>
  <si>
    <t>2016-11-10</t>
  </si>
  <si>
    <t>2017-11-11</t>
  </si>
  <si>
    <t>2014-11-12</t>
  </si>
  <si>
    <t>2015-11-12</t>
  </si>
  <si>
    <t>2016-11-11</t>
  </si>
  <si>
    <t>2017-11-12</t>
  </si>
  <si>
    <t>2014-11-13</t>
  </si>
  <si>
    <t>2015-11-13</t>
  </si>
  <si>
    <t>2016-11-12</t>
  </si>
  <si>
    <t>2017-11-13</t>
  </si>
  <si>
    <t>2014-11-14</t>
  </si>
  <si>
    <t>2015-11-14</t>
  </si>
  <si>
    <t>2016-11-13</t>
  </si>
  <si>
    <t>2017-11-14</t>
  </si>
  <si>
    <t>2014-11-15</t>
  </si>
  <si>
    <t>2015-11-15</t>
  </si>
  <si>
    <t>2016-11-14</t>
  </si>
  <si>
    <t>2017-11-15</t>
  </si>
  <si>
    <t>2014-11-16</t>
  </si>
  <si>
    <t>2015-11-16</t>
  </si>
  <si>
    <t>2016-11-15</t>
  </si>
  <si>
    <t>2017-11-16</t>
  </si>
  <si>
    <t>2014-11-17</t>
  </si>
  <si>
    <t>2015-11-17</t>
  </si>
  <si>
    <t>2016-11-16</t>
  </si>
  <si>
    <t>2017-11-17</t>
  </si>
  <si>
    <t>2014-11-18</t>
  </si>
  <si>
    <t>2015-11-18</t>
  </si>
  <si>
    <t>2016-11-17</t>
  </si>
  <si>
    <t>2017-11-18</t>
  </si>
  <si>
    <t>2014-11-19</t>
  </si>
  <si>
    <t>2015-11-19</t>
  </si>
  <si>
    <t>2016-11-18</t>
  </si>
  <si>
    <t>2017-11-19</t>
  </si>
  <si>
    <t>2014-11-20</t>
  </si>
  <si>
    <t>2015-11-20</t>
  </si>
  <si>
    <t>2016-11-19</t>
  </si>
  <si>
    <t>2017-11-20</t>
  </si>
  <si>
    <t>2014-11-21</t>
  </si>
  <si>
    <t>2015-11-21</t>
  </si>
  <si>
    <t>2016-11-20</t>
  </si>
  <si>
    <t>2017-11-21</t>
  </si>
  <si>
    <t>2014-11-22</t>
  </si>
  <si>
    <t>2015-11-22</t>
  </si>
  <si>
    <t>2016-11-21</t>
  </si>
  <si>
    <t>2017-11-22</t>
  </si>
  <si>
    <t>2014-11-23</t>
  </si>
  <si>
    <t>2015-11-23</t>
  </si>
  <si>
    <t>2016-11-22</t>
  </si>
  <si>
    <t>2017-11-23</t>
  </si>
  <si>
    <t>2014-11-24</t>
  </si>
  <si>
    <t>2015-11-24</t>
  </si>
  <si>
    <t>2016-11-23</t>
  </si>
  <si>
    <t>2017-11-24</t>
  </si>
  <si>
    <t>2014-11-25</t>
  </si>
  <si>
    <t>2015-11-25</t>
  </si>
  <si>
    <t>2016-11-24</t>
  </si>
  <si>
    <t>2017-11-25</t>
  </si>
  <si>
    <t>2014-11-26</t>
  </si>
  <si>
    <t>2015-11-26</t>
  </si>
  <si>
    <t>2016-11-25</t>
  </si>
  <si>
    <t>2017-11-26</t>
  </si>
  <si>
    <t>2014-11-27</t>
  </si>
  <si>
    <t>2015-11-27</t>
  </si>
  <si>
    <t>2016-11-26</t>
  </si>
  <si>
    <t>2017-11-27</t>
  </si>
  <si>
    <t>2014-11-28</t>
  </si>
  <si>
    <t>2015-11-28</t>
  </si>
  <si>
    <t>2016-11-27</t>
  </si>
  <si>
    <t>2017-11-28</t>
  </si>
  <si>
    <t>2014-11-29</t>
  </si>
  <si>
    <t>2015-11-29</t>
  </si>
  <si>
    <t>2016-11-28</t>
  </si>
  <si>
    <t>2017-11-29</t>
  </si>
  <si>
    <t>2014-11-30</t>
  </si>
  <si>
    <t>2015-11-30</t>
  </si>
  <si>
    <t>2016-11-29</t>
  </si>
  <si>
    <t>2017-11-30</t>
  </si>
  <si>
    <t>2014-12-01</t>
  </si>
  <si>
    <t>2015-12-01</t>
  </si>
  <si>
    <t>2016-11-30</t>
  </si>
  <si>
    <t>2017-12-01</t>
  </si>
  <si>
    <t>2014-12-02</t>
  </si>
  <si>
    <t>2015-12-02</t>
  </si>
  <si>
    <t>2016-12-01</t>
  </si>
  <si>
    <t>2017-12-02</t>
  </si>
  <si>
    <t>2014-12-03</t>
  </si>
  <si>
    <t>2015-12-03</t>
  </si>
  <si>
    <t>2016-12-02</t>
  </si>
  <si>
    <t>2017-12-03</t>
  </si>
  <si>
    <t>2014-12-04</t>
  </si>
  <si>
    <t>2015-12-04</t>
  </si>
  <si>
    <t>2016-12-03</t>
  </si>
  <si>
    <t>2017-12-04</t>
  </si>
  <si>
    <t>2014-12-05</t>
  </si>
  <si>
    <t>2015-12-05</t>
  </si>
  <si>
    <t>2016-12-04</t>
  </si>
  <si>
    <t>2017-12-05</t>
  </si>
  <si>
    <t>2014-12-06</t>
  </si>
  <si>
    <t>2015-12-06</t>
  </si>
  <si>
    <t>2016-12-05</t>
  </si>
  <si>
    <t>2017-12-06</t>
  </si>
  <si>
    <t>2014-12-07</t>
  </si>
  <si>
    <t>2015-12-07</t>
  </si>
  <si>
    <t>2016-12-06</t>
  </si>
  <si>
    <t>2017-12-07</t>
  </si>
  <si>
    <t>2014-12-08</t>
  </si>
  <si>
    <t>2015-12-08</t>
  </si>
  <si>
    <t>2016-12-07</t>
  </si>
  <si>
    <t>2017-12-08</t>
  </si>
  <si>
    <t>2014-12-09</t>
  </si>
  <si>
    <t>2015-12-09</t>
  </si>
  <si>
    <t>2016-12-08</t>
  </si>
  <si>
    <t>2017-12-09</t>
  </si>
  <si>
    <t>2014-12-10</t>
  </si>
  <si>
    <t>2015-12-10</t>
  </si>
  <si>
    <t>2016-12-09</t>
  </si>
  <si>
    <t>2017-12-10</t>
  </si>
  <si>
    <t>2014-12-11</t>
  </si>
  <si>
    <t>2015-12-11</t>
  </si>
  <si>
    <t>2016-12-10</t>
  </si>
  <si>
    <t>2017-12-11</t>
  </si>
  <si>
    <t>2014-12-12</t>
  </si>
  <si>
    <t>2015-12-12</t>
  </si>
  <si>
    <t>2016-12-11</t>
  </si>
  <si>
    <t>2017-12-12</t>
  </si>
  <si>
    <t>2014-12-13</t>
  </si>
  <si>
    <t>2015-12-13</t>
  </si>
  <si>
    <t>2016-12-12</t>
  </si>
  <si>
    <t>2017-12-13</t>
  </si>
  <si>
    <t>2014-12-14</t>
  </si>
  <si>
    <t>2015-12-14</t>
  </si>
  <si>
    <t>2016-12-13</t>
  </si>
  <si>
    <t>2017-12-14</t>
  </si>
  <si>
    <t>2014-12-15</t>
  </si>
  <si>
    <t>2015-12-15</t>
  </si>
  <si>
    <t>2016-12-14</t>
  </si>
  <si>
    <t>2017-12-15</t>
  </si>
  <si>
    <t>2014-12-16</t>
  </si>
  <si>
    <t>2015-12-16</t>
  </si>
  <si>
    <t>2016-12-15</t>
  </si>
  <si>
    <t>2017-12-16</t>
  </si>
  <si>
    <t>2014-12-17</t>
  </si>
  <si>
    <t>2015-12-17</t>
  </si>
  <si>
    <t>2016-12-16</t>
  </si>
  <si>
    <t>2017-12-17</t>
  </si>
  <si>
    <t>2014-12-18</t>
  </si>
  <si>
    <t>2015-12-18</t>
  </si>
  <si>
    <t>2016-12-17</t>
  </si>
  <si>
    <t>2017-12-18</t>
  </si>
  <si>
    <t>2014-12-19</t>
  </si>
  <si>
    <t>2015-12-19</t>
  </si>
  <si>
    <t>2016-12-18</t>
  </si>
  <si>
    <t>2017-12-19</t>
  </si>
  <si>
    <t>2014-12-20</t>
  </si>
  <si>
    <t>2015-12-20</t>
  </si>
  <si>
    <t>2016-12-19</t>
  </si>
  <si>
    <t>2017-12-20</t>
  </si>
  <si>
    <t>2014-12-21</t>
  </si>
  <si>
    <t>2015-12-21</t>
  </si>
  <si>
    <t>2016-12-20</t>
  </si>
  <si>
    <t>2017-12-21</t>
  </si>
  <si>
    <t>2014-12-22</t>
  </si>
  <si>
    <t>2015-12-22</t>
  </si>
  <si>
    <t>2016-12-21</t>
  </si>
  <si>
    <t>2017-12-22</t>
  </si>
  <si>
    <t>2014-12-23</t>
  </si>
  <si>
    <t>2015-12-23</t>
  </si>
  <si>
    <t>2016-12-22</t>
  </si>
  <si>
    <t>2017-12-23</t>
  </si>
  <si>
    <t>2014-12-24</t>
  </si>
  <si>
    <t>2015-12-24</t>
  </si>
  <si>
    <t>2016-12-23</t>
  </si>
  <si>
    <t>2017-12-24</t>
  </si>
  <si>
    <t>2014-12-25</t>
  </si>
  <si>
    <t>2015-12-25</t>
  </si>
  <si>
    <t>2016-12-24</t>
  </si>
  <si>
    <t>2017-12-25</t>
  </si>
  <si>
    <t>2014-12-26</t>
  </si>
  <si>
    <t>2015-12-26</t>
  </si>
  <si>
    <t>2016-12-25</t>
  </si>
  <si>
    <t>2017-12-26</t>
  </si>
  <si>
    <t>2014-12-27</t>
  </si>
  <si>
    <t>2015-12-27</t>
  </si>
  <si>
    <t>2016-12-26</t>
  </si>
  <si>
    <t>2017-12-27</t>
  </si>
  <si>
    <t>2014-12-28</t>
  </si>
  <si>
    <t>2015-12-28</t>
  </si>
  <si>
    <t>2016-12-27</t>
  </si>
  <si>
    <t>2017-12-28</t>
  </si>
  <si>
    <t>2014-12-29</t>
  </si>
  <si>
    <t>2015-12-29</t>
  </si>
  <si>
    <t>2016-12-28</t>
  </si>
  <si>
    <t>2017-12-29</t>
  </si>
  <si>
    <t>2014-12-30</t>
  </si>
  <si>
    <t>2015-12-30</t>
  </si>
  <si>
    <t>2016-12-29</t>
  </si>
  <si>
    <t>2017-12-30</t>
  </si>
  <si>
    <t>2014-12-31</t>
  </si>
  <si>
    <t>2015-12-31</t>
  </si>
  <si>
    <t>2016-12-30</t>
  </si>
  <si>
    <t>2017-12-31</t>
  </si>
  <si>
    <t xml:space="preserve">
Date</t>
  </si>
  <si>
    <t>Leach Pad</t>
  </si>
  <si>
    <t>Pit Durian</t>
  </si>
  <si>
    <t>Pit Osella</t>
  </si>
  <si>
    <t>Site Office (Digital)</t>
  </si>
  <si>
    <t>Site Office (Manual)</t>
  </si>
  <si>
    <t>Villa</t>
  </si>
  <si>
    <t>Daily</t>
  </si>
  <si>
    <t>MTD</t>
  </si>
  <si>
    <t>YTD</t>
  </si>
  <si>
    <t>01-Jan-2018</t>
  </si>
  <si>
    <t>02-Jan-2018</t>
  </si>
  <si>
    <t>03-Jan-2018</t>
  </si>
  <si>
    <t>04-Jan-2018</t>
  </si>
  <si>
    <t>05-Jan-2018</t>
  </si>
  <si>
    <t>06-Jan-2018</t>
  </si>
  <si>
    <t>07-Jan-2018</t>
  </si>
  <si>
    <t>08-Jan-2018</t>
  </si>
  <si>
    <t>09-Jan-2018</t>
  </si>
  <si>
    <t>10-Jan-2018</t>
  </si>
  <si>
    <t>11-Jan-2018</t>
  </si>
  <si>
    <t>12-Jan-2018</t>
  </si>
  <si>
    <t>13-Jan-2018</t>
  </si>
  <si>
    <t>14-Jan-2018</t>
  </si>
  <si>
    <t>15-Jan-2018</t>
  </si>
  <si>
    <t>16-Jan-2018</t>
  </si>
  <si>
    <t>17-Jan-2018</t>
  </si>
  <si>
    <t>18-Jan-2018</t>
  </si>
  <si>
    <t>19-Jan-2018</t>
  </si>
  <si>
    <t>20-Jan-2018</t>
  </si>
  <si>
    <t>21-Jan-2018</t>
  </si>
  <si>
    <t>22-Jan-2018</t>
  </si>
  <si>
    <t>23-Jan-2018</t>
  </si>
  <si>
    <t>24-Jan-2018</t>
  </si>
  <si>
    <t>25-Jan-2018</t>
  </si>
  <si>
    <t>26-Jan-2018</t>
  </si>
  <si>
    <t>27-Jan-2018</t>
  </si>
  <si>
    <t>28-Jan-2018</t>
  </si>
  <si>
    <t>29-Jan-2018</t>
  </si>
  <si>
    <t>30-Jan-2018</t>
  </si>
  <si>
    <t>31-Jan-2018</t>
  </si>
  <si>
    <t>01-Feb-2018</t>
  </si>
  <si>
    <t>02-Feb-2018</t>
  </si>
  <si>
    <t>03-Feb-2018</t>
  </si>
  <si>
    <t>04-Feb-2018</t>
  </si>
  <si>
    <t>05-Feb-2018</t>
  </si>
  <si>
    <t>06-Feb-2018</t>
  </si>
  <si>
    <t>07-Feb-2018</t>
  </si>
  <si>
    <t>08-Feb-2018</t>
  </si>
  <si>
    <t>09-Feb-2018</t>
  </si>
  <si>
    <t>10-Feb-2018</t>
  </si>
  <si>
    <t>11-Feb-2018</t>
  </si>
  <si>
    <t>12-Feb-2018</t>
  </si>
  <si>
    <t>13-Feb-2018</t>
  </si>
  <si>
    <t>14-Feb-2018</t>
  </si>
  <si>
    <t>15-Feb-2018</t>
  </si>
  <si>
    <t>16-Feb-2018</t>
  </si>
  <si>
    <t>17-Feb-2018</t>
  </si>
  <si>
    <t>18-Feb-2018</t>
  </si>
  <si>
    <t>19-Feb-2018</t>
  </si>
  <si>
    <t>20-Feb-2018</t>
  </si>
  <si>
    <t>21-Feb-2018</t>
  </si>
  <si>
    <t>22-Feb-2018</t>
  </si>
  <si>
    <t>23-Feb-2018</t>
  </si>
  <si>
    <t>24-Feb-2018</t>
  </si>
  <si>
    <t>25-Feb-2018</t>
  </si>
  <si>
    <t>26-Feb-2018</t>
  </si>
  <si>
    <t>27-Feb-2018</t>
  </si>
  <si>
    <t>28-Feb-2018</t>
  </si>
  <si>
    <t>01-Mar-2018</t>
  </si>
  <si>
    <t>02-Mar-2018</t>
  </si>
  <si>
    <t>03-Mar-2018</t>
  </si>
  <si>
    <t>04-Mar-2018</t>
  </si>
  <si>
    <t>05-Mar-2018</t>
  </si>
  <si>
    <t>06-Mar-2018</t>
  </si>
  <si>
    <t>07-Mar-2018</t>
  </si>
  <si>
    <t>08-Mar-2018</t>
  </si>
  <si>
    <t>09-Mar-2018</t>
  </si>
  <si>
    <t>10-Mar-2018</t>
  </si>
  <si>
    <t>11-Mar-2018</t>
  </si>
  <si>
    <t>12-Mar-2018</t>
  </si>
  <si>
    <t>13-Mar-2018</t>
  </si>
  <si>
    <t>14-Mar-2018</t>
  </si>
  <si>
    <t>15-Mar-2018</t>
  </si>
  <si>
    <t>16-Mar-2018</t>
  </si>
  <si>
    <t>17-Mar-2018</t>
  </si>
  <si>
    <t>18-Mar-2018</t>
  </si>
  <si>
    <t>19-Mar-2018</t>
  </si>
  <si>
    <t>20-Mar-2018</t>
  </si>
  <si>
    <t>21-Mar-2018</t>
  </si>
  <si>
    <t>22-Mar-2018</t>
  </si>
  <si>
    <t>23-Mar-2018</t>
  </si>
  <si>
    <t>24-Mar-2018</t>
  </si>
  <si>
    <t>25-Mar-2018</t>
  </si>
  <si>
    <t>26-Mar-2018</t>
  </si>
  <si>
    <t>27-Mar-2018</t>
  </si>
  <si>
    <t>28-Mar-2018</t>
  </si>
  <si>
    <t>29-Mar-2018</t>
  </si>
  <si>
    <t>30-Mar-2018</t>
  </si>
  <si>
    <t>31-Mar-2018</t>
  </si>
  <si>
    <t>01-Apr-2018</t>
  </si>
  <si>
    <t>02-Apr-2018</t>
  </si>
  <si>
    <t>03-Apr-2018</t>
  </si>
  <si>
    <t>04-Apr-2018</t>
  </si>
  <si>
    <t>05-Apr-2018</t>
  </si>
  <si>
    <t>06-Apr-2018</t>
  </si>
  <si>
    <t>07-Apr-2018</t>
  </si>
  <si>
    <t>08-Apr-2018</t>
  </si>
  <si>
    <t>09-Apr-2018</t>
  </si>
  <si>
    <t>10-Apr-2018</t>
  </si>
  <si>
    <t>11-Apr-2018</t>
  </si>
  <si>
    <t>12-Apr-2018</t>
  </si>
  <si>
    <t>13-Apr-2018</t>
  </si>
  <si>
    <t>14-Apr-2018</t>
  </si>
  <si>
    <t>15-Apr-2018</t>
  </si>
  <si>
    <t>16-Apr-2018</t>
  </si>
  <si>
    <t>17-Apr-2018</t>
  </si>
  <si>
    <t>18-Apr-2018</t>
  </si>
  <si>
    <t>19-Apr-2018</t>
  </si>
  <si>
    <t>20-Apr-2018</t>
  </si>
  <si>
    <t>21-Apr-2018</t>
  </si>
  <si>
    <t>22-Apr-2018</t>
  </si>
  <si>
    <t>23-Apr-2018</t>
  </si>
  <si>
    <t>24-Apr-2018</t>
  </si>
  <si>
    <t>25-Apr-2018</t>
  </si>
  <si>
    <t>26-Apr-2018</t>
  </si>
  <si>
    <t>27-Apr-2018</t>
  </si>
  <si>
    <t>28-Apr-2018</t>
  </si>
  <si>
    <t>29-Apr-2018</t>
  </si>
  <si>
    <t>30-Apr-2018</t>
  </si>
  <si>
    <t>01-May-2018</t>
  </si>
  <si>
    <t>02-May-2018</t>
  </si>
  <si>
    <t>03-May-2018</t>
  </si>
  <si>
    <t>04-May-2018</t>
  </si>
  <si>
    <t>05-May-2018</t>
  </si>
  <si>
    <t>06-May-2018</t>
  </si>
  <si>
    <t>07-May-2018</t>
  </si>
  <si>
    <t>08-May-2018</t>
  </si>
  <si>
    <t>09-May-2018</t>
  </si>
  <si>
    <t>10-May-2018</t>
  </si>
  <si>
    <t>11-May-2018</t>
  </si>
  <si>
    <t>12-May-2018</t>
  </si>
  <si>
    <t>13-May-2018</t>
  </si>
  <si>
    <t>14-May-2018</t>
  </si>
  <si>
    <t>15-May-2018</t>
  </si>
  <si>
    <t>16-May-2018</t>
  </si>
  <si>
    <t>17-May-2018</t>
  </si>
  <si>
    <t>18-May-2018</t>
  </si>
  <si>
    <t>19-May-2018</t>
  </si>
  <si>
    <t>20-May-2018</t>
  </si>
  <si>
    <t>21-May-2018</t>
  </si>
  <si>
    <t>22-May-2018</t>
  </si>
  <si>
    <t>23-May-2018</t>
  </si>
  <si>
    <t>24-May-2018</t>
  </si>
  <si>
    <t>25-May-2018</t>
  </si>
  <si>
    <t>26-May-2018</t>
  </si>
  <si>
    <t>27-May-2018</t>
  </si>
  <si>
    <t>28-May-2018</t>
  </si>
  <si>
    <t>29-May-2018</t>
  </si>
  <si>
    <t>30-May-2018</t>
  </si>
  <si>
    <t>31-May-2018</t>
  </si>
  <si>
    <t>01-Jun-2018</t>
  </si>
  <si>
    <t>02-Jun-2018</t>
  </si>
  <si>
    <t>03-Jun-2018</t>
  </si>
  <si>
    <t>04-Jun-2018</t>
  </si>
  <si>
    <t>05-Jun-2018</t>
  </si>
  <si>
    <t>06-Jun-2018</t>
  </si>
  <si>
    <t>07-Jun-2018</t>
  </si>
  <si>
    <t>08-Jun-2018</t>
  </si>
  <si>
    <t>09-Jun-2018</t>
  </si>
  <si>
    <t>10-Jun-2018</t>
  </si>
  <si>
    <t>11-Jun-2018</t>
  </si>
  <si>
    <t>12-Jun-2018</t>
  </si>
  <si>
    <t>13-Jun-2018</t>
  </si>
  <si>
    <t>14-Jun-2018</t>
  </si>
  <si>
    <t>15-Jun-2018</t>
  </si>
  <si>
    <t>16-Jun-2018</t>
  </si>
  <si>
    <t>17-Jun-2018</t>
  </si>
  <si>
    <t>18-Jun-2018</t>
  </si>
  <si>
    <t>19-Jun-2018</t>
  </si>
  <si>
    <t>20-Jun-2018</t>
  </si>
  <si>
    <t>21-Jun-2018</t>
  </si>
  <si>
    <t>22-Jun-2018</t>
  </si>
  <si>
    <t>23-Jun-2018</t>
  </si>
  <si>
    <t>24-Jun-2018</t>
  </si>
  <si>
    <t>25-Jun-2018</t>
  </si>
  <si>
    <t>26-Jun-2018</t>
  </si>
  <si>
    <t>27-Jun-2018</t>
  </si>
  <si>
    <t>28-Jun-2018</t>
  </si>
  <si>
    <t>29-Jun-2018</t>
  </si>
  <si>
    <t>30-Jun-2018</t>
  </si>
  <si>
    <t>01-Jul-2018</t>
  </si>
  <si>
    <t>02-Jul-2018</t>
  </si>
  <si>
    <t>03-Jul-2018</t>
  </si>
  <si>
    <t>04-Jul-2018</t>
  </si>
  <si>
    <t>05-Jul-2018</t>
  </si>
  <si>
    <t>06-Jul-2018</t>
  </si>
  <si>
    <t>07-Jul-2018</t>
  </si>
  <si>
    <t>08-Jul-2018</t>
  </si>
  <si>
    <t>09-Jul-2018</t>
  </si>
  <si>
    <t>10-Jul-2018</t>
  </si>
  <si>
    <t>11-Jul-2018</t>
  </si>
  <si>
    <t>12-Jul-2018</t>
  </si>
  <si>
    <t>13-Jul-2018</t>
  </si>
  <si>
    <t>14-Jul-2018</t>
  </si>
  <si>
    <t>15-Jul-2018</t>
  </si>
  <si>
    <t>16-Jul-2018</t>
  </si>
  <si>
    <t>17-Jul-2018</t>
  </si>
  <si>
    <t>18-Jul-2018</t>
  </si>
  <si>
    <t>20-Jul-2018</t>
  </si>
  <si>
    <t>21-Jul-2018</t>
  </si>
  <si>
    <t>22-Jul-2018</t>
  </si>
  <si>
    <t>23-Jul-2018</t>
  </si>
  <si>
    <t>24-Jul-2018</t>
  </si>
  <si>
    <t>25-Jul-2018</t>
  </si>
  <si>
    <t>26-Jul-2018</t>
  </si>
  <si>
    <t>27-Jul-2018</t>
  </si>
  <si>
    <t>28-Jul-2018</t>
  </si>
  <si>
    <t>29-Jul-2018</t>
  </si>
  <si>
    <t>30-Jul-2018</t>
  </si>
  <si>
    <t>31-Jul-2018</t>
  </si>
  <si>
    <t>01-Aug-2018</t>
  </si>
  <si>
    <t>02-Aug-2018</t>
  </si>
  <si>
    <t>03-Aug-2018</t>
  </si>
  <si>
    <t>04-Aug-2018</t>
  </si>
  <si>
    <t>05-Aug-2018</t>
  </si>
  <si>
    <t>06-Aug-2018</t>
  </si>
  <si>
    <t>07-Aug-2018</t>
  </si>
  <si>
    <t>08-Aug-2018</t>
  </si>
  <si>
    <t>09-Aug-2018</t>
  </si>
  <si>
    <t>10-Aug-2018</t>
  </si>
  <si>
    <t>11-Aug-2018</t>
  </si>
  <si>
    <t>12-Aug-2018</t>
  </si>
  <si>
    <t>13-Aug-2018</t>
  </si>
  <si>
    <t>14-Aug-2018</t>
  </si>
  <si>
    <t>15-Aug-2018</t>
  </si>
  <si>
    <t>16-Aug-2018</t>
  </si>
  <si>
    <t>17-Aug-2018</t>
  </si>
  <si>
    <t>18-Aug-2018</t>
  </si>
  <si>
    <t>19-Aug-2018</t>
  </si>
  <si>
    <t>20-Aug-2018</t>
  </si>
  <si>
    <t>21-Aug-2018</t>
  </si>
  <si>
    <t>22-Aug-2018</t>
  </si>
  <si>
    <t>23-Aug-2018</t>
  </si>
  <si>
    <t>24-Aug-2018</t>
  </si>
  <si>
    <t>25-Aug-2018</t>
  </si>
  <si>
    <t>26-Aug-2018</t>
  </si>
  <si>
    <t>27-Aug-2018</t>
  </si>
  <si>
    <t>28-Aug-2018</t>
  </si>
  <si>
    <t>29-Aug-2018</t>
  </si>
  <si>
    <t>30-Aug-2018</t>
  </si>
  <si>
    <t>31-Aug-2018</t>
  </si>
  <si>
    <t>01-Sep-2018</t>
  </si>
  <si>
    <t>02-Sep-2018</t>
  </si>
  <si>
    <t>03-Sep-2018</t>
  </si>
  <si>
    <t>04-Sep-2018</t>
  </si>
  <si>
    <t>05-Sep-2018</t>
  </si>
  <si>
    <t>06-Sep-2018</t>
  </si>
  <si>
    <t>07-Sep-2018</t>
  </si>
  <si>
    <t>08-Sep-2018</t>
  </si>
  <si>
    <t>09-Sep-2018</t>
  </si>
  <si>
    <t>10-Sep-2018</t>
  </si>
  <si>
    <t>11-Sep-2018</t>
  </si>
  <si>
    <t>12-Sep-2018</t>
  </si>
  <si>
    <t>13-Sep-2018</t>
  </si>
  <si>
    <t>14-Sep-2018</t>
  </si>
  <si>
    <t>15-Sep-2018</t>
  </si>
  <si>
    <t>16-Sep-2018</t>
  </si>
  <si>
    <t>17-Sep-2018</t>
  </si>
  <si>
    <t>18-Sep-2018</t>
  </si>
  <si>
    <t>19-Sep-2018</t>
  </si>
  <si>
    <t>20-Sep-2018</t>
  </si>
  <si>
    <t>21-Sep-2018</t>
  </si>
  <si>
    <t>22-Sep-2018</t>
  </si>
  <si>
    <t>23-Sep-2018</t>
  </si>
  <si>
    <t>24-Sep-2018</t>
  </si>
  <si>
    <t>25-Sep-2018</t>
  </si>
  <si>
    <t>26-Sep-2018</t>
  </si>
  <si>
    <t>27-Sep-2018</t>
  </si>
  <si>
    <t>28-Sep-2018</t>
  </si>
  <si>
    <t>29-Sep-2018</t>
  </si>
  <si>
    <t>30-Sep-2018</t>
  </si>
  <si>
    <t>01-Oct-2018</t>
  </si>
  <si>
    <t>02-Oct-2018</t>
  </si>
  <si>
    <t>03-Oct-2018</t>
  </si>
  <si>
    <t>04-Oct-2018</t>
  </si>
  <si>
    <t>05-Oct-2018</t>
  </si>
  <si>
    <t>06-Oct-2018</t>
  </si>
  <si>
    <t>07-Oct-2018</t>
  </si>
  <si>
    <t>08-Oct-2018</t>
  </si>
  <si>
    <t>09-Oct-2018</t>
  </si>
  <si>
    <t>10-Oct-2018</t>
  </si>
  <si>
    <t>11-Oct-2018</t>
  </si>
  <si>
    <t>12-Oct-2018</t>
  </si>
  <si>
    <t>13-Oct-2018</t>
  </si>
  <si>
    <t>14-Oct-2018</t>
  </si>
  <si>
    <t>15-Oct-2018</t>
  </si>
  <si>
    <t>16-Oct-2018</t>
  </si>
  <si>
    <t>17-Oct-2018</t>
  </si>
  <si>
    <t>18-Oct-2018</t>
  </si>
  <si>
    <t>19-Oct-2018</t>
  </si>
  <si>
    <t>20-Oct-2018</t>
  </si>
  <si>
    <t>21-Oct-2018</t>
  </si>
  <si>
    <t>22-Oct-2018</t>
  </si>
  <si>
    <t>23-Oct-2018</t>
  </si>
  <si>
    <t>24-Oct-2018</t>
  </si>
  <si>
    <t>25-Oct-2018</t>
  </si>
  <si>
    <t>26-Oct-2018</t>
  </si>
  <si>
    <t>27-Oct-2018</t>
  </si>
  <si>
    <t>28-Oct-2018</t>
  </si>
  <si>
    <t>29-Oct-2018</t>
  </si>
  <si>
    <t>30-Oct-2018</t>
  </si>
  <si>
    <t>31-Oct-2018</t>
  </si>
  <si>
    <t>01-Nov-2018</t>
  </si>
  <si>
    <t>03-Nov-2018</t>
  </si>
  <si>
    <t>04-Nov-2018</t>
  </si>
  <si>
    <t>05-Nov-2018</t>
  </si>
  <si>
    <t>06-Nov-2018</t>
  </si>
  <si>
    <t>07-Nov-2018</t>
  </si>
  <si>
    <t>08-Nov-2018</t>
  </si>
  <si>
    <t>09-Nov-2018</t>
  </si>
  <si>
    <t>10-Nov-2018</t>
  </si>
  <si>
    <t>11-Nov-2018</t>
  </si>
  <si>
    <t>12-Nov-2018</t>
  </si>
  <si>
    <t>13-Nov-2018</t>
  </si>
  <si>
    <t>14-Nov-2018</t>
  </si>
  <si>
    <t>15-Nov-2018</t>
  </si>
  <si>
    <t>16-Nov-2018</t>
  </si>
  <si>
    <t>17-Nov-2018</t>
  </si>
  <si>
    <t>18-Nov-2018</t>
  </si>
  <si>
    <t>19-Nov-2018</t>
  </si>
  <si>
    <t>20-Nov-2018</t>
  </si>
  <si>
    <t>21-Nov-2018</t>
  </si>
  <si>
    <t>22-Nov-2018</t>
  </si>
  <si>
    <t>23-Nov-2018</t>
  </si>
  <si>
    <t>24-Nov-2018</t>
  </si>
  <si>
    <t>25-Nov-2018</t>
  </si>
  <si>
    <t>26-Nov-2018</t>
  </si>
  <si>
    <t>27-Nov-2018</t>
  </si>
  <si>
    <t>28-Nov-2018</t>
  </si>
  <si>
    <t>29-Nov-2018</t>
  </si>
  <si>
    <t>30-Nov-2018</t>
  </si>
  <si>
    <t>01-Dec-2018</t>
  </si>
  <si>
    <t>02-Dec-2018</t>
  </si>
  <si>
    <t>03-Dec-2018</t>
  </si>
  <si>
    <t>04-Dec-2018</t>
  </si>
  <si>
    <t>05-Dec-2018</t>
  </si>
  <si>
    <t>06-Dec-2018</t>
  </si>
  <si>
    <t>07-Dec-2018</t>
  </si>
  <si>
    <t>08-Dec-2018</t>
  </si>
  <si>
    <t>09-Dec-2018</t>
  </si>
  <si>
    <t>10-Dec-2018</t>
  </si>
  <si>
    <t>11-Dec-2018</t>
  </si>
  <si>
    <t>12-Dec-2018</t>
  </si>
  <si>
    <t>13-Dec-2018</t>
  </si>
  <si>
    <t>14-Dec-2018</t>
  </si>
  <si>
    <t>15-Dec-2018</t>
  </si>
  <si>
    <t>16-Dec-2018</t>
  </si>
  <si>
    <t>17-Dec-2018</t>
  </si>
  <si>
    <t>18-Dec-2018</t>
  </si>
  <si>
    <t>19-Dec-2018</t>
  </si>
  <si>
    <t>20-Dec-2018</t>
  </si>
  <si>
    <t>21-Dec-2018</t>
  </si>
  <si>
    <t>22-Dec-2018</t>
  </si>
  <si>
    <t>23-Dec-2018</t>
  </si>
  <si>
    <t>24-Dec-2018</t>
  </si>
  <si>
    <t>25-Dec-2018</t>
  </si>
  <si>
    <t>26-Dec-2018</t>
  </si>
  <si>
    <t>27-Dec-2018</t>
  </si>
  <si>
    <t>28-Dec-2018</t>
  </si>
  <si>
    <t>29-Dec-2018</t>
  </si>
  <si>
    <t>30-Dec-2018</t>
  </si>
  <si>
    <t>31-Dec-2018</t>
  </si>
  <si>
    <t>01-Jan-2019</t>
  </si>
  <si>
    <t>02-Jan-2019</t>
  </si>
  <si>
    <t>03-Jan-2019</t>
  </si>
  <si>
    <t>04-Jan-2019</t>
  </si>
  <si>
    <t>05-Jan-2019</t>
  </si>
  <si>
    <t>06-Jan-2019</t>
  </si>
  <si>
    <t>07-Jan-2019</t>
  </si>
  <si>
    <t>08-Jan-2019</t>
  </si>
  <si>
    <t>09-Jan-2019</t>
  </si>
  <si>
    <t>10-Jan-2019</t>
  </si>
  <si>
    <t>11-Jan-2019</t>
  </si>
  <si>
    <t>12-Jan-2019</t>
  </si>
  <si>
    <t>13-Jan-2019</t>
  </si>
  <si>
    <t>14-Jan-2019</t>
  </si>
  <si>
    <t>15-Jan-2019</t>
  </si>
  <si>
    <t>16-Jan-2019</t>
  </si>
  <si>
    <t>17-Jan-2019</t>
  </si>
  <si>
    <t>18-Jan-2019</t>
  </si>
  <si>
    <t>19-Jan-2019</t>
  </si>
  <si>
    <t>20-Jan-2019</t>
  </si>
  <si>
    <t>21-Jan-2019</t>
  </si>
  <si>
    <t>22-Jan-2019</t>
  </si>
  <si>
    <t>23-Jan-2019</t>
  </si>
  <si>
    <t>24-Jan-2019</t>
  </si>
  <si>
    <t>25-Jan-2019</t>
  </si>
  <si>
    <t>26-Jan-2019</t>
  </si>
  <si>
    <t>27-Jan-2019</t>
  </si>
  <si>
    <t>28-Jan-2019</t>
  </si>
  <si>
    <t>29-Jan-2019</t>
  </si>
  <si>
    <t>30-Jan-2019</t>
  </si>
  <si>
    <t>31-Jan-2019</t>
  </si>
  <si>
    <t>01-Feb-2019</t>
  </si>
  <si>
    <t>02-Feb-2019</t>
  </si>
  <si>
    <t>03-Feb-2019</t>
  </si>
  <si>
    <t>04-Feb-2019</t>
  </si>
  <si>
    <t>05-Feb-2019</t>
  </si>
  <si>
    <t>06-Feb-2019</t>
  </si>
  <si>
    <t>07-Feb-2019</t>
  </si>
  <si>
    <t>08-Feb-2019</t>
  </si>
  <si>
    <t>09-Feb-2019</t>
  </si>
  <si>
    <t>10-Feb-2019</t>
  </si>
  <si>
    <t>11-Feb-2019</t>
  </si>
  <si>
    <t>12-Feb-2019</t>
  </si>
  <si>
    <t>13-Feb-2019</t>
  </si>
  <si>
    <t>14-Feb-2019</t>
  </si>
  <si>
    <t>15-Feb-2019</t>
  </si>
  <si>
    <t>16-Feb-2019</t>
  </si>
  <si>
    <t>17-Feb-2019</t>
  </si>
  <si>
    <t>18-Feb-2019</t>
  </si>
  <si>
    <t>19-Feb-2019</t>
  </si>
  <si>
    <t>20-Feb-2019</t>
  </si>
  <si>
    <t>21-Feb-2019</t>
  </si>
  <si>
    <t>23-Feb-2019</t>
  </si>
  <si>
    <t>24-Feb-2019</t>
  </si>
  <si>
    <t>25-Feb-2019</t>
  </si>
  <si>
    <t>26-Feb-2019</t>
  </si>
  <si>
    <t>27-Feb-2019</t>
  </si>
  <si>
    <t>28-Feb-2019</t>
  </si>
  <si>
    <t>01-Mar-2019</t>
  </si>
  <si>
    <t>02-Mar-2019</t>
  </si>
  <si>
    <t>03-Mar-2019</t>
  </si>
  <si>
    <t>04-Mar-2019</t>
  </si>
  <si>
    <t>05-Mar-2019</t>
  </si>
  <si>
    <t>06-Mar-2019</t>
  </si>
  <si>
    <t>07-Mar-2019</t>
  </si>
  <si>
    <t>08-Mar-2019</t>
  </si>
  <si>
    <t>09-Mar-2019</t>
  </si>
  <si>
    <t>10-Mar-2019</t>
  </si>
  <si>
    <t>11-Mar-2019</t>
  </si>
  <si>
    <t>12-Mar-2019</t>
  </si>
  <si>
    <t>13-Mar-2019</t>
  </si>
  <si>
    <t>14-Mar-2019</t>
  </si>
  <si>
    <t>15-Mar-2019</t>
  </si>
  <si>
    <t>16-Mar-2019</t>
  </si>
  <si>
    <t>17-Mar-2019</t>
  </si>
  <si>
    <t>18-Mar-2019</t>
  </si>
  <si>
    <t>19-Mar-2019</t>
  </si>
  <si>
    <t>20-Mar-2019</t>
  </si>
  <si>
    <t>21-Mar-2019</t>
  </si>
  <si>
    <t>22-Mar-2019</t>
  </si>
  <si>
    <t>23-Mar-2019</t>
  </si>
  <si>
    <t>24-Mar-2019</t>
  </si>
  <si>
    <t>25-Mar-2019</t>
  </si>
  <si>
    <t>26-Mar-2019</t>
  </si>
  <si>
    <t>27-Mar-2019</t>
  </si>
  <si>
    <t>28-Mar-2019</t>
  </si>
  <si>
    <t>29-Mar-2019</t>
  </si>
  <si>
    <t>30-Mar-2019</t>
  </si>
  <si>
    <t>31-Mar-2019</t>
  </si>
  <si>
    <t>01-Apr-2019</t>
  </si>
  <si>
    <t>02-Apr-2019</t>
  </si>
  <si>
    <t>03-Apr-2019</t>
  </si>
  <si>
    <t>04-Apr-2019</t>
  </si>
  <si>
    <t>05-Apr-2019</t>
  </si>
  <si>
    <t>06-Apr-2019</t>
  </si>
  <si>
    <t>07-Apr-2019</t>
  </si>
  <si>
    <t>08-Apr-2019</t>
  </si>
  <si>
    <t>09-Apr-2019</t>
  </si>
  <si>
    <t>10-Apr-2019</t>
  </si>
  <si>
    <t>11-Apr-2019</t>
  </si>
  <si>
    <t>12-Apr-2019</t>
  </si>
  <si>
    <t>13-Apr-2019</t>
  </si>
  <si>
    <t>14-Apr-2019</t>
  </si>
  <si>
    <t>15-Apr-2019</t>
  </si>
  <si>
    <t>16-Apr-2019</t>
  </si>
  <si>
    <t>17-Apr-2019</t>
  </si>
  <si>
    <t>18-Apr-2019</t>
  </si>
  <si>
    <t>19-Apr-2019</t>
  </si>
  <si>
    <t>20-Apr-2019</t>
  </si>
  <si>
    <t>21-Apr-2019</t>
  </si>
  <si>
    <t>22-Apr-2019</t>
  </si>
  <si>
    <t>23-Apr-2019</t>
  </si>
  <si>
    <t>24-Apr-2019</t>
  </si>
  <si>
    <t>25-Apr-2019</t>
  </si>
  <si>
    <t>26-Apr-2019</t>
  </si>
  <si>
    <t>27-Apr-2019</t>
  </si>
  <si>
    <t>28-Apr-2019</t>
  </si>
  <si>
    <t>29-Apr-2019</t>
  </si>
  <si>
    <t>30-Apr-2019</t>
  </si>
  <si>
    <t>01-May-2019</t>
  </si>
  <si>
    <t>02-May-2019</t>
  </si>
  <si>
    <t>03-May-2019</t>
  </si>
  <si>
    <t>04-May-2019</t>
  </si>
  <si>
    <t>05-May-2019</t>
  </si>
  <si>
    <t>07-May-2019</t>
  </si>
  <si>
    <t>08-May-2019</t>
  </si>
  <si>
    <t>09-May-2019</t>
  </si>
  <si>
    <t>10-May-2019</t>
  </si>
  <si>
    <t>11-May-2019</t>
  </si>
  <si>
    <t>12-May-2019</t>
  </si>
  <si>
    <t>13-May-2019</t>
  </si>
  <si>
    <t>14-May-2019</t>
  </si>
  <si>
    <t>15-May-2019</t>
  </si>
  <si>
    <t>16-May-2019</t>
  </si>
  <si>
    <t>17-May-2019</t>
  </si>
  <si>
    <t>18-May-2019</t>
  </si>
  <si>
    <t>19-May-2019</t>
  </si>
  <si>
    <t>20-May-2019</t>
  </si>
  <si>
    <t>21-May-2019</t>
  </si>
  <si>
    <t>22-May-2019</t>
  </si>
  <si>
    <t>23-May-2019</t>
  </si>
  <si>
    <t>24-May-2019</t>
  </si>
  <si>
    <t>25-May-2019</t>
  </si>
  <si>
    <t>26-May-2019</t>
  </si>
  <si>
    <t>27-May-2019</t>
  </si>
  <si>
    <t>28-May-2019</t>
  </si>
  <si>
    <t>29-May-2019</t>
  </si>
  <si>
    <t>30-May-2019</t>
  </si>
  <si>
    <t>31-May-2019</t>
  </si>
  <si>
    <t>01-Jun-2019</t>
  </si>
  <si>
    <t>02-Jun-2019</t>
  </si>
  <si>
    <t>03-Jun-2019</t>
  </si>
  <si>
    <t>04-Jun-2019</t>
  </si>
  <si>
    <t>05-Jun-2019</t>
  </si>
  <si>
    <t>06-Jun-2019</t>
  </si>
  <si>
    <t>07-Jun-2019</t>
  </si>
  <si>
    <t>08-Jun-2019</t>
  </si>
  <si>
    <t>09-Jun-2019</t>
  </si>
  <si>
    <t>10-Jun-2019</t>
  </si>
  <si>
    <t>11-Jun-2019</t>
  </si>
  <si>
    <t>12-Jun-2019</t>
  </si>
  <si>
    <t>13-Jun-2019</t>
  </si>
  <si>
    <t>14-Jun-2019</t>
  </si>
  <si>
    <t>15-Jun-2019</t>
  </si>
  <si>
    <t>16-Jun-2019</t>
  </si>
  <si>
    <t>17-Jun-2019</t>
  </si>
  <si>
    <t>18-Jun-2019</t>
  </si>
  <si>
    <t>19-Jun-2019</t>
  </si>
  <si>
    <t>20-Jun-2019</t>
  </si>
  <si>
    <t>21-Jun-2019</t>
  </si>
  <si>
    <t>22-Jun-2019</t>
  </si>
  <si>
    <t>23-Jun-2019</t>
  </si>
  <si>
    <t>24-Jun-2019</t>
  </si>
  <si>
    <t>25-Jun-2019</t>
  </si>
  <si>
    <t>26-Jun-2019</t>
  </si>
  <si>
    <t>27-Jun-2019</t>
  </si>
  <si>
    <t>28-Jun-2019</t>
  </si>
  <si>
    <t>29-Jun-2019</t>
  </si>
  <si>
    <t>30-Jun-2019</t>
  </si>
  <si>
    <t>01-Jul-2019</t>
  </si>
  <si>
    <t>02-Jul-2019</t>
  </si>
  <si>
    <t>03-Jul-2019</t>
  </si>
  <si>
    <t>04-Jul-2019</t>
  </si>
  <si>
    <t>05-Jul-2019</t>
  </si>
  <si>
    <t>06-Jul-2019</t>
  </si>
  <si>
    <t>07-Jul-2019</t>
  </si>
  <si>
    <t>08-Jul-2019</t>
  </si>
  <si>
    <t>09-Jul-2019</t>
  </si>
  <si>
    <t>10-Jul-2019</t>
  </si>
  <si>
    <t>11-Jul-2019</t>
  </si>
  <si>
    <t>12-Jul-2019</t>
  </si>
  <si>
    <t>13-Jul-2019</t>
  </si>
  <si>
    <t>14-Jul-2019</t>
  </si>
  <si>
    <t>15-Jul-2019</t>
  </si>
  <si>
    <t>16-Jul-2019</t>
  </si>
  <si>
    <t>17-Jul-2019</t>
  </si>
  <si>
    <t>18-Jul-2019</t>
  </si>
  <si>
    <t>19-Jul-2019</t>
  </si>
  <si>
    <t>20-Jul-2019</t>
  </si>
  <si>
    <t>21-Jul-2019</t>
  </si>
  <si>
    <t>22-Jul-2019</t>
  </si>
  <si>
    <t>23-Jul-2019</t>
  </si>
  <si>
    <t>24-Jul-2019</t>
  </si>
  <si>
    <t>25-Jul-2019</t>
  </si>
  <si>
    <t>26-Jul-2019</t>
  </si>
  <si>
    <t>27-Jul-2019</t>
  </si>
  <si>
    <t>28-Jul-2019</t>
  </si>
  <si>
    <t>29-Jul-2019</t>
  </si>
  <si>
    <t>30-Jul-2019</t>
  </si>
  <si>
    <t>31-Jul-2019</t>
  </si>
  <si>
    <t>01-Aug-2019</t>
  </si>
  <si>
    <t>02-Aug-2019</t>
  </si>
  <si>
    <t>03-Aug-2019</t>
  </si>
  <si>
    <t>04-Aug-2019</t>
  </si>
  <si>
    <t>05-Aug-2019</t>
  </si>
  <si>
    <t>06-Aug-2019</t>
  </si>
  <si>
    <t>07-Aug-2019</t>
  </si>
  <si>
    <t>08-Aug-2019</t>
  </si>
  <si>
    <t>09-Aug-2019</t>
  </si>
  <si>
    <t>10-Aug-2019</t>
  </si>
  <si>
    <t>11-Aug-2019</t>
  </si>
  <si>
    <t>12-Aug-2019</t>
  </si>
  <si>
    <t>13-Aug-2019</t>
  </si>
  <si>
    <t>14-Aug-2019</t>
  </si>
  <si>
    <t>15-Aug-2019</t>
  </si>
  <si>
    <t>16-Aug-2019</t>
  </si>
  <si>
    <t>17-Aug-2019</t>
  </si>
  <si>
    <t>18-Aug-2019</t>
  </si>
  <si>
    <t>19-Aug-2019</t>
  </si>
  <si>
    <t>20-Aug-2019</t>
  </si>
  <si>
    <t>21-Aug-2019</t>
  </si>
  <si>
    <t>22-Aug-2019</t>
  </si>
  <si>
    <t>23-Aug-2019</t>
  </si>
  <si>
    <t>24-Aug-2019</t>
  </si>
  <si>
    <t>25-Aug-2019</t>
  </si>
  <si>
    <t>26-Aug-2019</t>
  </si>
  <si>
    <t>27-Aug-2019</t>
  </si>
  <si>
    <t>28-Aug-2019</t>
  </si>
  <si>
    <t>29-Aug-2019</t>
  </si>
  <si>
    <t>30-Aug-2019</t>
  </si>
  <si>
    <t>31-Aug-2019</t>
  </si>
  <si>
    <t>01-Sep-2019</t>
  </si>
  <si>
    <t>02-Sep-2019</t>
  </si>
  <si>
    <t>03-Sep-2019</t>
  </si>
  <si>
    <t>04-Sep-2019</t>
  </si>
  <si>
    <t>05-Sep-2019</t>
  </si>
  <si>
    <t>06-Sep-2019</t>
  </si>
  <si>
    <t>07-Sep-2019</t>
  </si>
  <si>
    <t>08-Sep-2019</t>
  </si>
  <si>
    <t>09-Sep-2019</t>
  </si>
  <si>
    <t>10-Sep-2019</t>
  </si>
  <si>
    <t>11-Sep-2019</t>
  </si>
  <si>
    <t>12-Sep-2019</t>
  </si>
  <si>
    <t>13-Sep-2019</t>
  </si>
  <si>
    <t>14-Sep-2019</t>
  </si>
  <si>
    <t>15-Sep-2019</t>
  </si>
  <si>
    <t>16-Sep-2019</t>
  </si>
  <si>
    <t>17-Sep-2019</t>
  </si>
  <si>
    <t>18-Sep-2019</t>
  </si>
  <si>
    <t>19-Sep-2019</t>
  </si>
  <si>
    <t>20-Sep-2019</t>
  </si>
  <si>
    <t>21-Sep-2019</t>
  </si>
  <si>
    <t>22-Sep-2019</t>
  </si>
  <si>
    <t>23-Sep-2019</t>
  </si>
  <si>
    <t>24-Sep-2019</t>
  </si>
  <si>
    <t>25-Sep-2019</t>
  </si>
  <si>
    <t>26-Sep-2019</t>
  </si>
  <si>
    <t>27-Sep-2019</t>
  </si>
  <si>
    <t>28-Sep-2019</t>
  </si>
  <si>
    <t>29-Sep-2019</t>
  </si>
  <si>
    <t>30-Sep-2019</t>
  </si>
  <si>
    <t>01-Oct-2019</t>
  </si>
  <si>
    <t>02-Oct-2019</t>
  </si>
  <si>
    <t>03-Oct-2019</t>
  </si>
  <si>
    <t>04-Oct-2019</t>
  </si>
  <si>
    <t>05-Oct-2019</t>
  </si>
  <si>
    <t>06-Oct-2019</t>
  </si>
  <si>
    <t>07-Oct-2019</t>
  </si>
  <si>
    <t>08-Oct-2019</t>
  </si>
  <si>
    <t>09-Oct-2019</t>
  </si>
  <si>
    <t>10-Oct-2019</t>
  </si>
  <si>
    <t>11-Oct-2019</t>
  </si>
  <si>
    <t>12-Oct-2019</t>
  </si>
  <si>
    <t>13-Oct-2019</t>
  </si>
  <si>
    <t>14-Oct-2019</t>
  </si>
  <si>
    <t>15-Oct-2019</t>
  </si>
  <si>
    <t>16-Oct-2019</t>
  </si>
  <si>
    <t>17-Oct-2019</t>
  </si>
  <si>
    <t>18-Oct-2019</t>
  </si>
  <si>
    <t>19-Oct-2019</t>
  </si>
  <si>
    <t>20-Oct-2019</t>
  </si>
  <si>
    <t>21-Oct-2019</t>
  </si>
  <si>
    <t>22-Oct-2019</t>
  </si>
  <si>
    <t>23-Oct-2019</t>
  </si>
  <si>
    <t>24-Oct-2019</t>
  </si>
  <si>
    <t>25-Oct-2019</t>
  </si>
  <si>
    <t>26-Oct-2019</t>
  </si>
  <si>
    <t>27-Oct-2019</t>
  </si>
  <si>
    <t>28-Oct-2019</t>
  </si>
  <si>
    <t>29-Oct-2019</t>
  </si>
  <si>
    <t>30-Oct-2019</t>
  </si>
  <si>
    <t>31-Oct-2019</t>
  </si>
  <si>
    <t>01-Nov-2019</t>
  </si>
  <si>
    <t>02-Nov-2019</t>
  </si>
  <si>
    <t>03-Nov-2019</t>
  </si>
  <si>
    <t>04-Nov-2019</t>
  </si>
  <si>
    <t>05-Nov-2019</t>
  </si>
  <si>
    <t>06-Nov-2019</t>
  </si>
  <si>
    <t>07-Nov-2019</t>
  </si>
  <si>
    <t>08-Nov-2019</t>
  </si>
  <si>
    <t>09-Nov-2019</t>
  </si>
  <si>
    <t>10-Nov-2019</t>
  </si>
  <si>
    <t>11-Nov-2019</t>
  </si>
  <si>
    <t>12-Nov-2019</t>
  </si>
  <si>
    <t>13-Nov-2019</t>
  </si>
  <si>
    <t>14-Nov-2019</t>
  </si>
  <si>
    <t>15-Nov-2019</t>
  </si>
  <si>
    <t>16-Nov-2019</t>
  </si>
  <si>
    <t>17-Nov-2019</t>
  </si>
  <si>
    <t>18-Nov-2019</t>
  </si>
  <si>
    <t>19-Nov-2019</t>
  </si>
  <si>
    <t>20-Nov-2019</t>
  </si>
  <si>
    <t>21-Nov-2019</t>
  </si>
  <si>
    <t>22-Nov-2019</t>
  </si>
  <si>
    <t>23-Nov-2019</t>
  </si>
  <si>
    <t>24-Nov-2019</t>
  </si>
  <si>
    <t>25-Nov-2019</t>
  </si>
  <si>
    <t>26-Nov-2019</t>
  </si>
  <si>
    <t>27-Nov-2019</t>
  </si>
  <si>
    <t>28-Nov-2019</t>
  </si>
  <si>
    <t>29-Nov-2019</t>
  </si>
  <si>
    <t>30-Nov-2019</t>
  </si>
  <si>
    <t>01-Dec-2019</t>
  </si>
  <si>
    <t>02-Dec-2019</t>
  </si>
  <si>
    <t>03-Dec-2019</t>
  </si>
  <si>
    <t>04-Dec-2019</t>
  </si>
  <si>
    <t>05-Dec-2019</t>
  </si>
  <si>
    <t>06-Dec-2019</t>
  </si>
  <si>
    <t>07-Dec-2019</t>
  </si>
  <si>
    <t>08-Dec-2019</t>
  </si>
  <si>
    <t>09-Dec-2019</t>
  </si>
  <si>
    <t>10-Dec-2019</t>
  </si>
  <si>
    <t>11-Dec-2019</t>
  </si>
  <si>
    <t>12-Dec-2019</t>
  </si>
  <si>
    <t>13-Dec-2019</t>
  </si>
  <si>
    <t>14-Dec-2019</t>
  </si>
  <si>
    <t>15-Dec-2019</t>
  </si>
  <si>
    <t>16-Dec-2019</t>
  </si>
  <si>
    <t>17-Dec-2019</t>
  </si>
  <si>
    <t>18-Dec-2019</t>
  </si>
  <si>
    <t>19-Dec-2019</t>
  </si>
  <si>
    <t>20-Dec-2019</t>
  </si>
  <si>
    <t>21-Dec-2019</t>
  </si>
  <si>
    <t>22-Dec-2019</t>
  </si>
  <si>
    <t>23-Dec-2019</t>
  </si>
  <si>
    <t>24-Dec-2019</t>
  </si>
  <si>
    <t>25-Dec-2019</t>
  </si>
  <si>
    <t>26-Dec-2019</t>
  </si>
  <si>
    <t>27-Dec-2019</t>
  </si>
  <si>
    <t>28-Dec-2019</t>
  </si>
  <si>
    <t>29-Dec-2019</t>
  </si>
  <si>
    <t>30-Dec-2019</t>
  </si>
  <si>
    <t>01-Jan-2020</t>
  </si>
  <si>
    <t>02-Jan-2020</t>
  </si>
  <si>
    <t>03-Jan-2020</t>
  </si>
  <si>
    <t>04-Jan-2020</t>
  </si>
  <si>
    <t>05-Jan-2020</t>
  </si>
  <si>
    <t>06-Jan-2020</t>
  </si>
  <si>
    <t>07-Jan-2020</t>
  </si>
  <si>
    <t>08-Jan-2020</t>
  </si>
  <si>
    <t>09-Jan-2020</t>
  </si>
  <si>
    <t>10-Jan-2020</t>
  </si>
  <si>
    <t>11-Jan-2020</t>
  </si>
  <si>
    <t>12-Jan-2020</t>
  </si>
  <si>
    <t>13-Jan-2020</t>
  </si>
  <si>
    <t>14-Jan-2020</t>
  </si>
  <si>
    <t>15-Jan-2020</t>
  </si>
  <si>
    <t>16-Jan-2020</t>
  </si>
  <si>
    <t>17-Jan-2020</t>
  </si>
  <si>
    <t>18-Jan-2020</t>
  </si>
  <si>
    <t>19-Jan-2020</t>
  </si>
  <si>
    <t>20-Jan-2020</t>
  </si>
  <si>
    <t>21-Jan-2020</t>
  </si>
  <si>
    <t>22-Jan-2020</t>
  </si>
  <si>
    <t>23-Jan-2020</t>
  </si>
  <si>
    <t>24-Jan-2020</t>
  </si>
  <si>
    <t>25-Jan-2020</t>
  </si>
  <si>
    <t>26-Jan-2020</t>
  </si>
  <si>
    <t>27-Jan-2020</t>
  </si>
  <si>
    <t>28-Jan-2020</t>
  </si>
  <si>
    <t>29-Jan-2020</t>
  </si>
  <si>
    <t>30-Jan-2020</t>
  </si>
  <si>
    <t>31-Jan-2020</t>
  </si>
  <si>
    <t>01-Feb-2020</t>
  </si>
  <si>
    <t>02-Feb-2020</t>
  </si>
  <si>
    <t>03-Feb-2020</t>
  </si>
  <si>
    <t>04-Feb-2020</t>
  </si>
  <si>
    <t>05-Feb-2020</t>
  </si>
  <si>
    <t>07-Feb-2020</t>
  </si>
  <si>
    <t>09-Feb-2020</t>
  </si>
  <si>
    <t>10-Feb-2020</t>
  </si>
  <si>
    <t>11-Feb-2020</t>
  </si>
  <si>
    <t>12-Feb-2020</t>
  </si>
  <si>
    <t>13-Feb-2020</t>
  </si>
  <si>
    <t>14-Feb-2020</t>
  </si>
  <si>
    <t>15-Feb-2020</t>
  </si>
  <si>
    <t>16-Feb-2020</t>
  </si>
  <si>
    <t>17-Feb-2020</t>
  </si>
  <si>
    <t>18-Feb-2020</t>
  </si>
  <si>
    <t>19-Feb-2020</t>
  </si>
  <si>
    <t>20-Feb-2020</t>
  </si>
  <si>
    <t>21-Feb-2020</t>
  </si>
  <si>
    <t>22-Feb-2020</t>
  </si>
  <si>
    <t>23-Feb-2020</t>
  </si>
  <si>
    <t>24-Feb-2020</t>
  </si>
  <si>
    <t>25-Feb-2020</t>
  </si>
  <si>
    <t>26-Feb-2020</t>
  </si>
  <si>
    <t>27-Feb-2020</t>
  </si>
  <si>
    <t>28-Feb-2020</t>
  </si>
  <si>
    <t>29-Feb-2020</t>
  </si>
  <si>
    <t>01-Mar-2020</t>
  </si>
  <si>
    <t>02-Mar-2020</t>
  </si>
  <si>
    <t>03-Mar-2020</t>
  </si>
  <si>
    <t>04-Mar-2020</t>
  </si>
  <si>
    <t>05-Mar-2020</t>
  </si>
  <si>
    <t>06-Mar-2020</t>
  </si>
  <si>
    <t>07-Mar-2020</t>
  </si>
  <si>
    <t>08-Mar-2020</t>
  </si>
  <si>
    <t>09-Mar-2020</t>
  </si>
  <si>
    <t>10-Mar-2020</t>
  </si>
  <si>
    <t>11-Mar-2020</t>
  </si>
  <si>
    <t>12-Mar-2020</t>
  </si>
  <si>
    <t>13-Mar-2020</t>
  </si>
  <si>
    <t>14-Mar-2020</t>
  </si>
  <si>
    <t>15-Mar-2020</t>
  </si>
  <si>
    <t>16-Mar-2020</t>
  </si>
  <si>
    <t>17-Mar-2020</t>
  </si>
  <si>
    <t>18-Mar-2020</t>
  </si>
  <si>
    <t>19-Mar-2020</t>
  </si>
  <si>
    <t>20-Mar-2020</t>
  </si>
  <si>
    <t>21-Mar-2020</t>
  </si>
  <si>
    <t>22-Mar-2020</t>
  </si>
  <si>
    <t>23-Mar-2020</t>
  </si>
  <si>
    <t>24-Mar-2020</t>
  </si>
  <si>
    <t>25-Mar-2020</t>
  </si>
  <si>
    <t>26-Mar-2020</t>
  </si>
  <si>
    <t>27-Mar-2020</t>
  </si>
  <si>
    <t>28-Mar-2020</t>
  </si>
  <si>
    <t>29-Mar-2020</t>
  </si>
  <si>
    <t>30-Mar-2020</t>
  </si>
  <si>
    <t>31-Mar-2020</t>
  </si>
  <si>
    <t>01-Apr-2020</t>
  </si>
  <si>
    <t>02-Apr-2020</t>
  </si>
  <si>
    <t>03-Apr-2020</t>
  </si>
  <si>
    <t>04-Apr-2020</t>
  </si>
  <si>
    <t>05-Apr-2020</t>
  </si>
  <si>
    <t>06-Apr-2020</t>
  </si>
  <si>
    <t>07-Apr-2020</t>
  </si>
  <si>
    <t>08-Apr-2020</t>
  </si>
  <si>
    <t>09-Apr-2020</t>
  </si>
  <si>
    <t>10-Apr-2020</t>
  </si>
  <si>
    <t>11-Apr-2020</t>
  </si>
  <si>
    <t>12-Apr-2020</t>
  </si>
  <si>
    <t>13-Apr-2020</t>
  </si>
  <si>
    <t>14-Apr-2020</t>
  </si>
  <si>
    <t>15-Apr-2020</t>
  </si>
  <si>
    <t>16-Apr-2020</t>
  </si>
  <si>
    <t>17-Apr-2020</t>
  </si>
  <si>
    <t>18-Apr-2020</t>
  </si>
  <si>
    <t>19-Apr-2020</t>
  </si>
  <si>
    <t>20-Apr-2020</t>
  </si>
  <si>
    <t>21-Apr-2020</t>
  </si>
  <si>
    <t>22-Apr-2020</t>
  </si>
  <si>
    <t>23-Apr-2020</t>
  </si>
  <si>
    <t>24-Apr-2020</t>
  </si>
  <si>
    <t>25-Apr-2020</t>
  </si>
  <si>
    <t>26-Apr-2020</t>
  </si>
  <si>
    <t>27-Apr-2020</t>
  </si>
  <si>
    <t>28-Apr-2020</t>
  </si>
  <si>
    <t>29-Apr-2020</t>
  </si>
  <si>
    <t>30-Apr-2020</t>
  </si>
  <si>
    <t>01-May-2020</t>
  </si>
  <si>
    <t>02-May-2020</t>
  </si>
  <si>
    <t>03-May-2020</t>
  </si>
  <si>
    <t>04-May-2020</t>
  </si>
  <si>
    <t>05-May-2020</t>
  </si>
  <si>
    <t>06-May-2020</t>
  </si>
  <si>
    <t>07-May-2020</t>
  </si>
  <si>
    <t>08-May-2020</t>
  </si>
  <si>
    <t>09-May-2020</t>
  </si>
  <si>
    <t>10-May-2020</t>
  </si>
  <si>
    <t>11-May-2020</t>
  </si>
  <si>
    <t>12-May-2020</t>
  </si>
  <si>
    <t>13-May-2020</t>
  </si>
  <si>
    <t>14-May-2020</t>
  </si>
  <si>
    <t>15-May-2020</t>
  </si>
  <si>
    <t>16-May-2020</t>
  </si>
  <si>
    <t>17-May-2020</t>
  </si>
  <si>
    <t>18-May-2020</t>
  </si>
  <si>
    <t>19-May-2020</t>
  </si>
  <si>
    <t>20-May-2020</t>
  </si>
  <si>
    <t>21-May-2020</t>
  </si>
  <si>
    <t>22-May-2020</t>
  </si>
  <si>
    <t>23-May-2020</t>
  </si>
  <si>
    <t>24-May-2020</t>
  </si>
  <si>
    <t>25-May-2020</t>
  </si>
  <si>
    <t>26-May-2020</t>
  </si>
  <si>
    <t>27-May-2020</t>
  </si>
  <si>
    <t>28-May-2020</t>
  </si>
  <si>
    <t>29-May-2020</t>
  </si>
  <si>
    <t>30-May-2020</t>
  </si>
  <si>
    <t>31-May-2020</t>
  </si>
  <si>
    <t>01-Jun-2020</t>
  </si>
  <si>
    <t>02-Jun-2020</t>
  </si>
  <si>
    <t>03-Jun-2020</t>
  </si>
  <si>
    <t>04-Jun-2020</t>
  </si>
  <si>
    <t>05-Jun-2020</t>
  </si>
  <si>
    <t>06-Jun-2020</t>
  </si>
  <si>
    <t>07-Jun-2020</t>
  </si>
  <si>
    <t>08-Jun-2020</t>
  </si>
  <si>
    <t>09-Jun-2020</t>
  </si>
  <si>
    <t>10-Jun-2020</t>
  </si>
  <si>
    <t>11-Jun-2020</t>
  </si>
  <si>
    <t>12-Jun-2020</t>
  </si>
  <si>
    <t>13-Jun-2020</t>
  </si>
  <si>
    <t>14-Jun-2020</t>
  </si>
  <si>
    <t>15-Jun-2020</t>
  </si>
  <si>
    <t>16-Jun-2020</t>
  </si>
  <si>
    <t>17-Jun-2020</t>
  </si>
  <si>
    <t>18-Jun-2020</t>
  </si>
  <si>
    <t>19-Jun-2020</t>
  </si>
  <si>
    <t>20-Jun-2020</t>
  </si>
  <si>
    <t>21-Jun-2020</t>
  </si>
  <si>
    <t>22-Jun-2020</t>
  </si>
  <si>
    <t>23-Jun-2020</t>
  </si>
  <si>
    <t>24-Jun-2020</t>
  </si>
  <si>
    <t>25-Jun-2020</t>
  </si>
  <si>
    <t>26-Jun-2020</t>
  </si>
  <si>
    <t>27-Jun-2020</t>
  </si>
  <si>
    <t>28-Jun-2020</t>
  </si>
  <si>
    <t>29-Jun-2020</t>
  </si>
  <si>
    <t>30-Jun-2020</t>
  </si>
  <si>
    <t>01-Jul-2020</t>
  </si>
  <si>
    <t>02-Jul-2020</t>
  </si>
  <si>
    <t>03-Jul-2020</t>
  </si>
  <si>
    <t>04-Jul-2020</t>
  </si>
  <si>
    <t>05-Jul-2020</t>
  </si>
  <si>
    <t>06-Jul-2020</t>
  </si>
  <si>
    <t>07-Jul-2020</t>
  </si>
  <si>
    <t>08-Jul-2020</t>
  </si>
  <si>
    <t>09-Jul-2020</t>
  </si>
  <si>
    <t>10-Jul-2020</t>
  </si>
  <si>
    <t>11-Jul-2020</t>
  </si>
  <si>
    <t>12-Jul-2020</t>
  </si>
  <si>
    <t>13-Jul-2020</t>
  </si>
  <si>
    <t>14-Jul-2020</t>
  </si>
  <si>
    <t>15-Jul-2020</t>
  </si>
  <si>
    <t>16-Jul-2020</t>
  </si>
  <si>
    <t>17-Jul-2020</t>
  </si>
  <si>
    <t>18-Jul-2020</t>
  </si>
  <si>
    <t>19-Jul-2020</t>
  </si>
  <si>
    <t>20-Jul-2020</t>
  </si>
  <si>
    <t>21-Jul-2020</t>
  </si>
  <si>
    <t>22-Jul-2020</t>
  </si>
  <si>
    <t>23-Jul-2020</t>
  </si>
  <si>
    <t>24-Jul-2020</t>
  </si>
  <si>
    <t>25-Jul-2020</t>
  </si>
  <si>
    <t>26-Jul-2020</t>
  </si>
  <si>
    <t>27-Jul-2020</t>
  </si>
  <si>
    <t>28-Jul-2020</t>
  </si>
  <si>
    <t>29-Jul-2020</t>
  </si>
  <si>
    <t>30-Jul-2020</t>
  </si>
  <si>
    <t>31-Jul-2020</t>
  </si>
  <si>
    <t>01-Aug-2020</t>
  </si>
  <si>
    <t>02-Aug-2020</t>
  </si>
  <si>
    <t>03-Aug-2020</t>
  </si>
  <si>
    <t>04-Aug-2020</t>
  </si>
  <si>
    <t>05-Aug-2020</t>
  </si>
  <si>
    <t>06-Aug-2020</t>
  </si>
  <si>
    <t>07-Aug-2020</t>
  </si>
  <si>
    <t>08-Aug-2020</t>
  </si>
  <si>
    <t>09-Aug-2020</t>
  </si>
  <si>
    <t>10-Aug-2020</t>
  </si>
  <si>
    <t>11-Aug-2020</t>
  </si>
  <si>
    <t>13-Aug-2020</t>
  </si>
  <si>
    <t>14-Aug-2020</t>
  </si>
  <si>
    <t>15-Aug-2020</t>
  </si>
  <si>
    <t>16-Aug-2020</t>
  </si>
  <si>
    <t>17-Aug-2020</t>
  </si>
  <si>
    <t>18-Aug-2020</t>
  </si>
  <si>
    <t>19-Aug-2020</t>
  </si>
  <si>
    <t>20-Aug-2020</t>
  </si>
  <si>
    <t>21-Aug-2020</t>
  </si>
  <si>
    <t>22-Aug-2020</t>
  </si>
  <si>
    <t>23-Aug-2020</t>
  </si>
  <si>
    <t>24-Aug-2020</t>
  </si>
  <si>
    <t>25-Aug-2020</t>
  </si>
  <si>
    <t>26-Aug-2020</t>
  </si>
  <si>
    <t>27-Aug-2020</t>
  </si>
  <si>
    <t>28-Aug-2020</t>
  </si>
  <si>
    <t>29-Aug-2020</t>
  </si>
  <si>
    <t>30-Aug-2020</t>
  </si>
  <si>
    <t>31-Aug-2020</t>
  </si>
  <si>
    <t>01-Sep-2020</t>
  </si>
  <si>
    <t>02-Sep-2020</t>
  </si>
  <si>
    <t>03-Sep-2020</t>
  </si>
  <si>
    <t>04-Sep-2020</t>
  </si>
  <si>
    <t>05-Sep-2020</t>
  </si>
  <si>
    <t>06-Sep-2020</t>
  </si>
  <si>
    <t>07-Sep-2020</t>
  </si>
  <si>
    <t>08-Sep-2020</t>
  </si>
  <si>
    <t>09-Sep-2020</t>
  </si>
  <si>
    <t>10-Sep-2020</t>
  </si>
  <si>
    <t>11-Sep-2020</t>
  </si>
  <si>
    <t>12-Sep-2020</t>
  </si>
  <si>
    <t>13-Sep-2020</t>
  </si>
  <si>
    <t>14-Sep-2020</t>
  </si>
  <si>
    <t>15-Sep-2020</t>
  </si>
  <si>
    <t>16-Sep-2020</t>
  </si>
  <si>
    <t>17-Sep-2020</t>
  </si>
  <si>
    <t>18-Sep-2020</t>
  </si>
  <si>
    <t>19-Sep-2020</t>
  </si>
  <si>
    <t>20-Sep-2020</t>
  </si>
  <si>
    <t>21-Sep-2020</t>
  </si>
  <si>
    <t>22-Sep-2020</t>
  </si>
  <si>
    <t>23-Sep-2020</t>
  </si>
  <si>
    <t>24-Sep-2020</t>
  </si>
  <si>
    <t>25-Sep-2020</t>
  </si>
  <si>
    <t>26-Sep-2020</t>
  </si>
  <si>
    <t>27-Sep-2020</t>
  </si>
  <si>
    <t>28-Sep-2020</t>
  </si>
  <si>
    <t>29-Sep-2020</t>
  </si>
  <si>
    <t>30-Sep-2020</t>
  </si>
  <si>
    <t>01-Oct-2020</t>
  </si>
  <si>
    <t>02-Oct-2020</t>
  </si>
  <si>
    <t>03-Oct-2020</t>
  </si>
  <si>
    <t>04-Oct-2020</t>
  </si>
  <si>
    <t>05-Oct-2020</t>
  </si>
  <si>
    <t>06-Oct-2020</t>
  </si>
  <si>
    <t>07-Oct-2020</t>
  </si>
  <si>
    <t>08-Oct-2020</t>
  </si>
  <si>
    <t>09-Oct-2020</t>
  </si>
  <si>
    <t>10-Oct-2020</t>
  </si>
  <si>
    <t>11-Oct-2020</t>
  </si>
  <si>
    <t>12-Oct-2020</t>
  </si>
  <si>
    <t>13-Oct-2020</t>
  </si>
  <si>
    <t>14-Oct-2020</t>
  </si>
  <si>
    <t>15-Oct-2020</t>
  </si>
  <si>
    <t>16-Oct-2020</t>
  </si>
  <si>
    <t>17-Oct-2020</t>
  </si>
  <si>
    <t>18-Oct-2020</t>
  </si>
  <si>
    <t>19-Oct-2020</t>
  </si>
  <si>
    <t>20-Oct-2020</t>
  </si>
  <si>
    <t>21-Oct-2020</t>
  </si>
  <si>
    <t>22-Oct-2020</t>
  </si>
  <si>
    <t>23-Oct-2020</t>
  </si>
  <si>
    <t>24-Oct-2020</t>
  </si>
  <si>
    <t>25-Oct-2020</t>
  </si>
  <si>
    <t>26-Oct-2020</t>
  </si>
  <si>
    <t>27-Oct-2020</t>
  </si>
  <si>
    <t>28-Oct-2020</t>
  </si>
  <si>
    <t>29-Oct-2020</t>
  </si>
  <si>
    <t>30-Oct-2020</t>
  </si>
  <si>
    <t>31-Oct-2020</t>
  </si>
  <si>
    <t>01-Nov-2020</t>
  </si>
  <si>
    <t>02-Nov-2020</t>
  </si>
  <si>
    <t>03-Nov-2020</t>
  </si>
  <si>
    <t>04-Nov-2020</t>
  </si>
  <si>
    <t>05-Nov-2020</t>
  </si>
  <si>
    <t>06-Nov-2020</t>
  </si>
  <si>
    <t>07-Nov-2020</t>
  </si>
  <si>
    <t>08-Nov-2020</t>
  </si>
  <si>
    <t>09-Nov-2020</t>
  </si>
  <si>
    <t>10-Nov-2020</t>
  </si>
  <si>
    <t>11-Nov-2020</t>
  </si>
  <si>
    <t>12-Nov-2020</t>
  </si>
  <si>
    <t>13-Nov-2020</t>
  </si>
  <si>
    <t>14-Nov-2020</t>
  </si>
  <si>
    <t>15-Nov-2020</t>
  </si>
  <si>
    <t>16-Nov-2020</t>
  </si>
  <si>
    <t>17-Nov-2020</t>
  </si>
  <si>
    <t>18-Nov-2020</t>
  </si>
  <si>
    <t>19-Nov-2020</t>
  </si>
  <si>
    <t>20-Nov-2020</t>
  </si>
  <si>
    <t>21-Nov-2020</t>
  </si>
  <si>
    <t>22-Nov-2020</t>
  </si>
  <si>
    <t>23-Nov-2020</t>
  </si>
  <si>
    <t>24-Nov-2020</t>
  </si>
  <si>
    <t>25-Nov-2020</t>
  </si>
  <si>
    <t>26-Nov-2020</t>
  </si>
  <si>
    <t>27-Nov-2020</t>
  </si>
  <si>
    <t>28-Nov-2020</t>
  </si>
  <si>
    <t>29-Nov-2020</t>
  </si>
  <si>
    <t>30-Nov-2020</t>
  </si>
  <si>
    <t>01-Dec-2020</t>
  </si>
  <si>
    <t>02-Dec-2020</t>
  </si>
  <si>
    <t>03-Dec-2020</t>
  </si>
  <si>
    <t>04-Dec-2020</t>
  </si>
  <si>
    <t>05-Dec-2020</t>
  </si>
  <si>
    <t>06-Dec-2020</t>
  </si>
  <si>
    <t>07-Dec-2020</t>
  </si>
  <si>
    <t>08-Dec-2020</t>
  </si>
  <si>
    <t>09-Dec-2020</t>
  </si>
  <si>
    <t>10-Dec-2020</t>
  </si>
  <si>
    <t>11-Dec-2020</t>
  </si>
  <si>
    <t>12-Dec-2020</t>
  </si>
  <si>
    <t>13-Dec-2020</t>
  </si>
  <si>
    <t>14-Dec-2020</t>
  </si>
  <si>
    <t>15-Dec-2020</t>
  </si>
  <si>
    <t>16-Dec-2020</t>
  </si>
  <si>
    <t>17-Dec-2020</t>
  </si>
  <si>
    <t>18-Dec-2020</t>
  </si>
  <si>
    <t>19-Dec-2020</t>
  </si>
  <si>
    <t>20-Dec-2020</t>
  </si>
  <si>
    <t>21-Dec-2020</t>
  </si>
  <si>
    <t>22-Dec-2020</t>
  </si>
  <si>
    <t>23-Dec-2020</t>
  </si>
  <si>
    <t>24-Dec-2020</t>
  </si>
  <si>
    <t>25-Dec-2020</t>
  </si>
  <si>
    <t>26-Dec-2020</t>
  </si>
  <si>
    <t>27-Dec-2020</t>
  </si>
  <si>
    <t>28-Dec-2020</t>
  </si>
  <si>
    <t>29-Dec-2020</t>
  </si>
  <si>
    <t>30-Dec-2020</t>
  </si>
  <si>
    <t>31-Dec-2020</t>
  </si>
  <si>
    <t>01-Jan-2021</t>
  </si>
  <si>
    <t>02-Jan-2021</t>
  </si>
  <si>
    <t>03-Jan-2021</t>
  </si>
  <si>
    <t>04-Jan-2021</t>
  </si>
  <si>
    <t>05-Jan-2021</t>
  </si>
  <si>
    <t>06-Jan-2021</t>
  </si>
  <si>
    <t>07-Jan-2021</t>
  </si>
  <si>
    <t>08-Jan-2021</t>
  </si>
  <si>
    <t>09-Jan-2021</t>
  </si>
  <si>
    <t>10-Jan-2021</t>
  </si>
  <si>
    <t>11-Jan-2021</t>
  </si>
  <si>
    <t>12-Jan-2021</t>
  </si>
  <si>
    <t>13-Jan-2021</t>
  </si>
  <si>
    <t>14-Jan-2021</t>
  </si>
  <si>
    <t>15-Jan-2021</t>
  </si>
  <si>
    <t>16-Jan-2021</t>
  </si>
  <si>
    <t>17-Jan-2021</t>
  </si>
  <si>
    <t>18-Jan-2021</t>
  </si>
  <si>
    <t>19-Jan-2021</t>
  </si>
  <si>
    <t>20-Jan-2021</t>
  </si>
  <si>
    <t>21-Jan-2021</t>
  </si>
  <si>
    <t>22-Jan-2021</t>
  </si>
  <si>
    <t>23-Jan-2021</t>
  </si>
  <si>
    <t>24-Jan-2021</t>
  </si>
  <si>
    <t>25-Jan-2021</t>
  </si>
  <si>
    <t>26-Jan-2021</t>
  </si>
  <si>
    <t>27-Jan-2021</t>
  </si>
  <si>
    <t>28-Jan-2021</t>
  </si>
  <si>
    <t>29-Jan-2021</t>
  </si>
  <si>
    <t>30-Jan-2021</t>
  </si>
  <si>
    <t>31-Jan-2021</t>
  </si>
  <si>
    <t>01-Feb-2021</t>
  </si>
  <si>
    <t>02-Feb-2021</t>
  </si>
  <si>
    <t>03-Feb-2021</t>
  </si>
  <si>
    <t>04-Feb-2021</t>
  </si>
  <si>
    <t>05-Feb-2021</t>
  </si>
  <si>
    <t>06-Feb-2021</t>
  </si>
  <si>
    <t>07-Feb-2021</t>
  </si>
  <si>
    <t>08-Feb-2021</t>
  </si>
  <si>
    <t>09-Feb-2021</t>
  </si>
  <si>
    <t>10-Feb-2021</t>
  </si>
  <si>
    <t>11-Feb-2021</t>
  </si>
  <si>
    <t>12-Feb-2021</t>
  </si>
  <si>
    <t>13-Feb-2021</t>
  </si>
  <si>
    <t>14-Feb-2021</t>
  </si>
  <si>
    <t>15-Feb-2021</t>
  </si>
  <si>
    <t>16-Feb-2021</t>
  </si>
  <si>
    <t>17-Feb-2021</t>
  </si>
  <si>
    <t>18-Feb-2021</t>
  </si>
  <si>
    <t>19-Feb-2021</t>
  </si>
  <si>
    <t>20-Feb-2021</t>
  </si>
  <si>
    <t>21-Feb-2021</t>
  </si>
  <si>
    <t>22-Feb-2021</t>
  </si>
  <si>
    <t>23-Feb-2021</t>
  </si>
  <si>
    <t>24-Feb-2021</t>
  </si>
  <si>
    <t>25-Feb-2021</t>
  </si>
  <si>
    <t>26-Feb-2021</t>
  </si>
  <si>
    <t>27-Feb-2021</t>
  </si>
  <si>
    <t>28-Feb-2021</t>
  </si>
  <si>
    <t>01-Mar-2021</t>
  </si>
  <si>
    <t>02-Mar-2021</t>
  </si>
  <si>
    <t>03-Mar-2021</t>
  </si>
  <si>
    <t>04-Mar-2021</t>
  </si>
  <si>
    <t>05-Mar-2021</t>
  </si>
  <si>
    <t>06-Mar-2021</t>
  </si>
  <si>
    <t>07-Mar-2021</t>
  </si>
  <si>
    <t>08-Mar-2021</t>
  </si>
  <si>
    <t>09-Mar-2021</t>
  </si>
  <si>
    <t>10-Mar-2021</t>
  </si>
  <si>
    <t>11-Mar-2021</t>
  </si>
  <si>
    <t>12-Mar-2021</t>
  </si>
  <si>
    <t>13-Mar-2021</t>
  </si>
  <si>
    <t>14-Mar-2021</t>
  </si>
  <si>
    <t>15-Mar-2021</t>
  </si>
  <si>
    <t>16-Mar-2021</t>
  </si>
  <si>
    <t>17-Mar-2021</t>
  </si>
  <si>
    <t>18-Mar-2021</t>
  </si>
  <si>
    <t>19-Mar-2021</t>
  </si>
  <si>
    <t>20-Mar-2021</t>
  </si>
  <si>
    <t>21-Mar-2021</t>
  </si>
  <si>
    <t>22-Mar-2021</t>
  </si>
  <si>
    <t>24-Mar-2021</t>
  </si>
  <si>
    <t>25-Mar-2021</t>
  </si>
  <si>
    <t>26-Mar-2021</t>
  </si>
  <si>
    <t>27-Mar-2021</t>
  </si>
  <si>
    <t>28-Mar-2021</t>
  </si>
  <si>
    <t>29-Mar-2021</t>
  </si>
  <si>
    <t>30-Mar-2021</t>
  </si>
  <si>
    <t>31-Mar-2021</t>
  </si>
  <si>
    <t>01-Apr-2021</t>
  </si>
  <si>
    <t>02-Apr-2021</t>
  </si>
  <si>
    <t>03-Apr-2021</t>
  </si>
  <si>
    <t>04-Apr-2021</t>
  </si>
  <si>
    <t>06-Apr-2021</t>
  </si>
  <si>
    <t>07-Apr-2021</t>
  </si>
  <si>
    <t>08-Apr-2021</t>
  </si>
  <si>
    <t>09-Apr-2021</t>
  </si>
  <si>
    <t>10-Apr-2021</t>
  </si>
  <si>
    <t>11-Apr-2021</t>
  </si>
  <si>
    <t>12-Apr-2021</t>
  </si>
  <si>
    <t>13-Apr-2021</t>
  </si>
  <si>
    <t>14-Apr-2021</t>
  </si>
  <si>
    <t>15-Apr-2021</t>
  </si>
  <si>
    <t>16-Apr-2021</t>
  </si>
  <si>
    <t>17-Apr-2021</t>
  </si>
  <si>
    <t>18-Apr-2021</t>
  </si>
  <si>
    <t>19-Apr-2021</t>
  </si>
  <si>
    <t>20-Apr-2021</t>
  </si>
  <si>
    <t>21-Apr-2021</t>
  </si>
  <si>
    <t>22-Apr-2021</t>
  </si>
  <si>
    <t>23-Apr-2021</t>
  </si>
  <si>
    <t>24-Apr-2021</t>
  </si>
  <si>
    <t>25-Apr-2021</t>
  </si>
  <si>
    <t>26-Apr-2021</t>
  </si>
  <si>
    <t>27-Apr-2021</t>
  </si>
  <si>
    <t>28-Apr-2021</t>
  </si>
  <si>
    <t>29-Apr-2021</t>
  </si>
  <si>
    <t>30-Apr-2021</t>
  </si>
  <si>
    <t>01-May-2021</t>
  </si>
  <si>
    <t>02-May-2021</t>
  </si>
  <si>
    <t>03-May-2021</t>
  </si>
  <si>
    <t>04-May-2021</t>
  </si>
  <si>
    <t>05-May-2021</t>
  </si>
  <si>
    <t>06-May-2021</t>
  </si>
  <si>
    <t>07-May-2021</t>
  </si>
  <si>
    <t>08-May-2021</t>
  </si>
  <si>
    <t>09-May-2021</t>
  </si>
  <si>
    <t>10-May-2021</t>
  </si>
  <si>
    <t>11-May-2021</t>
  </si>
  <si>
    <t>12-May-2021</t>
  </si>
  <si>
    <t>13-May-2021</t>
  </si>
  <si>
    <t>14-May-2021</t>
  </si>
  <si>
    <t>15-May-2021</t>
  </si>
  <si>
    <t>16-May-2021</t>
  </si>
  <si>
    <t>17-May-2021</t>
  </si>
  <si>
    <t>18-May-2021</t>
  </si>
  <si>
    <t>19-May-2021</t>
  </si>
  <si>
    <t>20-May-2021</t>
  </si>
  <si>
    <t>21-May-2021</t>
  </si>
  <si>
    <t>23-May-2021</t>
  </si>
  <si>
    <t>24-May-2021</t>
  </si>
  <si>
    <t>25-May-2021</t>
  </si>
  <si>
    <t>26-May-2021</t>
  </si>
  <si>
    <t>27-May-2021</t>
  </si>
  <si>
    <t>28-May-2021</t>
  </si>
  <si>
    <t>30-May-2021</t>
  </si>
  <si>
    <t>31-May-2021</t>
  </si>
  <si>
    <t>01-Jun-2021</t>
  </si>
  <si>
    <t>02-Jun-2021</t>
  </si>
  <si>
    <t>04-Jun-2021</t>
  </si>
  <si>
    <t>05-Jun-2021</t>
  </si>
  <si>
    <t>06-Jun-2021</t>
  </si>
  <si>
    <t>07-Jun-2021</t>
  </si>
  <si>
    <t>08-Jun-2021</t>
  </si>
  <si>
    <t>09-Jun-2021</t>
  </si>
  <si>
    <t>10-Jun-2021</t>
  </si>
  <si>
    <t>11-Jun-2021</t>
  </si>
  <si>
    <t>12-Jun-2021</t>
  </si>
  <si>
    <t>13-Jun-2021</t>
  </si>
  <si>
    <t>14-Jun-2021</t>
  </si>
  <si>
    <t>15-Jun-2021</t>
  </si>
  <si>
    <t>16-Jun-2021</t>
  </si>
  <si>
    <t>17-Jun-2021</t>
  </si>
  <si>
    <t>18-Jun-2021</t>
  </si>
  <si>
    <t>19-Jun-2021</t>
  </si>
  <si>
    <t>20-Jun-2021</t>
  </si>
  <si>
    <t>21-Jun-2021</t>
  </si>
  <si>
    <t>22-Jun-2021</t>
  </si>
  <si>
    <t>23-Jun-2021</t>
  </si>
  <si>
    <t>24-Jun-2021</t>
  </si>
  <si>
    <t>25-Jun-2021</t>
  </si>
  <si>
    <t>26-Jun-2021</t>
  </si>
  <si>
    <t>27-Jun-2021</t>
  </si>
  <si>
    <t>28-Jun-2021</t>
  </si>
  <si>
    <t>29-Jun-2021</t>
  </si>
  <si>
    <t>30-Jun-2021</t>
  </si>
  <si>
    <t>01-Jul-2021</t>
  </si>
  <si>
    <t>02-Jul-2021</t>
  </si>
  <si>
    <t>03-Jul-2021</t>
  </si>
  <si>
    <t>04-Jul-2021</t>
  </si>
  <si>
    <t>05-Jul-2021</t>
  </si>
  <si>
    <t>06-Jul-2021</t>
  </si>
  <si>
    <t>07-Jul-2021</t>
  </si>
  <si>
    <t>08-Jul-2021</t>
  </si>
  <si>
    <t>09-Jul-2021</t>
  </si>
  <si>
    <t>10-Jul-2021</t>
  </si>
  <si>
    <t>11-Jul-2021</t>
  </si>
  <si>
    <t>12-Jul-2021</t>
  </si>
  <si>
    <t>13-Jul-2021</t>
  </si>
  <si>
    <t>14-Jul-2021</t>
  </si>
  <si>
    <t>15-Jul-2021</t>
  </si>
  <si>
    <t>16-Jul-2021</t>
  </si>
  <si>
    <t>17-Jul-2021</t>
  </si>
  <si>
    <t>18-Jul-2021</t>
  </si>
  <si>
    <t>19-Jul-2021</t>
  </si>
  <si>
    <t>20-Jul-2021</t>
  </si>
  <si>
    <t>21-Jul-2021</t>
  </si>
  <si>
    <t>22-Jul-2021</t>
  </si>
  <si>
    <t>23-Jul-2021</t>
  </si>
  <si>
    <t>25-Jul-2021</t>
  </si>
  <si>
    <t>26-Jul-2021</t>
  </si>
  <si>
    <t>27-Jul-2021</t>
  </si>
  <si>
    <t>28-Jul-2021</t>
  </si>
  <si>
    <t>29-Jul-2021</t>
  </si>
  <si>
    <t>30-Jul-2021</t>
  </si>
  <si>
    <t>31-Jul-2021</t>
  </si>
  <si>
    <t>01-Aug-2021</t>
  </si>
  <si>
    <t>02-Aug-2021</t>
  </si>
  <si>
    <t>03-Aug-2021</t>
  </si>
  <si>
    <t>04-Aug-2021</t>
  </si>
  <si>
    <t>05-Aug-2021</t>
  </si>
  <si>
    <t>06-Aug-2021</t>
  </si>
  <si>
    <t>07-Aug-2021</t>
  </si>
  <si>
    <t>08-Aug-2021</t>
  </si>
  <si>
    <t>09-Aug-2021</t>
  </si>
  <si>
    <t>10-Aug-2021</t>
  </si>
  <si>
    <t>11-Aug-2021</t>
  </si>
  <si>
    <t>12-Aug-2021</t>
  </si>
  <si>
    <t>13-Aug-2021</t>
  </si>
  <si>
    <t>14-Aug-2021</t>
  </si>
  <si>
    <t>15-Aug-2021</t>
  </si>
  <si>
    <t>16-Aug-2021</t>
  </si>
  <si>
    <t>17-Aug-2021</t>
  </si>
  <si>
    <t>18-Aug-2021</t>
  </si>
  <si>
    <t>19-Aug-2021</t>
  </si>
  <si>
    <t>20-Aug-2021</t>
  </si>
  <si>
    <t>21-Aug-2021</t>
  </si>
  <si>
    <t>22-Aug-2021</t>
  </si>
  <si>
    <t>23-Aug-2021</t>
  </si>
  <si>
    <t>24-Aug-2021</t>
  </si>
  <si>
    <t>25-Aug-2021</t>
  </si>
  <si>
    <t>26-Aug-2021</t>
  </si>
  <si>
    <t>27-Aug-2021</t>
  </si>
  <si>
    <t>28-Aug-2021</t>
  </si>
  <si>
    <t>29-Aug-2021</t>
  </si>
  <si>
    <t>30-Aug-2021</t>
  </si>
  <si>
    <t>31-Aug-2021</t>
  </si>
  <si>
    <t>01-Sep-2021</t>
  </si>
  <si>
    <t>02-Sep-2021</t>
  </si>
  <si>
    <t>03-Sep-2021</t>
  </si>
  <si>
    <t>04-Sep-2021</t>
  </si>
  <si>
    <t>05-Sep-2021</t>
  </si>
  <si>
    <t>06-Sep-2021</t>
  </si>
  <si>
    <t>07-Sep-2021</t>
  </si>
  <si>
    <t>08-Sep-2021</t>
  </si>
  <si>
    <t>09-Sep-2021</t>
  </si>
  <si>
    <t>10-Sep-2021</t>
  </si>
  <si>
    <t>11-Sep-2021</t>
  </si>
  <si>
    <t>12-Sep-2021</t>
  </si>
  <si>
    <t>13-Sep-2021</t>
  </si>
  <si>
    <t>14-Sep-2021</t>
  </si>
  <si>
    <t>15-Sep-2021</t>
  </si>
  <si>
    <t>16-Sep-2021</t>
  </si>
  <si>
    <t>17-Sep-2021</t>
  </si>
  <si>
    <t>18-Sep-2021</t>
  </si>
  <si>
    <t>19-Sep-2021</t>
  </si>
  <si>
    <t>20-Sep-2021</t>
  </si>
  <si>
    <t>21-Sep-2021</t>
  </si>
  <si>
    <t>22-Sep-2021</t>
  </si>
  <si>
    <t>23-Sep-2021</t>
  </si>
  <si>
    <t>24-Sep-2021</t>
  </si>
  <si>
    <t>25-Sep-2021</t>
  </si>
  <si>
    <t>26-Sep-2021</t>
  </si>
  <si>
    <t>27-Sep-2021</t>
  </si>
  <si>
    <t>28-Sep-2021</t>
  </si>
  <si>
    <t>29-Sep-2021</t>
  </si>
  <si>
    <t>30-Sep-2021</t>
  </si>
  <si>
    <t>01-Oct-2021</t>
  </si>
  <si>
    <t>02-Oct-2021</t>
  </si>
  <si>
    <t>03-Oct-2021</t>
  </si>
  <si>
    <t>04-Oct-2021</t>
  </si>
  <si>
    <t>05-Oct-2021</t>
  </si>
  <si>
    <t>06-Oct-2021</t>
  </si>
  <si>
    <t>07-Oct-2021</t>
  </si>
  <si>
    <t>08-Oct-2021</t>
  </si>
  <si>
    <t>09-Oct-2021</t>
  </si>
  <si>
    <t>10-Oct-2021</t>
  </si>
  <si>
    <t>11-Oct-2021</t>
  </si>
  <si>
    <t>12-Oct-2021</t>
  </si>
  <si>
    <t>13-Oct-2021</t>
  </si>
  <si>
    <t>14-Oct-2021</t>
  </si>
  <si>
    <t>15-Oct-2021</t>
  </si>
  <si>
    <t>16-Oct-2021</t>
  </si>
  <si>
    <t>17-Oct-2021</t>
  </si>
  <si>
    <t>18-Oct-2021</t>
  </si>
  <si>
    <t>19-Oct-2021</t>
  </si>
  <si>
    <t>20-Oct-2021</t>
  </si>
  <si>
    <t>21-Oct-2021</t>
  </si>
  <si>
    <t>22-Oct-2021</t>
  </si>
  <si>
    <t>23-Oct-2021</t>
  </si>
  <si>
    <t>24-Oct-2021</t>
  </si>
  <si>
    <t>25-Oct-2021</t>
  </si>
  <si>
    <t>26-Oct-2021</t>
  </si>
  <si>
    <t>27-Oct-2021</t>
  </si>
  <si>
    <t>28-Oct-2021</t>
  </si>
  <si>
    <t>29-Oct-2021</t>
  </si>
  <si>
    <t>30-Oct-2021</t>
  </si>
  <si>
    <t>31-Oct-2021</t>
  </si>
  <si>
    <t>01-Nov-2021</t>
  </si>
  <si>
    <t>02-Nov-2021</t>
  </si>
  <si>
    <t>03-Nov-2021</t>
  </si>
  <si>
    <t>04-Nov-2021</t>
  </si>
  <si>
    <t>05-Nov-2021</t>
  </si>
  <si>
    <t>06-Nov-2021</t>
  </si>
  <si>
    <t>07-Nov-2021</t>
  </si>
  <si>
    <t>08-Nov-2021</t>
  </si>
  <si>
    <t>09-Nov-2021</t>
  </si>
  <si>
    <t>10-Nov-2021</t>
  </si>
  <si>
    <t>11-Nov-2021</t>
  </si>
  <si>
    <t>12-Nov-2021</t>
  </si>
  <si>
    <t>13-Nov-2021</t>
  </si>
  <si>
    <t>14-Nov-2021</t>
  </si>
  <si>
    <t>15-Nov-2021</t>
  </si>
  <si>
    <t>16-Nov-2021</t>
  </si>
  <si>
    <t>17-Nov-2021</t>
  </si>
  <si>
    <t>18-Nov-2021</t>
  </si>
  <si>
    <t>19-Nov-2021</t>
  </si>
  <si>
    <t>20-Nov-2021</t>
  </si>
  <si>
    <t>21-Nov-2021</t>
  </si>
  <si>
    <t>22-Nov-2021</t>
  </si>
  <si>
    <t>23-Nov-2021</t>
  </si>
  <si>
    <t>24-Nov-2021</t>
  </si>
  <si>
    <t>25-Nov-2021</t>
  </si>
  <si>
    <t>26-Nov-2021</t>
  </si>
  <si>
    <t>28-Nov-2021</t>
  </si>
  <si>
    <t>29-Nov-2021</t>
  </si>
  <si>
    <t>30-Nov-2021</t>
  </si>
  <si>
    <t>01-Dec-2021</t>
  </si>
  <si>
    <t>02-Dec-2021</t>
  </si>
  <si>
    <t>03-Dec-2021</t>
  </si>
  <si>
    <t>04-Dec-2021</t>
  </si>
  <si>
    <t>05-Dec-2021</t>
  </si>
  <si>
    <t>06-Dec-2021</t>
  </si>
  <si>
    <t>07-Dec-2021</t>
  </si>
  <si>
    <t>08-Dec-2021</t>
  </si>
  <si>
    <t>09-Dec-2021</t>
  </si>
  <si>
    <t>11-Dec-2021</t>
  </si>
  <si>
    <t>12-Dec-2021</t>
  </si>
  <si>
    <t>13-Dec-2021</t>
  </si>
  <si>
    <t>14-Dec-2021</t>
  </si>
  <si>
    <t>15-Dec-2021</t>
  </si>
  <si>
    <t>16-Dec-2021</t>
  </si>
  <si>
    <t>17-Dec-2021</t>
  </si>
  <si>
    <t>18-Dec-2021</t>
  </si>
  <si>
    <t>19-Dec-2021</t>
  </si>
  <si>
    <t>20-Dec-2021</t>
  </si>
  <si>
    <t>21-Dec-2021</t>
  </si>
  <si>
    <t>22-Dec-2021</t>
  </si>
  <si>
    <t>23-Dec-2021</t>
  </si>
  <si>
    <t>24-Dec-2021</t>
  </si>
  <si>
    <t>25-Dec-2021</t>
  </si>
  <si>
    <t>26-Dec-2021</t>
  </si>
  <si>
    <t>27-Dec-2021</t>
  </si>
  <si>
    <t>28-Dec-2021</t>
  </si>
  <si>
    <t>29-Dec-2021</t>
  </si>
  <si>
    <t>30-Dec-2021</t>
  </si>
  <si>
    <t>31-Dec-2021</t>
  </si>
  <si>
    <t>01-Jan-2022</t>
  </si>
  <si>
    <t>02-Jan-2022</t>
  </si>
  <si>
    <t>03-Jan-2022</t>
  </si>
  <si>
    <t>04-Jan-2022</t>
  </si>
  <si>
    <t>05-Jan-2022</t>
  </si>
  <si>
    <t>06-Jan-2022</t>
  </si>
  <si>
    <t>07-Jan-2022</t>
  </si>
  <si>
    <t>08-Jan-2022</t>
  </si>
  <si>
    <t>09-Jan-2022</t>
  </si>
  <si>
    <t>10-Jan-2022</t>
  </si>
  <si>
    <t>11-Jan-2022</t>
  </si>
  <si>
    <t>12-Jan-2022</t>
  </si>
  <si>
    <t>13-Jan-2022</t>
  </si>
  <si>
    <t>14-Jan-2022</t>
  </si>
  <si>
    <t>16-Jan-2022</t>
  </si>
  <si>
    <t>17-Jan-2022</t>
  </si>
  <si>
    <t>18-Jan-2022</t>
  </si>
  <si>
    <t>19-Jan-2022</t>
  </si>
  <si>
    <t>20-Jan-2022</t>
  </si>
  <si>
    <t>21-Jan-2022</t>
  </si>
  <si>
    <t>22-Jan-2022</t>
  </si>
  <si>
    <t>23-Jan-2022</t>
  </si>
  <si>
    <t>24-Jan-2022</t>
  </si>
  <si>
    <t>25-Jan-2022</t>
  </si>
  <si>
    <t>26-Jan-2022</t>
  </si>
  <si>
    <t>27-Jan-2022</t>
  </si>
  <si>
    <t>28-Jan-2022</t>
  </si>
  <si>
    <t>29-Jan-2022</t>
  </si>
  <si>
    <t>30-Jan-2022</t>
  </si>
  <si>
    <t>31-Jan-2022</t>
  </si>
  <si>
    <t>01-Feb-2022</t>
  </si>
  <si>
    <t>02-Feb-2022</t>
  </si>
  <si>
    <t>03-Feb-2022</t>
  </si>
  <si>
    <t>04-Feb-2022</t>
  </si>
  <si>
    <t>05-Feb-2022</t>
  </si>
  <si>
    <t>06-Feb-2022</t>
  </si>
  <si>
    <t>07-Feb-2022</t>
  </si>
  <si>
    <t>08-Feb-2022</t>
  </si>
  <si>
    <t>09-Feb-2022</t>
  </si>
  <si>
    <t>10-Feb-2022</t>
  </si>
  <si>
    <t>11-Feb-2022</t>
  </si>
  <si>
    <t>12-Feb-2022</t>
  </si>
  <si>
    <t>13-Feb-2022</t>
  </si>
  <si>
    <t>14-Feb-2022</t>
  </si>
  <si>
    <t>15-Feb-2022</t>
  </si>
  <si>
    <t>16-Feb-2022</t>
  </si>
  <si>
    <t>17-Feb-2022</t>
  </si>
  <si>
    <t>18-Feb-2022</t>
  </si>
  <si>
    <t>19-Feb-2022</t>
  </si>
  <si>
    <t>20-Feb-2022</t>
  </si>
  <si>
    <t>21-Feb-2022</t>
  </si>
  <si>
    <t>22-Feb-2022</t>
  </si>
  <si>
    <t>23-Feb-2022</t>
  </si>
  <si>
    <t>24-Feb-2022</t>
  </si>
  <si>
    <t>25-Feb-2022</t>
  </si>
  <si>
    <t>26-Feb-2022</t>
  </si>
  <si>
    <t>27-Feb-2022</t>
  </si>
  <si>
    <t>28-Feb-2022</t>
  </si>
  <si>
    <t>01-Mar-2022</t>
  </si>
  <si>
    <t>02-Mar-2022</t>
  </si>
  <si>
    <t>03-Mar-2022</t>
  </si>
  <si>
    <t>04-Mar-2022</t>
  </si>
  <si>
    <t>05-Mar-2022</t>
  </si>
  <si>
    <t>06-Mar-2022</t>
  </si>
  <si>
    <t>07-Mar-2022</t>
  </si>
  <si>
    <t>08-Mar-2022</t>
  </si>
  <si>
    <t>09-Mar-2022</t>
  </si>
  <si>
    <t>10-Mar-2022</t>
  </si>
  <si>
    <t>11-Mar-2022</t>
  </si>
  <si>
    <t>12-Mar-2022</t>
  </si>
  <si>
    <t>13-Mar-2022</t>
  </si>
  <si>
    <t>14-Mar-2022</t>
  </si>
  <si>
    <t>15-Mar-2022</t>
  </si>
  <si>
    <t>16-Mar-2022</t>
  </si>
  <si>
    <t>17-Mar-2022</t>
  </si>
  <si>
    <t>18-Mar-2022</t>
  </si>
  <si>
    <t>19-Mar-2022</t>
  </si>
  <si>
    <t>20-Mar-2022</t>
  </si>
  <si>
    <t>21-Mar-2022</t>
  </si>
  <si>
    <t>22-Mar-2022</t>
  </si>
  <si>
    <t>23-Mar-2022</t>
  </si>
  <si>
    <t>24-Mar-2022</t>
  </si>
  <si>
    <t>25-Mar-2022</t>
  </si>
  <si>
    <t>26-Mar-2022</t>
  </si>
  <si>
    <t>27-Mar-2022</t>
  </si>
  <si>
    <t>28-Mar-2022</t>
  </si>
  <si>
    <t>29-Mar-2022</t>
  </si>
  <si>
    <t>30-Mar-2022</t>
  </si>
  <si>
    <t>31-Mar-2022</t>
  </si>
  <si>
    <t>01-Apr-2022</t>
  </si>
  <si>
    <t>02-Apr-2022</t>
  </si>
  <si>
    <t>03-Apr-2022</t>
  </si>
  <si>
    <t>04-Apr-2022</t>
  </si>
  <si>
    <t>05-Apr-2022</t>
  </si>
  <si>
    <t>06-Apr-2022</t>
  </si>
  <si>
    <t>07-Apr-2022</t>
  </si>
  <si>
    <t>08-Apr-2022</t>
  </si>
  <si>
    <t>09-Apr-2022</t>
  </si>
  <si>
    <t>10-Apr-2022</t>
  </si>
  <si>
    <t>11-Apr-2022</t>
  </si>
  <si>
    <t>12-Apr-2022</t>
  </si>
  <si>
    <t>13-Apr-2022</t>
  </si>
  <si>
    <t>14-Apr-2022</t>
  </si>
  <si>
    <t>15-Apr-2022</t>
  </si>
  <si>
    <t>16-Apr-2022</t>
  </si>
  <si>
    <t>17-Apr-2022</t>
  </si>
  <si>
    <t>18-Apr-2022</t>
  </si>
  <si>
    <t>19-Apr-2022</t>
  </si>
  <si>
    <t>20-Apr-2022</t>
  </si>
  <si>
    <t>21-Apr-2022</t>
  </si>
  <si>
    <t>22-Apr-2022</t>
  </si>
  <si>
    <t>23-Apr-2022</t>
  </si>
  <si>
    <t>24-Apr-2022</t>
  </si>
  <si>
    <t>25-Apr-2022</t>
  </si>
  <si>
    <t>26-Apr-2022</t>
  </si>
  <si>
    <t>27-Apr-2022</t>
  </si>
  <si>
    <t>28-Apr-2022</t>
  </si>
  <si>
    <t>29-Apr-2022</t>
  </si>
  <si>
    <t>30-Apr-2022</t>
  </si>
  <si>
    <t>01-May-2022</t>
  </si>
  <si>
    <t>02-May-2022</t>
  </si>
  <si>
    <t>03-May-2022</t>
  </si>
  <si>
    <t>04-May-2022</t>
  </si>
  <si>
    <t>05-May-2022</t>
  </si>
  <si>
    <t>06-May-2022</t>
  </si>
  <si>
    <t>07-May-2022</t>
  </si>
  <si>
    <t>08-May-2022</t>
  </si>
  <si>
    <t>09-May-2022</t>
  </si>
  <si>
    <t>10-May-2022</t>
  </si>
  <si>
    <t>11-May-2022</t>
  </si>
  <si>
    <t>12-May-2022</t>
  </si>
  <si>
    <t>13-May-2022</t>
  </si>
  <si>
    <t>14-May-2022</t>
  </si>
  <si>
    <t>15-May-2022</t>
  </si>
  <si>
    <t>16-May-2022</t>
  </si>
  <si>
    <t>17-May-2022</t>
  </si>
  <si>
    <t>18-May-2022</t>
  </si>
  <si>
    <t>19-May-2022</t>
  </si>
  <si>
    <t>20-May-2022</t>
  </si>
  <si>
    <t>21-May-2022</t>
  </si>
  <si>
    <t>22-May-2022</t>
  </si>
  <si>
    <t>23-May-2022</t>
  </si>
  <si>
    <t>24-May-2022</t>
  </si>
  <si>
    <t>25-May-2022</t>
  </si>
  <si>
    <t>26-May-2022</t>
  </si>
  <si>
    <t>27-May-2022</t>
  </si>
  <si>
    <t>28-May-2022</t>
  </si>
  <si>
    <t>29-May-2022</t>
  </si>
  <si>
    <t>30-May-2022</t>
  </si>
  <si>
    <t>31-May-2022</t>
  </si>
  <si>
    <t>Date</t>
  </si>
  <si>
    <t>Osela</t>
  </si>
  <si>
    <t>Durian</t>
  </si>
  <si>
    <t>Main Ridge</t>
  </si>
  <si>
    <t>Week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</si>
  <si>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</si>
  <si>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</si>
  <si>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</si>
  <si>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</si>
  <si>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</si>
  <si>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</si>
  <si>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</si>
  <si>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</si>
  <si>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</si>
  <si>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Agustust</t>
  </si>
  <si>
    <t>September</t>
  </si>
  <si>
    <t>October</t>
  </si>
  <si>
    <t>November</t>
  </si>
  <si>
    <t>December</t>
  </si>
  <si>
    <t>Summary Rainfall - Site Bakan - JRBM</t>
  </si>
  <si>
    <t>Rainfall 1 days max (mm/days)</t>
  </si>
  <si>
    <t>August</t>
  </si>
  <si>
    <t>Rainfall per days (mm)</t>
  </si>
  <si>
    <t>Max. Rainfall (mm)</t>
  </si>
  <si>
    <t>01-Jan-2015</t>
  </si>
  <si>
    <t>02-Jan-2015</t>
  </si>
  <si>
    <t>03-Jan-2015</t>
  </si>
  <si>
    <t>04-Jan-2015</t>
  </si>
  <si>
    <t>05-Jan-2015</t>
  </si>
  <si>
    <t>06-Jan-2015</t>
  </si>
  <si>
    <t>07-Jan-2015</t>
  </si>
  <si>
    <t>08-Jan-2015</t>
  </si>
  <si>
    <t>09-Jan-2015</t>
  </si>
  <si>
    <t>10-Jan-2015</t>
  </si>
  <si>
    <t>11-Jan-2015</t>
  </si>
  <si>
    <t>12-Jan-2015</t>
  </si>
  <si>
    <t>13-Jan-2015</t>
  </si>
  <si>
    <t>14-Jan-2015</t>
  </si>
  <si>
    <t>15-Jan-2015</t>
  </si>
  <si>
    <t>16-Jan-2015</t>
  </si>
  <si>
    <t>17-Jan-2015</t>
  </si>
  <si>
    <t>18-Jan-2015</t>
  </si>
  <si>
    <t>19-Jan-2015</t>
  </si>
  <si>
    <t>20-Jan-2015</t>
  </si>
  <si>
    <t>21-Jan-2015</t>
  </si>
  <si>
    <t>22-Jan-2015</t>
  </si>
  <si>
    <t>23-Jan-2015</t>
  </si>
  <si>
    <t>24-Jan-2015</t>
  </si>
  <si>
    <t>25-Jan-2015</t>
  </si>
  <si>
    <t>26-Jan-2015</t>
  </si>
  <si>
    <t>27-Jan-2015</t>
  </si>
  <si>
    <t>28-Jan-2015</t>
  </si>
  <si>
    <t>29-Jan-2015</t>
  </si>
  <si>
    <t>30-Jan-2015</t>
  </si>
  <si>
    <t>31-Jan-2015</t>
  </si>
  <si>
    <t>01-Feb-2015</t>
  </si>
  <si>
    <t>02-Feb-2015</t>
  </si>
  <si>
    <t>03-Feb-2015</t>
  </si>
  <si>
    <t>04-Feb-2015</t>
  </si>
  <si>
    <t>05-Feb-2015</t>
  </si>
  <si>
    <t>06-Feb-2015</t>
  </si>
  <si>
    <t>07-Feb-2015</t>
  </si>
  <si>
    <t>08-Feb-2015</t>
  </si>
  <si>
    <t>09-Feb-2015</t>
  </si>
  <si>
    <t>10-Feb-2015</t>
  </si>
  <si>
    <t>11-Feb-2015</t>
  </si>
  <si>
    <t>12-Feb-2015</t>
  </si>
  <si>
    <t>13-Feb-2015</t>
  </si>
  <si>
    <t>14-Feb-2015</t>
  </si>
  <si>
    <t>15-Feb-2015</t>
  </si>
  <si>
    <t>16-Feb-2015</t>
  </si>
  <si>
    <t>17-Feb-2015</t>
  </si>
  <si>
    <t>18-Feb-2015</t>
  </si>
  <si>
    <t>19-Feb-2015</t>
  </si>
  <si>
    <t>20-Feb-2015</t>
  </si>
  <si>
    <t>21-Feb-2015</t>
  </si>
  <si>
    <t>22-Feb-2015</t>
  </si>
  <si>
    <t>23-Feb-2015</t>
  </si>
  <si>
    <t>24-Feb-2015</t>
  </si>
  <si>
    <t>25-Feb-2015</t>
  </si>
  <si>
    <t>26-Feb-2015</t>
  </si>
  <si>
    <t>27-Feb-2015</t>
  </si>
  <si>
    <t>28-Feb-2015</t>
  </si>
  <si>
    <t>01-Mar-2015</t>
  </si>
  <si>
    <t>02-Mar-2015</t>
  </si>
  <si>
    <t>03-Mar-2015</t>
  </si>
  <si>
    <t>04-Mar-2015</t>
  </si>
  <si>
    <t>05-Mar-2015</t>
  </si>
  <si>
    <t>06-Mar-2015</t>
  </si>
  <si>
    <t>07-Mar-2015</t>
  </si>
  <si>
    <t>08-Mar-2015</t>
  </si>
  <si>
    <t>09-Mar-2015</t>
  </si>
  <si>
    <t>10-Mar-2015</t>
  </si>
  <si>
    <t>11-Mar-2015</t>
  </si>
  <si>
    <t>12-Mar-2015</t>
  </si>
  <si>
    <t>14-Mar-2015</t>
  </si>
  <si>
    <t>15-Mar-2015</t>
  </si>
  <si>
    <t>16-Mar-2015</t>
  </si>
  <si>
    <t>17-Mar-2015</t>
  </si>
  <si>
    <t>18-Mar-2015</t>
  </si>
  <si>
    <t>19-Mar-2015</t>
  </si>
  <si>
    <t>20-Mar-2015</t>
  </si>
  <si>
    <t>21-Mar-2015</t>
  </si>
  <si>
    <t>22-Mar-2015</t>
  </si>
  <si>
    <t>23-Mar-2015</t>
  </si>
  <si>
    <t>24-Mar-2015</t>
  </si>
  <si>
    <t>25-Mar-2015</t>
  </si>
  <si>
    <t>26-Mar-2015</t>
  </si>
  <si>
    <t>27-Mar-2015</t>
  </si>
  <si>
    <t>28-Mar-2015</t>
  </si>
  <si>
    <t>29-Mar-2015</t>
  </si>
  <si>
    <t>30-Mar-2015</t>
  </si>
  <si>
    <t>31-Mar-2015</t>
  </si>
  <si>
    <t>01-Apr-2015</t>
  </si>
  <si>
    <t>02-Apr-2015</t>
  </si>
  <si>
    <t>03-Apr-2015</t>
  </si>
  <si>
    <t>04-Apr-2015</t>
  </si>
  <si>
    <t>05-Apr-2015</t>
  </si>
  <si>
    <t>06-Apr-2015</t>
  </si>
  <si>
    <t>07-Apr-2015</t>
  </si>
  <si>
    <t>08-Apr-2015</t>
  </si>
  <si>
    <t>09-Apr-2015</t>
  </si>
  <si>
    <t>10-Apr-2015</t>
  </si>
  <si>
    <t>11-Apr-2015</t>
  </si>
  <si>
    <t>12-Apr-2015</t>
  </si>
  <si>
    <t>13-Apr-2015</t>
  </si>
  <si>
    <t>14-Apr-2015</t>
  </si>
  <si>
    <t>15-Apr-2015</t>
  </si>
  <si>
    <t>16-Apr-2015</t>
  </si>
  <si>
    <t>17-Apr-2015</t>
  </si>
  <si>
    <t>18-Apr-2015</t>
  </si>
  <si>
    <t>19-Apr-2015</t>
  </si>
  <si>
    <t>20-Apr-2015</t>
  </si>
  <si>
    <t>21-Apr-2015</t>
  </si>
  <si>
    <t>22-Apr-2015</t>
  </si>
  <si>
    <t>23-Apr-2015</t>
  </si>
  <si>
    <t>24-Apr-2015</t>
  </si>
  <si>
    <t>25-Apr-2015</t>
  </si>
  <si>
    <t>26-Apr-2015</t>
  </si>
  <si>
    <t>27-Apr-2015</t>
  </si>
  <si>
    <t>28-Apr-2015</t>
  </si>
  <si>
    <t>29-Apr-2015</t>
  </si>
  <si>
    <t>30-Apr-2015</t>
  </si>
  <si>
    <t>01-May-2015</t>
  </si>
  <si>
    <t>02-May-2015</t>
  </si>
  <si>
    <t>03-May-2015</t>
  </si>
  <si>
    <t>04-May-2015</t>
  </si>
  <si>
    <t>05-May-2015</t>
  </si>
  <si>
    <t>06-May-2015</t>
  </si>
  <si>
    <t>07-May-2015</t>
  </si>
  <si>
    <t>08-May-2015</t>
  </si>
  <si>
    <t>09-May-2015</t>
  </si>
  <si>
    <t>10-May-2015</t>
  </si>
  <si>
    <t>11-May-2015</t>
  </si>
  <si>
    <t>12-May-2015</t>
  </si>
  <si>
    <t>13-May-2015</t>
  </si>
  <si>
    <t>14-May-2015</t>
  </si>
  <si>
    <t>15-May-2015</t>
  </si>
  <si>
    <t>16-May-2015</t>
  </si>
  <si>
    <t>17-May-2015</t>
  </si>
  <si>
    <t>18-May-2015</t>
  </si>
  <si>
    <t>19-May-2015</t>
  </si>
  <si>
    <t>20-May-2015</t>
  </si>
  <si>
    <t>21-May-2015</t>
  </si>
  <si>
    <t>22-May-2015</t>
  </si>
  <si>
    <t>23-May-2015</t>
  </si>
  <si>
    <t>24-May-2015</t>
  </si>
  <si>
    <t>25-May-2015</t>
  </si>
  <si>
    <t>26-May-2015</t>
  </si>
  <si>
    <t>27-May-2015</t>
  </si>
  <si>
    <t>28-May-2015</t>
  </si>
  <si>
    <t>29-May-2015</t>
  </si>
  <si>
    <t>30-May-2015</t>
  </si>
  <si>
    <t>31-May-2015</t>
  </si>
  <si>
    <t>01-Jun-2015</t>
  </si>
  <si>
    <t>02-Jun-2015</t>
  </si>
  <si>
    <t>03-Jun-2015</t>
  </si>
  <si>
    <t>04-Jun-2015</t>
  </si>
  <si>
    <t>05-Jun-2015</t>
  </si>
  <si>
    <t>06-Jun-2015</t>
  </si>
  <si>
    <t>07-Jun-2015</t>
  </si>
  <si>
    <t>08-Jun-2015</t>
  </si>
  <si>
    <t>09-Jun-2015</t>
  </si>
  <si>
    <t>10-Jun-2015</t>
  </si>
  <si>
    <t>11-Jun-2015</t>
  </si>
  <si>
    <t>12-Jun-2015</t>
  </si>
  <si>
    <t>13-Jun-2015</t>
  </si>
  <si>
    <t>14-Jun-2015</t>
  </si>
  <si>
    <t>15-Jun-2015</t>
  </si>
  <si>
    <t>16-Jun-2015</t>
  </si>
  <si>
    <t>17-Jun-2015</t>
  </si>
  <si>
    <t>18-Jun-2015</t>
  </si>
  <si>
    <t>19-Jun-2015</t>
  </si>
  <si>
    <t>20-Jun-2015</t>
  </si>
  <si>
    <t>21-Jun-2015</t>
  </si>
  <si>
    <t>22-Jun-2015</t>
  </si>
  <si>
    <t>23-Jun-2015</t>
  </si>
  <si>
    <t>24-Jun-2015</t>
  </si>
  <si>
    <t>25-Jun-2015</t>
  </si>
  <si>
    <t>26-Jun-2015</t>
  </si>
  <si>
    <t>27-Jun-2015</t>
  </si>
  <si>
    <t>28-Jun-2015</t>
  </si>
  <si>
    <t>29-Jun-2015</t>
  </si>
  <si>
    <t>30-Jun-2015</t>
  </si>
  <si>
    <t>01-Jul-2015</t>
  </si>
  <si>
    <t>02-Jul-2015</t>
  </si>
  <si>
    <t>03-Jul-2015</t>
  </si>
  <si>
    <t>04-Jul-2015</t>
  </si>
  <si>
    <t>05-Jul-2015</t>
  </si>
  <si>
    <t>06-Jul-2015</t>
  </si>
  <si>
    <t>07-Jul-2015</t>
  </si>
  <si>
    <t>08-Jul-2015</t>
  </si>
  <si>
    <t>09-Jul-2015</t>
  </si>
  <si>
    <t>10-Jul-2015</t>
  </si>
  <si>
    <t>11-Jul-2015</t>
  </si>
  <si>
    <t>12-Jul-2015</t>
  </si>
  <si>
    <t>13-Jul-2015</t>
  </si>
  <si>
    <t>14-Jul-2015</t>
  </si>
  <si>
    <t>15-Jul-2015</t>
  </si>
  <si>
    <t>16-Jul-2015</t>
  </si>
  <si>
    <t>17-Jul-2015</t>
  </si>
  <si>
    <t>18-Jul-2015</t>
  </si>
  <si>
    <t>19-Jul-2015</t>
  </si>
  <si>
    <t>20-Jul-2015</t>
  </si>
  <si>
    <t>21-Jul-2015</t>
  </si>
  <si>
    <t>22-Jul-2015</t>
  </si>
  <si>
    <t>23-Jul-2015</t>
  </si>
  <si>
    <t>24-Jul-2015</t>
  </si>
  <si>
    <t>25-Jul-2015</t>
  </si>
  <si>
    <t>26-Jul-2015</t>
  </si>
  <si>
    <t>27-Jul-2015</t>
  </si>
  <si>
    <t>28-Jul-2015</t>
  </si>
  <si>
    <t>29-Jul-2015</t>
  </si>
  <si>
    <t>30-Jul-2015</t>
  </si>
  <si>
    <t>31-Jul-2015</t>
  </si>
  <si>
    <t>01-Aug-2015</t>
  </si>
  <si>
    <t>02-Aug-2015</t>
  </si>
  <si>
    <t>03-Aug-2015</t>
  </si>
  <si>
    <t>04-Aug-2015</t>
  </si>
  <si>
    <t>05-Aug-2015</t>
  </si>
  <si>
    <t>06-Aug-2015</t>
  </si>
  <si>
    <t>07-Aug-2015</t>
  </si>
  <si>
    <t>08-Aug-2015</t>
  </si>
  <si>
    <t>09-Aug-2015</t>
  </si>
  <si>
    <t>10-Aug-2015</t>
  </si>
  <si>
    <t>11-Aug-2015</t>
  </si>
  <si>
    <t>12-Aug-2015</t>
  </si>
  <si>
    <t>13-Aug-2015</t>
  </si>
  <si>
    <t>14-Aug-2015</t>
  </si>
  <si>
    <t>15-Aug-2015</t>
  </si>
  <si>
    <t>16-Aug-2015</t>
  </si>
  <si>
    <t>17-Aug-2015</t>
  </si>
  <si>
    <t>18-Aug-2015</t>
  </si>
  <si>
    <t>19-Aug-2015</t>
  </si>
  <si>
    <t>20-Aug-2015</t>
  </si>
  <si>
    <t>21-Aug-2015</t>
  </si>
  <si>
    <t>22-Aug-2015</t>
  </si>
  <si>
    <t>23-Aug-2015</t>
  </si>
  <si>
    <t>24-Aug-2015</t>
  </si>
  <si>
    <t>25-Aug-2015</t>
  </si>
  <si>
    <t>26-Aug-2015</t>
  </si>
  <si>
    <t>27-Aug-2015</t>
  </si>
  <si>
    <t>28-Aug-2015</t>
  </si>
  <si>
    <t>29-Aug-2015</t>
  </si>
  <si>
    <t>30-Aug-2015</t>
  </si>
  <si>
    <t>31-Aug-2015</t>
  </si>
  <si>
    <t>01-Sep-2015</t>
  </si>
  <si>
    <t>02-Sep-2015</t>
  </si>
  <si>
    <t>03-Sep-2015</t>
  </si>
  <si>
    <t>04-Sep-2015</t>
  </si>
  <si>
    <t>05-Sep-2015</t>
  </si>
  <si>
    <t>06-Sep-2015</t>
  </si>
  <si>
    <t>07-Sep-2015</t>
  </si>
  <si>
    <t>08-Sep-2015</t>
  </si>
  <si>
    <t>09-Sep-2015</t>
  </si>
  <si>
    <t>10-Sep-2015</t>
  </si>
  <si>
    <t>11-Sep-2015</t>
  </si>
  <si>
    <t>12-Sep-2015</t>
  </si>
  <si>
    <t>13-Sep-2015</t>
  </si>
  <si>
    <t>14-Sep-2015</t>
  </si>
  <si>
    <t>15-Sep-2015</t>
  </si>
  <si>
    <t>16-Sep-2015</t>
  </si>
  <si>
    <t>17-Sep-2015</t>
  </si>
  <si>
    <t>18-Sep-2015</t>
  </si>
  <si>
    <t>19-Sep-2015</t>
  </si>
  <si>
    <t>20-Sep-2015</t>
  </si>
  <si>
    <t>21-Sep-2015</t>
  </si>
  <si>
    <t>22-Sep-2015</t>
  </si>
  <si>
    <t>23-Sep-2015</t>
  </si>
  <si>
    <t>24-Sep-2015</t>
  </si>
  <si>
    <t>25-Sep-2015</t>
  </si>
  <si>
    <t>26-Sep-2015</t>
  </si>
  <si>
    <t>27-Sep-2015</t>
  </si>
  <si>
    <t>28-Sep-2015</t>
  </si>
  <si>
    <t>29-Sep-2015</t>
  </si>
  <si>
    <t>30-Sep-2015</t>
  </si>
  <si>
    <t>01-Oct-2015</t>
  </si>
  <si>
    <t>02-Oct-2015</t>
  </si>
  <si>
    <t>03-Oct-2015</t>
  </si>
  <si>
    <t>04-Oct-2015</t>
  </si>
  <si>
    <t>05-Oct-2015</t>
  </si>
  <si>
    <t>06-Oct-2015</t>
  </si>
  <si>
    <t>07-Oct-2015</t>
  </si>
  <si>
    <t>08-Oct-2015</t>
  </si>
  <si>
    <t>09-Oct-2015</t>
  </si>
  <si>
    <t>10-Oct-2015</t>
  </si>
  <si>
    <t>11-Oct-2015</t>
  </si>
  <si>
    <t>12-Oct-2015</t>
  </si>
  <si>
    <t>13-Oct-2015</t>
  </si>
  <si>
    <t>14-Oct-2015</t>
  </si>
  <si>
    <t>15-Oct-2015</t>
  </si>
  <si>
    <t>16-Oct-2015</t>
  </si>
  <si>
    <t>17-Oct-2015</t>
  </si>
  <si>
    <t>18-Oct-2015</t>
  </si>
  <si>
    <t>19-Oct-2015</t>
  </si>
  <si>
    <t>20-Oct-2015</t>
  </si>
  <si>
    <t>21-Oct-2015</t>
  </si>
  <si>
    <t>22-Oct-2015</t>
  </si>
  <si>
    <t>23-Oct-2015</t>
  </si>
  <si>
    <t>24-Oct-2015</t>
  </si>
  <si>
    <t>25-Oct-2015</t>
  </si>
  <si>
    <t>26-Oct-2015</t>
  </si>
  <si>
    <t>27-Oct-2015</t>
  </si>
  <si>
    <t>28-Oct-2015</t>
  </si>
  <si>
    <t>29-Oct-2015</t>
  </si>
  <si>
    <t>30-Oct-2015</t>
  </si>
  <si>
    <t>31-Oct-2015</t>
  </si>
  <si>
    <t>01-Nov-2015</t>
  </si>
  <si>
    <t>02-Nov-2015</t>
  </si>
  <si>
    <t>03-Nov-2015</t>
  </si>
  <si>
    <t>04-Nov-2015</t>
  </si>
  <si>
    <t>05-Nov-2015</t>
  </si>
  <si>
    <t>06-Nov-2015</t>
  </si>
  <si>
    <t>07-Nov-2015</t>
  </si>
  <si>
    <t>08-Nov-2015</t>
  </si>
  <si>
    <t>09-Nov-2015</t>
  </si>
  <si>
    <t>10-Nov-2015</t>
  </si>
  <si>
    <t>11-Nov-2015</t>
  </si>
  <si>
    <t>12-Nov-2015</t>
  </si>
  <si>
    <t>13-Nov-2015</t>
  </si>
  <si>
    <t>14-Nov-2015</t>
  </si>
  <si>
    <t>15-Nov-2015</t>
  </si>
  <si>
    <t>16-Nov-2015</t>
  </si>
  <si>
    <t>17-Nov-2015</t>
  </si>
  <si>
    <t>18-Nov-2015</t>
  </si>
  <si>
    <t>19-Nov-2015</t>
  </si>
  <si>
    <t>20-Nov-2015</t>
  </si>
  <si>
    <t>21-Nov-2015</t>
  </si>
  <si>
    <t>22-Nov-2015</t>
  </si>
  <si>
    <t>23-Nov-2015</t>
  </si>
  <si>
    <t>24-Nov-2015</t>
  </si>
  <si>
    <t>25-Nov-2015</t>
  </si>
  <si>
    <t>26-Nov-2015</t>
  </si>
  <si>
    <t>27-Nov-2015</t>
  </si>
  <si>
    <t>28-Nov-2015</t>
  </si>
  <si>
    <t>29-Nov-2015</t>
  </si>
  <si>
    <t>30-Nov-2015</t>
  </si>
  <si>
    <t>01-Dec-2015</t>
  </si>
  <si>
    <t>02-Dec-2015</t>
  </si>
  <si>
    <t>03-Dec-2015</t>
  </si>
  <si>
    <t>04-Dec-2015</t>
  </si>
  <si>
    <t>05-Dec-2015</t>
  </si>
  <si>
    <t>06-Dec-2015</t>
  </si>
  <si>
    <t>07-Dec-2015</t>
  </si>
  <si>
    <t>08-Dec-2015</t>
  </si>
  <si>
    <t>09-Dec-2015</t>
  </si>
  <si>
    <t>10-Dec-2015</t>
  </si>
  <si>
    <t>11-Dec-2015</t>
  </si>
  <si>
    <t>12-Dec-2015</t>
  </si>
  <si>
    <t>13-Dec-2015</t>
  </si>
  <si>
    <t>14-Dec-2015</t>
  </si>
  <si>
    <t>15-Dec-2015</t>
  </si>
  <si>
    <t>16-Dec-2015</t>
  </si>
  <si>
    <t>17-Dec-2015</t>
  </si>
  <si>
    <t>18-Dec-2015</t>
  </si>
  <si>
    <t>19-Dec-2015</t>
  </si>
  <si>
    <t>20-Dec-2015</t>
  </si>
  <si>
    <t>21-Dec-2015</t>
  </si>
  <si>
    <t>22-Dec-2015</t>
  </si>
  <si>
    <t>23-Dec-2015</t>
  </si>
  <si>
    <t>24-Dec-2015</t>
  </si>
  <si>
    <t>25-Dec-2015</t>
  </si>
  <si>
    <t>26-Dec-2015</t>
  </si>
  <si>
    <t>27-Dec-2015</t>
  </si>
  <si>
    <t>28-Dec-2015</t>
  </si>
  <si>
    <t>29-Dec-2015</t>
  </si>
  <si>
    <t>30-Dec-2015</t>
  </si>
  <si>
    <t>31-Dec-2015</t>
  </si>
  <si>
    <t>01-Jan-2016</t>
  </si>
  <si>
    <t>02-Jan-2016</t>
  </si>
  <si>
    <t>03-Jan-2016</t>
  </si>
  <si>
    <t>04-Jan-2016</t>
  </si>
  <si>
    <t>05-Jan-2016</t>
  </si>
  <si>
    <t>06-Jan-2016</t>
  </si>
  <si>
    <t>07-Jan-2016</t>
  </si>
  <si>
    <t>08-Jan-2016</t>
  </si>
  <si>
    <t>09-Jan-2016</t>
  </si>
  <si>
    <t>10-Jan-2016</t>
  </si>
  <si>
    <t>11-Jan-2016</t>
  </si>
  <si>
    <t>12-Jan-2016</t>
  </si>
  <si>
    <t>13-Jan-2016</t>
  </si>
  <si>
    <t>14-Jan-2016</t>
  </si>
  <si>
    <t>15-Jan-2016</t>
  </si>
  <si>
    <t>16-Jan-2016</t>
  </si>
  <si>
    <t>17-Jan-2016</t>
  </si>
  <si>
    <t>18-Jan-2016</t>
  </si>
  <si>
    <t>19-Jan-2016</t>
  </si>
  <si>
    <t>20-Jan-2016</t>
  </si>
  <si>
    <t>21-Jan-2016</t>
  </si>
  <si>
    <t>22-Jan-2016</t>
  </si>
  <si>
    <t>23-Jan-2016</t>
  </si>
  <si>
    <t>24-Jan-2016</t>
  </si>
  <si>
    <t>25-Jan-2016</t>
  </si>
  <si>
    <t>26-Jan-2016</t>
  </si>
  <si>
    <t>27-Jan-2016</t>
  </si>
  <si>
    <t>28-Jan-2016</t>
  </si>
  <si>
    <t>29-Jan-2016</t>
  </si>
  <si>
    <t>30-Jan-2016</t>
  </si>
  <si>
    <t>31-Jan-2016</t>
  </si>
  <si>
    <t>01-Feb-2016</t>
  </si>
  <si>
    <t>02-Feb-2016</t>
  </si>
  <si>
    <t>03-Feb-2016</t>
  </si>
  <si>
    <t>04-Feb-2016</t>
  </si>
  <si>
    <t>05-Feb-2016</t>
  </si>
  <si>
    <t>06-Feb-2016</t>
  </si>
  <si>
    <t>07-Feb-2016</t>
  </si>
  <si>
    <t>08-Feb-2016</t>
  </si>
  <si>
    <t>09-Feb-2016</t>
  </si>
  <si>
    <t>10-Feb-2016</t>
  </si>
  <si>
    <t>11-Feb-2016</t>
  </si>
  <si>
    <t>12-Feb-2016</t>
  </si>
  <si>
    <t>13-Feb-2016</t>
  </si>
  <si>
    <t>14-Feb-2016</t>
  </si>
  <si>
    <t>15-Feb-2016</t>
  </si>
  <si>
    <t>16-Feb-2016</t>
  </si>
  <si>
    <t>17-Feb-2016</t>
  </si>
  <si>
    <t>18-Feb-2016</t>
  </si>
  <si>
    <t>19-Feb-2016</t>
  </si>
  <si>
    <t>20-Feb-2016</t>
  </si>
  <si>
    <t>21-Feb-2016</t>
  </si>
  <si>
    <t>22-Feb-2016</t>
  </si>
  <si>
    <t>23-Feb-2016</t>
  </si>
  <si>
    <t>24-Feb-2016</t>
  </si>
  <si>
    <t>25-Feb-2016</t>
  </si>
  <si>
    <t>26-Feb-2016</t>
  </si>
  <si>
    <t>27-Feb-2016</t>
  </si>
  <si>
    <t>28-Feb-2016</t>
  </si>
  <si>
    <t>29-Feb-2016</t>
  </si>
  <si>
    <t>01-Mar-2016</t>
  </si>
  <si>
    <t>02-Mar-2016</t>
  </si>
  <si>
    <t>03-Mar-2016</t>
  </si>
  <si>
    <t>04-Mar-2016</t>
  </si>
  <si>
    <t>05-Mar-2016</t>
  </si>
  <si>
    <t>06-Mar-2016</t>
  </si>
  <si>
    <t>07-Mar-2016</t>
  </si>
  <si>
    <t>08-Mar-2016</t>
  </si>
  <si>
    <t>09-Mar-2016</t>
  </si>
  <si>
    <t>10-Mar-2016</t>
  </si>
  <si>
    <t>11-Mar-2016</t>
  </si>
  <si>
    <t>12-Mar-2016</t>
  </si>
  <si>
    <t>13-Mar-2016</t>
  </si>
  <si>
    <t>14-Mar-2016</t>
  </si>
  <si>
    <t>15-Mar-2016</t>
  </si>
  <si>
    <t>16-Mar-2016</t>
  </si>
  <si>
    <t>17-Mar-2016</t>
  </si>
  <si>
    <t>18-Mar-2016</t>
  </si>
  <si>
    <t>19-Mar-2016</t>
  </si>
  <si>
    <t>20-Mar-2016</t>
  </si>
  <si>
    <t>21-Mar-2016</t>
  </si>
  <si>
    <t>22-Mar-2016</t>
  </si>
  <si>
    <t>23-Mar-2016</t>
  </si>
  <si>
    <t>24-Mar-2016</t>
  </si>
  <si>
    <t>25-Mar-2016</t>
  </si>
  <si>
    <t>26-Mar-2016</t>
  </si>
  <si>
    <t>27-Mar-2016</t>
  </si>
  <si>
    <t>28-Mar-2016</t>
  </si>
  <si>
    <t>29-Mar-2016</t>
  </si>
  <si>
    <t>30-Mar-2016</t>
  </si>
  <si>
    <t>31-Mar-2016</t>
  </si>
  <si>
    <t>01-Apr-2016</t>
  </si>
  <si>
    <t>02-Apr-2016</t>
  </si>
  <si>
    <t>03-Apr-2016</t>
  </si>
  <si>
    <t>04-Apr-2016</t>
  </si>
  <si>
    <t>05-Apr-2016</t>
  </si>
  <si>
    <t>06-Apr-2016</t>
  </si>
  <si>
    <t>07-Apr-2016</t>
  </si>
  <si>
    <t>08-Apr-2016</t>
  </si>
  <si>
    <t>09-Apr-2016</t>
  </si>
  <si>
    <t>10-Apr-2016</t>
  </si>
  <si>
    <t>11-Apr-2016</t>
  </si>
  <si>
    <t>12-Apr-2016</t>
  </si>
  <si>
    <t>13-Apr-2016</t>
  </si>
  <si>
    <t>14-Apr-2016</t>
  </si>
  <si>
    <t>15-Apr-2016</t>
  </si>
  <si>
    <t>16-Apr-2016</t>
  </si>
  <si>
    <t>17-Apr-2016</t>
  </si>
  <si>
    <t>18-Apr-2016</t>
  </si>
  <si>
    <t>19-Apr-2016</t>
  </si>
  <si>
    <t>20-Apr-2016</t>
  </si>
  <si>
    <t>21-Apr-2016</t>
  </si>
  <si>
    <t>22-Apr-2016</t>
  </si>
  <si>
    <t>23-Apr-2016</t>
  </si>
  <si>
    <t>24-Apr-2016</t>
  </si>
  <si>
    <t>25-Apr-2016</t>
  </si>
  <si>
    <t>26-Apr-2016</t>
  </si>
  <si>
    <t>27-Apr-2016</t>
  </si>
  <si>
    <t>28-Apr-2016</t>
  </si>
  <si>
    <t>29-Apr-2016</t>
  </si>
  <si>
    <t>30-Apr-2016</t>
  </si>
  <si>
    <t>01-May-2016</t>
  </si>
  <si>
    <t>02-May-2016</t>
  </si>
  <si>
    <t>03-May-2016</t>
  </si>
  <si>
    <t>04-May-2016</t>
  </si>
  <si>
    <t>05-May-2016</t>
  </si>
  <si>
    <t>06-May-2016</t>
  </si>
  <si>
    <t>07-May-2016</t>
  </si>
  <si>
    <t>08-May-2016</t>
  </si>
  <si>
    <t>09-May-2016</t>
  </si>
  <si>
    <t>10-May-2016</t>
  </si>
  <si>
    <t>11-May-2016</t>
  </si>
  <si>
    <t>12-May-2016</t>
  </si>
  <si>
    <t>13-May-2016</t>
  </si>
  <si>
    <t>14-May-2016</t>
  </si>
  <si>
    <t>15-May-2016</t>
  </si>
  <si>
    <t>16-May-2016</t>
  </si>
  <si>
    <t>17-May-2016</t>
  </si>
  <si>
    <t>18-May-2016</t>
  </si>
  <si>
    <t>19-May-2016</t>
  </si>
  <si>
    <t>20-May-2016</t>
  </si>
  <si>
    <t>21-May-2016</t>
  </si>
  <si>
    <t>22-May-2016</t>
  </si>
  <si>
    <t>23-May-2016</t>
  </si>
  <si>
    <t>24-May-2016</t>
  </si>
  <si>
    <t>25-May-2016</t>
  </si>
  <si>
    <t>26-May-2016</t>
  </si>
  <si>
    <t>27-May-2016</t>
  </si>
  <si>
    <t>28-May-2016</t>
  </si>
  <si>
    <t>29-May-2016</t>
  </si>
  <si>
    <t>30-May-2016</t>
  </si>
  <si>
    <t>31-May-2016</t>
  </si>
  <si>
    <t>01-Jun-2016</t>
  </si>
  <si>
    <t>02-Jun-2016</t>
  </si>
  <si>
    <t>03-Jun-2016</t>
  </si>
  <si>
    <t>04-Jun-2016</t>
  </si>
  <si>
    <t>05-Jun-2016</t>
  </si>
  <si>
    <t>06-Jun-2016</t>
  </si>
  <si>
    <t>07-Jun-2016</t>
  </si>
  <si>
    <t>08-Jun-2016</t>
  </si>
  <si>
    <t>09-Jun-2016</t>
  </si>
  <si>
    <t>10-Jun-2016</t>
  </si>
  <si>
    <t>11-Jun-2016</t>
  </si>
  <si>
    <t>12-Jun-2016</t>
  </si>
  <si>
    <t>13-Jun-2016</t>
  </si>
  <si>
    <t>14-Jun-2016</t>
  </si>
  <si>
    <t>15-Jun-2016</t>
  </si>
  <si>
    <t>16-Jun-2016</t>
  </si>
  <si>
    <t>17-Jun-2016</t>
  </si>
  <si>
    <t>18-Jun-2016</t>
  </si>
  <si>
    <t>19-Jun-2016</t>
  </si>
  <si>
    <t>20-Jun-2016</t>
  </si>
  <si>
    <t>21-Jun-2016</t>
  </si>
  <si>
    <t>22-Jun-2016</t>
  </si>
  <si>
    <t>23-Jun-2016</t>
  </si>
  <si>
    <t>24-Jun-2016</t>
  </si>
  <si>
    <t>25-Jun-2016</t>
  </si>
  <si>
    <t>26-Jun-2016</t>
  </si>
  <si>
    <t>27-Jun-2016</t>
  </si>
  <si>
    <t>28-Jun-2016</t>
  </si>
  <si>
    <t>29-Jun-2016</t>
  </si>
  <si>
    <t>30-Jun-2016</t>
  </si>
  <si>
    <t>01-Jul-2016</t>
  </si>
  <si>
    <t>02-Jul-2016</t>
  </si>
  <si>
    <t>03-Jul-2016</t>
  </si>
  <si>
    <t>04-Jul-2016</t>
  </si>
  <si>
    <t>05-Jul-2016</t>
  </si>
  <si>
    <t>06-Jul-2016</t>
  </si>
  <si>
    <t>07-Jul-2016</t>
  </si>
  <si>
    <t>08-Jul-2016</t>
  </si>
  <si>
    <t>09-Jul-2016</t>
  </si>
  <si>
    <t>10-Jul-2016</t>
  </si>
  <si>
    <t>11-Jul-2016</t>
  </si>
  <si>
    <t>12-Jul-2016</t>
  </si>
  <si>
    <t>13-Jul-2016</t>
  </si>
  <si>
    <t>14-Jul-2016</t>
  </si>
  <si>
    <t>15-Jul-2016</t>
  </si>
  <si>
    <t>16-Jul-2016</t>
  </si>
  <si>
    <t>17-Jul-2016</t>
  </si>
  <si>
    <t>18-Jul-2016</t>
  </si>
  <si>
    <t>19-Jul-2016</t>
  </si>
  <si>
    <t>20-Jul-2016</t>
  </si>
  <si>
    <t>21-Jul-2016</t>
  </si>
  <si>
    <t>22-Jul-2016</t>
  </si>
  <si>
    <t>23-Jul-2016</t>
  </si>
  <si>
    <t>24-Jul-2016</t>
  </si>
  <si>
    <t>25-Jul-2016</t>
  </si>
  <si>
    <t>26-Jul-2016</t>
  </si>
  <si>
    <t>27-Jul-2016</t>
  </si>
  <si>
    <t>28-Jul-2016</t>
  </si>
  <si>
    <t>29-Jul-2016</t>
  </si>
  <si>
    <t>30-Jul-2016</t>
  </si>
  <si>
    <t>31-Jul-2016</t>
  </si>
  <si>
    <t>01-Aug-2016</t>
  </si>
  <si>
    <t>02-Aug-2016</t>
  </si>
  <si>
    <t>03-Aug-2016</t>
  </si>
  <si>
    <t>04-Aug-2016</t>
  </si>
  <si>
    <t>05-Aug-2016</t>
  </si>
  <si>
    <t>06-Aug-2016</t>
  </si>
  <si>
    <t>07-Aug-2016</t>
  </si>
  <si>
    <t>08-Aug-2016</t>
  </si>
  <si>
    <t>09-Aug-2016</t>
  </si>
  <si>
    <t>10-Aug-2016</t>
  </si>
  <si>
    <t>11-Aug-2016</t>
  </si>
  <si>
    <t>12-Aug-2016</t>
  </si>
  <si>
    <t>13-Aug-2016</t>
  </si>
  <si>
    <t>14-Aug-2016</t>
  </si>
  <si>
    <t>15-Aug-2016</t>
  </si>
  <si>
    <t>16-Aug-2016</t>
  </si>
  <si>
    <t>17-Aug-2016</t>
  </si>
  <si>
    <t>18-Aug-2016</t>
  </si>
  <si>
    <t>19-Aug-2016</t>
  </si>
  <si>
    <t>20-Aug-2016</t>
  </si>
  <si>
    <t>21-Aug-2016</t>
  </si>
  <si>
    <t>22-Aug-2016</t>
  </si>
  <si>
    <t>23-Aug-2016</t>
  </si>
  <si>
    <t>24-Aug-2016</t>
  </si>
  <si>
    <t>25-Aug-2016</t>
  </si>
  <si>
    <t>26-Aug-2016</t>
  </si>
  <si>
    <t>27-Aug-2016</t>
  </si>
  <si>
    <t>28-Aug-2016</t>
  </si>
  <si>
    <t>29-Aug-2016</t>
  </si>
  <si>
    <t>30-Aug-2016</t>
  </si>
  <si>
    <t>31-Aug-2016</t>
  </si>
  <si>
    <t>01-Sep-2016</t>
  </si>
  <si>
    <t>02-Sep-2016</t>
  </si>
  <si>
    <t>03-Sep-2016</t>
  </si>
  <si>
    <t>04-Sep-2016</t>
  </si>
  <si>
    <t>05-Sep-2016</t>
  </si>
  <si>
    <t>06-Sep-2016</t>
  </si>
  <si>
    <t>07-Sep-2016</t>
  </si>
  <si>
    <t>08-Sep-2016</t>
  </si>
  <si>
    <t>09-Sep-2016</t>
  </si>
  <si>
    <t>10-Sep-2016</t>
  </si>
  <si>
    <t>11-Sep-2016</t>
  </si>
  <si>
    <t>12-Sep-2016</t>
  </si>
  <si>
    <t>13-Sep-2016</t>
  </si>
  <si>
    <t>14-Sep-2016</t>
  </si>
  <si>
    <t>15-Sep-2016</t>
  </si>
  <si>
    <t>16-Sep-2016</t>
  </si>
  <si>
    <t>17-Sep-2016</t>
  </si>
  <si>
    <t>18-Sep-2016</t>
  </si>
  <si>
    <t>19-Sep-2016</t>
  </si>
  <si>
    <t>20-Sep-2016</t>
  </si>
  <si>
    <t>21-Sep-2016</t>
  </si>
  <si>
    <t>22-Sep-2016</t>
  </si>
  <si>
    <t>23-Sep-2016</t>
  </si>
  <si>
    <t>24-Sep-2016</t>
  </si>
  <si>
    <t>25-Sep-2016</t>
  </si>
  <si>
    <t>26-Sep-2016</t>
  </si>
  <si>
    <t>27-Sep-2016</t>
  </si>
  <si>
    <t>28-Sep-2016</t>
  </si>
  <si>
    <t>29-Sep-2016</t>
  </si>
  <si>
    <t>30-Sep-2016</t>
  </si>
  <si>
    <t>01-Oct-2016</t>
  </si>
  <si>
    <t>02-Oct-2016</t>
  </si>
  <si>
    <t>03-Oct-2016</t>
  </si>
  <si>
    <t>04-Oct-2016</t>
  </si>
  <si>
    <t>05-Oct-2016</t>
  </si>
  <si>
    <t>06-Oct-2016</t>
  </si>
  <si>
    <t>07-Oct-2016</t>
  </si>
  <si>
    <t>08-Oct-2016</t>
  </si>
  <si>
    <t>09-Oct-2016</t>
  </si>
  <si>
    <t>10-Oct-2016</t>
  </si>
  <si>
    <t>11-Oct-2016</t>
  </si>
  <si>
    <t>12-Oct-2016</t>
  </si>
  <si>
    <t>13-Oct-2016</t>
  </si>
  <si>
    <t>14-Oct-2016</t>
  </si>
  <si>
    <t>15-Oct-2016</t>
  </si>
  <si>
    <t>16-Oct-2016</t>
  </si>
  <si>
    <t>17-Oct-2016</t>
  </si>
  <si>
    <t>18-Oct-2016</t>
  </si>
  <si>
    <t>19-Oct-2016</t>
  </si>
  <si>
    <t>20-Oct-2016</t>
  </si>
  <si>
    <t>21-Oct-2016</t>
  </si>
  <si>
    <t>22-Oct-2016</t>
  </si>
  <si>
    <t>23-Oct-2016</t>
  </si>
  <si>
    <t>24-Oct-2016</t>
  </si>
  <si>
    <t>25-Oct-2016</t>
  </si>
  <si>
    <t>26-Oct-2016</t>
  </si>
  <si>
    <t>27-Oct-2016</t>
  </si>
  <si>
    <t>28-Oct-2016</t>
  </si>
  <si>
    <t>29-Oct-2016</t>
  </si>
  <si>
    <t>30-Oct-2016</t>
  </si>
  <si>
    <t>31-Oct-2016</t>
  </si>
  <si>
    <t>01-Nov-2016</t>
  </si>
  <si>
    <t>02-Nov-2016</t>
  </si>
  <si>
    <t>03-Nov-2016</t>
  </si>
  <si>
    <t>04-Nov-2016</t>
  </si>
  <si>
    <t>05-Nov-2016</t>
  </si>
  <si>
    <t>06-Nov-2016</t>
  </si>
  <si>
    <t>07-Nov-2016</t>
  </si>
  <si>
    <t>08-Nov-2016</t>
  </si>
  <si>
    <t>09-Nov-2016</t>
  </si>
  <si>
    <t>10-Nov-2016</t>
  </si>
  <si>
    <t>11-Nov-2016</t>
  </si>
  <si>
    <t>12-Nov-2016</t>
  </si>
  <si>
    <t>13-Nov-2016</t>
  </si>
  <si>
    <t>14-Nov-2016</t>
  </si>
  <si>
    <t>15-Nov-2016</t>
  </si>
  <si>
    <t>16-Nov-2016</t>
  </si>
  <si>
    <t>17-Nov-2016</t>
  </si>
  <si>
    <t>18-Nov-2016</t>
  </si>
  <si>
    <t>19-Nov-2016</t>
  </si>
  <si>
    <t>20-Nov-2016</t>
  </si>
  <si>
    <t>21-Nov-2016</t>
  </si>
  <si>
    <t>22-Nov-2016</t>
  </si>
  <si>
    <t>23-Nov-2016</t>
  </si>
  <si>
    <t>24-Nov-2016</t>
  </si>
  <si>
    <t>25-Nov-2016</t>
  </si>
  <si>
    <t>26-Nov-2016</t>
  </si>
  <si>
    <t>27-Nov-2016</t>
  </si>
  <si>
    <t>28-Nov-2016</t>
  </si>
  <si>
    <t>29-Nov-2016</t>
  </si>
  <si>
    <t>30-Nov-2016</t>
  </si>
  <si>
    <t>01-Dec-2016</t>
  </si>
  <si>
    <t>02-Dec-2016</t>
  </si>
  <si>
    <t>03-Dec-2016</t>
  </si>
  <si>
    <t>04-Dec-2016</t>
  </si>
  <si>
    <t>05-Dec-2016</t>
  </si>
  <si>
    <t>06-Dec-2016</t>
  </si>
  <si>
    <t>07-Dec-2016</t>
  </si>
  <si>
    <t>08-Dec-2016</t>
  </si>
  <si>
    <t>09-Dec-2016</t>
  </si>
  <si>
    <t>10-Dec-2016</t>
  </si>
  <si>
    <t>11-Dec-2016</t>
  </si>
  <si>
    <t>12-Dec-2016</t>
  </si>
  <si>
    <t>13-Dec-2016</t>
  </si>
  <si>
    <t>14-Dec-2016</t>
  </si>
  <si>
    <t>15-Dec-2016</t>
  </si>
  <si>
    <t>16-Dec-2016</t>
  </si>
  <si>
    <t>17-Dec-2016</t>
  </si>
  <si>
    <t>18-Dec-2016</t>
  </si>
  <si>
    <t>19-Dec-2016</t>
  </si>
  <si>
    <t>20-Dec-2016</t>
  </si>
  <si>
    <t>21-Dec-2016</t>
  </si>
  <si>
    <t>22-Dec-2016</t>
  </si>
  <si>
    <t>23-Dec-2016</t>
  </si>
  <si>
    <t>24-Dec-2016</t>
  </si>
  <si>
    <t>25-Dec-2016</t>
  </si>
  <si>
    <t>26-Dec-2016</t>
  </si>
  <si>
    <t>27-Dec-2016</t>
  </si>
  <si>
    <t>28-Dec-2016</t>
  </si>
  <si>
    <t>29-Dec-2016</t>
  </si>
  <si>
    <t>30-Dec-2016</t>
  </si>
  <si>
    <t>31-Dec-2016</t>
  </si>
  <si>
    <t>01-Jan-2017</t>
  </si>
  <si>
    <t>02-Jan-2017</t>
  </si>
  <si>
    <t>03-Jan-2017</t>
  </si>
  <si>
    <t>04-Jan-2017</t>
  </si>
  <si>
    <t>05-Jan-2017</t>
  </si>
  <si>
    <t>06-Jan-2017</t>
  </si>
  <si>
    <t>07-Jan-2017</t>
  </si>
  <si>
    <t>08-Jan-2017</t>
  </si>
  <si>
    <t>09-Jan-2017</t>
  </si>
  <si>
    <t>10-Jan-2017</t>
  </si>
  <si>
    <t>11-Jan-2017</t>
  </si>
  <si>
    <t>12-Jan-2017</t>
  </si>
  <si>
    <t>13-Jan-2017</t>
  </si>
  <si>
    <t>14-Jan-2017</t>
  </si>
  <si>
    <t>15-Jan-2017</t>
  </si>
  <si>
    <t>16-Jan-2017</t>
  </si>
  <si>
    <t>17-Jan-2017</t>
  </si>
  <si>
    <t>18-Jan-2017</t>
  </si>
  <si>
    <t>19-Jan-2017</t>
  </si>
  <si>
    <t>20-Jan-2017</t>
  </si>
  <si>
    <t>21-Jan-2017</t>
  </si>
  <si>
    <t>22-Jan-2017</t>
  </si>
  <si>
    <t>23-Jan-2017</t>
  </si>
  <si>
    <t>24-Jan-2017</t>
  </si>
  <si>
    <t>25-Jan-2017</t>
  </si>
  <si>
    <t>26-Jan-2017</t>
  </si>
  <si>
    <t>27-Jan-2017</t>
  </si>
  <si>
    <t>28-Jan-2017</t>
  </si>
  <si>
    <t>29-Jan-2017</t>
  </si>
  <si>
    <t>30-Jan-2017</t>
  </si>
  <si>
    <t>31-Jan-2017</t>
  </si>
  <si>
    <t>01-Feb-2017</t>
  </si>
  <si>
    <t>02-Feb-2017</t>
  </si>
  <si>
    <t>03-Feb-2017</t>
  </si>
  <si>
    <t>04-Feb-2017</t>
  </si>
  <si>
    <t>05-Feb-2017</t>
  </si>
  <si>
    <t>06-Feb-2017</t>
  </si>
  <si>
    <t>07-Feb-2017</t>
  </si>
  <si>
    <t>08-Feb-2017</t>
  </si>
  <si>
    <t>09-Feb-2017</t>
  </si>
  <si>
    <t>10-Feb-2017</t>
  </si>
  <si>
    <t>11-Feb-2017</t>
  </si>
  <si>
    <t>12-Feb-2017</t>
  </si>
  <si>
    <t>13-Feb-2017</t>
  </si>
  <si>
    <t>14-Feb-2017</t>
  </si>
  <si>
    <t>15-Feb-2017</t>
  </si>
  <si>
    <t>16-Feb-2017</t>
  </si>
  <si>
    <t>17-Feb-2017</t>
  </si>
  <si>
    <t>18-Feb-2017</t>
  </si>
  <si>
    <t>19-Feb-2017</t>
  </si>
  <si>
    <t>20-Feb-2017</t>
  </si>
  <si>
    <t>21-Feb-2017</t>
  </si>
  <si>
    <t>22-Feb-2017</t>
  </si>
  <si>
    <t>23-Feb-2017</t>
  </si>
  <si>
    <t>24-Feb-2017</t>
  </si>
  <si>
    <t>25-Feb-2017</t>
  </si>
  <si>
    <t>26-Feb-2017</t>
  </si>
  <si>
    <t>27-Feb-2017</t>
  </si>
  <si>
    <t>28-Feb-2017</t>
  </si>
  <si>
    <t>01-Mar-2017</t>
  </si>
  <si>
    <t>02-Mar-2017</t>
  </si>
  <si>
    <t>03-Mar-2017</t>
  </si>
  <si>
    <t>04-Mar-2017</t>
  </si>
  <si>
    <t>05-Mar-2017</t>
  </si>
  <si>
    <t>06-Mar-2017</t>
  </si>
  <si>
    <t>07-Mar-2017</t>
  </si>
  <si>
    <t>08-Mar-2017</t>
  </si>
  <si>
    <t>09-Mar-2017</t>
  </si>
  <si>
    <t>10-Mar-2017</t>
  </si>
  <si>
    <t>11-Mar-2017</t>
  </si>
  <si>
    <t>12-Mar-2017</t>
  </si>
  <si>
    <t>13-Mar-2017</t>
  </si>
  <si>
    <t>14-Mar-2017</t>
  </si>
  <si>
    <t>15-Mar-2017</t>
  </si>
  <si>
    <t>16-Mar-2017</t>
  </si>
  <si>
    <t>17-Mar-2017</t>
  </si>
  <si>
    <t>18-Mar-2017</t>
  </si>
  <si>
    <t>19-Mar-2017</t>
  </si>
  <si>
    <t>20-Mar-2017</t>
  </si>
  <si>
    <t>21-Mar-2017</t>
  </si>
  <si>
    <t>22-Mar-2017</t>
  </si>
  <si>
    <t>23-Mar-2017</t>
  </si>
  <si>
    <t>24-Mar-2017</t>
  </si>
  <si>
    <t>25-Mar-2017</t>
  </si>
  <si>
    <t>26-Mar-2017</t>
  </si>
  <si>
    <t>27-Mar-2017</t>
  </si>
  <si>
    <t>28-Mar-2017</t>
  </si>
  <si>
    <t>29-Mar-2017</t>
  </si>
  <si>
    <t>30-Mar-2017</t>
  </si>
  <si>
    <t>31-Mar-2017</t>
  </si>
  <si>
    <t>01-Apr-2017</t>
  </si>
  <si>
    <t>02-Apr-2017</t>
  </si>
  <si>
    <t>03-Apr-2017</t>
  </si>
  <si>
    <t>04-Apr-2017</t>
  </si>
  <si>
    <t>05-Apr-2017</t>
  </si>
  <si>
    <t>06-Apr-2017</t>
  </si>
  <si>
    <t>07-Apr-2017</t>
  </si>
  <si>
    <t>08-Apr-2017</t>
  </si>
  <si>
    <t>09-Apr-2017</t>
  </si>
  <si>
    <t>10-Apr-2017</t>
  </si>
  <si>
    <t>11-Apr-2017</t>
  </si>
  <si>
    <t>12-Apr-2017</t>
  </si>
  <si>
    <t>13-Apr-2017</t>
  </si>
  <si>
    <t>14-Apr-2017</t>
  </si>
  <si>
    <t>15-Apr-2017</t>
  </si>
  <si>
    <t>16-Apr-2017</t>
  </si>
  <si>
    <t>17-Apr-2017</t>
  </si>
  <si>
    <t>18-Apr-2017</t>
  </si>
  <si>
    <t>19-Apr-2017</t>
  </si>
  <si>
    <t>20-Apr-2017</t>
  </si>
  <si>
    <t>21-Apr-2017</t>
  </si>
  <si>
    <t>22-Apr-2017</t>
  </si>
  <si>
    <t>23-Apr-2017</t>
  </si>
  <si>
    <t>24-Apr-2017</t>
  </si>
  <si>
    <t>25-Apr-2017</t>
  </si>
  <si>
    <t>26-Apr-2017</t>
  </si>
  <si>
    <t>27-Apr-2017</t>
  </si>
  <si>
    <t>28-Apr-2017</t>
  </si>
  <si>
    <t>29-Apr-2017</t>
  </si>
  <si>
    <t>30-Apr-2017</t>
  </si>
  <si>
    <t>01-May-2017</t>
  </si>
  <si>
    <t>02-May-2017</t>
  </si>
  <si>
    <t>03-May-2017</t>
  </si>
  <si>
    <t>04-May-2017</t>
  </si>
  <si>
    <t>05-May-2017</t>
  </si>
  <si>
    <t>06-May-2017</t>
  </si>
  <si>
    <t>07-May-2017</t>
  </si>
  <si>
    <t>08-May-2017</t>
  </si>
  <si>
    <t>09-May-2017</t>
  </si>
  <si>
    <t>10-May-2017</t>
  </si>
  <si>
    <t>11-May-2017</t>
  </si>
  <si>
    <t>12-May-2017</t>
  </si>
  <si>
    <t>13-May-2017</t>
  </si>
  <si>
    <t>14-May-2017</t>
  </si>
  <si>
    <t>15-May-2017</t>
  </si>
  <si>
    <t>16-May-2017</t>
  </si>
  <si>
    <t>17-May-2017</t>
  </si>
  <si>
    <t>18-May-2017</t>
  </si>
  <si>
    <t>19-May-2017</t>
  </si>
  <si>
    <t>20-May-2017</t>
  </si>
  <si>
    <t>21-May-2017</t>
  </si>
  <si>
    <t>22-May-2017</t>
  </si>
  <si>
    <t>23-May-2017</t>
  </si>
  <si>
    <t>24-May-2017</t>
  </si>
  <si>
    <t>25-May-2017</t>
  </si>
  <si>
    <t>26-May-2017</t>
  </si>
  <si>
    <t>27-May-2017</t>
  </si>
  <si>
    <t>28-May-2017</t>
  </si>
  <si>
    <t>29-May-2017</t>
  </si>
  <si>
    <t>30-May-2017</t>
  </si>
  <si>
    <t>31-May-2017</t>
  </si>
  <si>
    <t>01-Jun-2017</t>
  </si>
  <si>
    <t>02-Jun-2017</t>
  </si>
  <si>
    <t>03-Jun-2017</t>
  </si>
  <si>
    <t>04-Jun-2017</t>
  </si>
  <si>
    <t>05-Jun-2017</t>
  </si>
  <si>
    <t>06-Jun-2017</t>
  </si>
  <si>
    <t>07-Jun-2017</t>
  </si>
  <si>
    <t>08-Jun-2017</t>
  </si>
  <si>
    <t>09-Jun-2017</t>
  </si>
  <si>
    <t>10-Jun-2017</t>
  </si>
  <si>
    <t>11-Jun-2017</t>
  </si>
  <si>
    <t>12-Jun-2017</t>
  </si>
  <si>
    <t>13-Jun-2017</t>
  </si>
  <si>
    <t>14-Jun-2017</t>
  </si>
  <si>
    <t>15-Jun-2017</t>
  </si>
  <si>
    <t>16-Jun-2017</t>
  </si>
  <si>
    <t>17-Jun-2017</t>
  </si>
  <si>
    <t>18-Jun-2017</t>
  </si>
  <si>
    <t>19-Jun-2017</t>
  </si>
  <si>
    <t>20-Jun-2017</t>
  </si>
  <si>
    <t>21-Jun-2017</t>
  </si>
  <si>
    <t>22-Jun-2017</t>
  </si>
  <si>
    <t>23-Jun-2017</t>
  </si>
  <si>
    <t>25-Jun-2017</t>
  </si>
  <si>
    <t>26-Jun-2017</t>
  </si>
  <si>
    <t>27-Jun-2017</t>
  </si>
  <si>
    <t>28-Jun-2017</t>
  </si>
  <si>
    <t>29-Jun-2017</t>
  </si>
  <si>
    <t>30-Jun-2017</t>
  </si>
  <si>
    <t>01-Jul-2017</t>
  </si>
  <si>
    <t>02-Jul-2017</t>
  </si>
  <si>
    <t>03-Jul-2017</t>
  </si>
  <si>
    <t>04-Jul-2017</t>
  </si>
  <si>
    <t>05-Jul-2017</t>
  </si>
  <si>
    <t>06-Jul-2017</t>
  </si>
  <si>
    <t>07-Jul-2017</t>
  </si>
  <si>
    <t>08-Jul-2017</t>
  </si>
  <si>
    <t>09-Jul-2017</t>
  </si>
  <si>
    <t>10-Jul-2017</t>
  </si>
  <si>
    <t>11-Jul-2017</t>
  </si>
  <si>
    <t>12-Jul-2017</t>
  </si>
  <si>
    <t>13-Jul-2017</t>
  </si>
  <si>
    <t>14-Jul-2017</t>
  </si>
  <si>
    <t>15-Jul-2017</t>
  </si>
  <si>
    <t>16-Jul-2017</t>
  </si>
  <si>
    <t>17-Jul-2017</t>
  </si>
  <si>
    <t>18-Jul-2017</t>
  </si>
  <si>
    <t>19-Jul-2017</t>
  </si>
  <si>
    <t>20-Jul-2017</t>
  </si>
  <si>
    <t>21-Jul-2017</t>
  </si>
  <si>
    <t>22-Jul-2017</t>
  </si>
  <si>
    <t>23-Jul-2017</t>
  </si>
  <si>
    <t>24-Jul-2017</t>
  </si>
  <si>
    <t>25-Jul-2017</t>
  </si>
  <si>
    <t>26-Jul-2017</t>
  </si>
  <si>
    <t>27-Jul-2017</t>
  </si>
  <si>
    <t>28-Jul-2017</t>
  </si>
  <si>
    <t>29-Jul-2017</t>
  </si>
  <si>
    <t>30-Jul-2017</t>
  </si>
  <si>
    <t>31-Jul-2017</t>
  </si>
  <si>
    <t>01-Aug-2017</t>
  </si>
  <si>
    <t>02-Aug-2017</t>
  </si>
  <si>
    <t>03-Aug-2017</t>
  </si>
  <si>
    <t>04-Aug-2017</t>
  </si>
  <si>
    <t>05-Aug-2017</t>
  </si>
  <si>
    <t>06-Aug-2017</t>
  </si>
  <si>
    <t>07-Aug-2017</t>
  </si>
  <si>
    <t>08-Aug-2017</t>
  </si>
  <si>
    <t>09-Aug-2017</t>
  </si>
  <si>
    <t>10-Aug-2017</t>
  </si>
  <si>
    <t>11-Aug-2017</t>
  </si>
  <si>
    <t>12-Aug-2017</t>
  </si>
  <si>
    <t>13-Aug-2017</t>
  </si>
  <si>
    <t>14-Aug-2017</t>
  </si>
  <si>
    <t>15-Aug-2017</t>
  </si>
  <si>
    <t>16-Aug-2017</t>
  </si>
  <si>
    <t>17-Aug-2017</t>
  </si>
  <si>
    <t>18-Aug-2017</t>
  </si>
  <si>
    <t>19-Aug-2017</t>
  </si>
  <si>
    <t>20-Aug-2017</t>
  </si>
  <si>
    <t>21-Aug-2017</t>
  </si>
  <si>
    <t>22-Aug-2017</t>
  </si>
  <si>
    <t>23-Aug-2017</t>
  </si>
  <si>
    <t>24-Aug-2017</t>
  </si>
  <si>
    <t>25-Aug-2017</t>
  </si>
  <si>
    <t>26-Aug-2017</t>
  </si>
  <si>
    <t>27-Aug-2017</t>
  </si>
  <si>
    <t>28-Aug-2017</t>
  </si>
  <si>
    <t>29-Aug-2017</t>
  </si>
  <si>
    <t>30-Aug-2017</t>
  </si>
  <si>
    <t>31-Aug-2017</t>
  </si>
  <si>
    <t>01-Sep-2017</t>
  </si>
  <si>
    <t>02-Sep-2017</t>
  </si>
  <si>
    <t>03-Sep-2017</t>
  </si>
  <si>
    <t>04-Sep-2017</t>
  </si>
  <si>
    <t>05-Sep-2017</t>
  </si>
  <si>
    <t>06-Sep-2017</t>
  </si>
  <si>
    <t>07-Sep-2017</t>
  </si>
  <si>
    <t>08-Sep-2017</t>
  </si>
  <si>
    <t>09-Sep-2017</t>
  </si>
  <si>
    <t>10-Sep-2017</t>
  </si>
  <si>
    <t>11-Sep-2017</t>
  </si>
  <si>
    <t>12-Sep-2017</t>
  </si>
  <si>
    <t>13-Sep-2017</t>
  </si>
  <si>
    <t>14-Sep-2017</t>
  </si>
  <si>
    <t>15-Sep-2017</t>
  </si>
  <si>
    <t>16-Sep-2017</t>
  </si>
  <si>
    <t>17-Sep-2017</t>
  </si>
  <si>
    <t>18-Sep-2017</t>
  </si>
  <si>
    <t>19-Sep-2017</t>
  </si>
  <si>
    <t>20-Sep-2017</t>
  </si>
  <si>
    <t>21-Sep-2017</t>
  </si>
  <si>
    <t>22-Sep-2017</t>
  </si>
  <si>
    <t>23-Sep-2017</t>
  </si>
  <si>
    <t>24-Sep-2017</t>
  </si>
  <si>
    <t>25-Sep-2017</t>
  </si>
  <si>
    <t>26-Sep-2017</t>
  </si>
  <si>
    <t>27-Sep-2017</t>
  </si>
  <si>
    <t>28-Sep-2017</t>
  </si>
  <si>
    <t>29-Sep-2017</t>
  </si>
  <si>
    <t>30-Sep-2017</t>
  </si>
  <si>
    <t>01-Oct-2017</t>
  </si>
  <si>
    <t>02-Oct-2017</t>
  </si>
  <si>
    <t>03-Oct-2017</t>
  </si>
  <si>
    <t>04-Oct-2017</t>
  </si>
  <si>
    <t>05-Oct-2017</t>
  </si>
  <si>
    <t>06-Oct-2017</t>
  </si>
  <si>
    <t>07-Oct-2017</t>
  </si>
  <si>
    <t>08-Oct-2017</t>
  </si>
  <si>
    <t>09-Oct-2017</t>
  </si>
  <si>
    <t>10-Oct-2017</t>
  </si>
  <si>
    <t>11-Oct-2017</t>
  </si>
  <si>
    <t>12-Oct-2017</t>
  </si>
  <si>
    <t>13-Oct-2017</t>
  </si>
  <si>
    <t>14-Oct-2017</t>
  </si>
  <si>
    <t>15-Oct-2017</t>
  </si>
  <si>
    <t>16-Oct-2017</t>
  </si>
  <si>
    <t>17-Oct-2017</t>
  </si>
  <si>
    <t>18-Oct-2017</t>
  </si>
  <si>
    <t>19-Oct-2017</t>
  </si>
  <si>
    <t>20-Oct-2017</t>
  </si>
  <si>
    <t>21-Oct-2017</t>
  </si>
  <si>
    <t>22-Oct-2017</t>
  </si>
  <si>
    <t>23-Oct-2017</t>
  </si>
  <si>
    <t>24-Oct-2017</t>
  </si>
  <si>
    <t>25-Oct-2017</t>
  </si>
  <si>
    <t>26-Oct-2017</t>
  </si>
  <si>
    <t>27-Oct-2017</t>
  </si>
  <si>
    <t>28-Oct-2017</t>
  </si>
  <si>
    <t>29-Oct-2017</t>
  </si>
  <si>
    <t>30-Oct-2017</t>
  </si>
  <si>
    <t>31-Oct-2017</t>
  </si>
  <si>
    <t>01-Nov-2017</t>
  </si>
  <si>
    <t>02-Nov-2017</t>
  </si>
  <si>
    <t>03-Nov-2017</t>
  </si>
  <si>
    <t>04-Nov-2017</t>
  </si>
  <si>
    <t>05-Nov-2017</t>
  </si>
  <si>
    <t>06-Nov-2017</t>
  </si>
  <si>
    <t>07-Nov-2017</t>
  </si>
  <si>
    <t>08-Nov-2017</t>
  </si>
  <si>
    <t>09-Nov-2017</t>
  </si>
  <si>
    <t>10-Nov-2017</t>
  </si>
  <si>
    <t>11-Nov-2017</t>
  </si>
  <si>
    <t>12-Nov-2017</t>
  </si>
  <si>
    <t>13-Nov-2017</t>
  </si>
  <si>
    <t>14-Nov-2017</t>
  </si>
  <si>
    <t>15-Nov-2017</t>
  </si>
  <si>
    <t>16-Nov-2017</t>
  </si>
  <si>
    <t>17-Nov-2017</t>
  </si>
  <si>
    <t>18-Nov-2017</t>
  </si>
  <si>
    <t>19-Nov-2017</t>
  </si>
  <si>
    <t>20-Nov-2017</t>
  </si>
  <si>
    <t>21-Nov-2017</t>
  </si>
  <si>
    <t>22-Nov-2017</t>
  </si>
  <si>
    <t>23-Nov-2017</t>
  </si>
  <si>
    <t>24-Nov-2017</t>
  </si>
  <si>
    <t>25-Nov-2017</t>
  </si>
  <si>
    <t>26-Nov-2017</t>
  </si>
  <si>
    <t>27-Nov-2017</t>
  </si>
  <si>
    <t>28-Nov-2017</t>
  </si>
  <si>
    <t>29-Nov-2017</t>
  </si>
  <si>
    <t>30-Nov-2017</t>
  </si>
  <si>
    <t>01-Dec-2017</t>
  </si>
  <si>
    <t>02-Dec-2017</t>
  </si>
  <si>
    <t>03-Dec-2017</t>
  </si>
  <si>
    <t>04-Dec-2017</t>
  </si>
  <si>
    <t>05-Dec-2017</t>
  </si>
  <si>
    <t>06-Dec-2017</t>
  </si>
  <si>
    <t>07-Dec-2017</t>
  </si>
  <si>
    <t>08-Dec-2017</t>
  </si>
  <si>
    <t>09-Dec-2017</t>
  </si>
  <si>
    <t>10-Dec-2017</t>
  </si>
  <si>
    <t>11-Dec-2017</t>
  </si>
  <si>
    <t>12-Dec-2017</t>
  </si>
  <si>
    <t>13-Dec-2017</t>
  </si>
  <si>
    <t>14-Dec-2017</t>
  </si>
  <si>
    <t>15-Dec-2017</t>
  </si>
  <si>
    <t>16-Dec-2017</t>
  </si>
  <si>
    <t>17-Dec-2017</t>
  </si>
  <si>
    <t>18-Dec-2017</t>
  </si>
  <si>
    <t>19-Dec-2017</t>
  </si>
  <si>
    <t>20-Dec-2017</t>
  </si>
  <si>
    <t>21-Dec-2017</t>
  </si>
  <si>
    <t>22-Dec-2017</t>
  </si>
  <si>
    <t>23-Dec-2017</t>
  </si>
  <si>
    <t>24-Dec-2017</t>
  </si>
  <si>
    <t>25-Dec-2017</t>
  </si>
  <si>
    <t>26-Dec-2017</t>
  </si>
  <si>
    <t>27-Dec-2017</t>
  </si>
  <si>
    <t>28-Dec-2017</t>
  </si>
  <si>
    <t>29-Dec-2017</t>
  </si>
  <si>
    <t>30-Dec-2017</t>
  </si>
  <si>
    <t>31-Dec-2017</t>
  </si>
  <si>
    <t>Rainfall and Rain Intensity with 25 Years of Return Period</t>
  </si>
  <si>
    <t>Rainfall Calculation and Rainfall Intensity (GUMBLE &amp; MONONOBE METHODS)</t>
  </si>
  <si>
    <t>Calculation of Rainfall per days (Xt)</t>
  </si>
  <si>
    <r>
      <t xml:space="preserve">Calculate Maximum Rainfall </t>
    </r>
    <r>
      <rPr>
        <i/>
        <sz val="12"/>
        <rFont val="Arial"/>
        <family val="2"/>
      </rPr>
      <t>(</t>
    </r>
    <r>
      <rPr>
        <b/>
        <i/>
        <sz val="12"/>
        <rFont val="Arial"/>
        <family val="2"/>
      </rPr>
      <t>with annual Serries methods</t>
    </r>
    <r>
      <rPr>
        <i/>
        <sz val="12"/>
        <rFont val="Arial"/>
        <family val="2"/>
      </rPr>
      <t>)</t>
    </r>
  </si>
  <si>
    <t>Maximum days Rainfall (mm/days)</t>
  </si>
  <si>
    <t>b</t>
  </si>
  <si>
    <t>Xi (mm)</t>
  </si>
  <si>
    <t>(X-Xi)</t>
  </si>
  <si>
    <t>(X-Xi)2</t>
  </si>
  <si>
    <t>n+1</t>
  </si>
  <si>
    <t>(n+1)-m</t>
  </si>
  <si>
    <t>(n+1)-m/(n+1)</t>
  </si>
  <si>
    <t xml:space="preserve"> - ln (a)</t>
  </si>
  <si>
    <t>-ln (b)</t>
  </si>
  <si>
    <t>©-(Yn)</t>
  </si>
  <si>
    <t>(d)^2</t>
  </si>
  <si>
    <t>(n)</t>
  </si>
  <si>
    <t>Total</t>
  </si>
  <si>
    <t>Calculation Formula :</t>
  </si>
  <si>
    <t>Average (X)  =</t>
  </si>
  <si>
    <t>mm</t>
  </si>
  <si>
    <t>X =</t>
  </si>
  <si>
    <t>Tot Xi / n</t>
  </si>
  <si>
    <t>Calculate Standard Deviation (S)</t>
  </si>
  <si>
    <t>S =</t>
  </si>
  <si>
    <t>(tot (X - Xi)^2/(n-1))^0.5</t>
  </si>
  <si>
    <t>Calculate Correction Factor (Yn)</t>
  </si>
  <si>
    <t>Yn =</t>
  </si>
  <si>
    <t>-LN(-LN((n+1)-m))/(n+1)</t>
  </si>
  <si>
    <t>Calculate Standard Deviation Correction (Sn)</t>
  </si>
  <si>
    <t>Sn =</t>
  </si>
  <si>
    <t>(Tot (d)^2/(n-1))^0.5</t>
  </si>
  <si>
    <t>Calculate Varian Correction (Yt)</t>
  </si>
  <si>
    <t>Yt =</t>
  </si>
  <si>
    <t>- ln(-ln (T-1)/T))</t>
  </si>
  <si>
    <t>25 Years of Return Period  (T=25)</t>
  </si>
  <si>
    <t>Rainfall with 25 years of return period (mm/days)  (Xt)</t>
  </si>
  <si>
    <t>mm/days</t>
  </si>
  <si>
    <t xml:space="preserve">Xt = </t>
  </si>
  <si>
    <t>X + S/Sn (Yt-Yn)</t>
  </si>
  <si>
    <t xml:space="preserve">Calculation of Rainfall Intensity (I)  </t>
  </si>
  <si>
    <r>
      <t xml:space="preserve">Calculate Intensity Rainfall </t>
    </r>
    <r>
      <rPr>
        <b/>
        <i/>
        <sz val="12"/>
        <rFont val="Arial"/>
        <family val="2"/>
      </rPr>
      <t>(Partial Series: MONONOBE METHODS)</t>
    </r>
  </si>
  <si>
    <t>Rain intensity with 25 year return period</t>
  </si>
  <si>
    <t>mm/hr</t>
  </si>
  <si>
    <t>I =</t>
  </si>
  <si>
    <t>Years</t>
  </si>
  <si>
    <t>(t = rain period for 1 hr intensity, t=1)</t>
  </si>
  <si>
    <t>(R84/84) x (84/t)^2/3</t>
  </si>
  <si>
    <t>Rainfall and Rain Intensity with 10 Years of Return Period</t>
  </si>
  <si>
    <t>Rainfall with 10 years of return period (mm/days)  (Xt)</t>
  </si>
  <si>
    <t>10 Years of Return Period  (T=10)</t>
  </si>
  <si>
    <t>Rain intensity with 10 year return period</t>
  </si>
  <si>
    <t>Rainfall and Rain Intensity with 5 Years of Return Period</t>
  </si>
  <si>
    <t>5 Years of Return Period  (T=5)</t>
  </si>
  <si>
    <t>Rain intensity with 5 year return period</t>
  </si>
  <si>
    <t>Rainfall with 5 years of return period (mm/days)  (Xt)</t>
  </si>
  <si>
    <t>Rainfall and Rain Intensity with 2 Years of Return Period</t>
  </si>
  <si>
    <t>2 Years of Return Period  (T=2)</t>
  </si>
  <si>
    <t>Rainfall with 2 years of return period (mm/days)  (Xt)</t>
  </si>
  <si>
    <t>Rain intensity with 2 year return period</t>
  </si>
  <si>
    <t>Rainfall Itensity (mm/hour)</t>
  </si>
  <si>
    <t>Gumble Method</t>
  </si>
  <si>
    <t>T=10</t>
  </si>
  <si>
    <t>T=25</t>
  </si>
  <si>
    <t>T=2</t>
  </si>
  <si>
    <t>T=5</t>
  </si>
  <si>
    <r>
      <t>R</t>
    </r>
    <r>
      <rPr>
        <b/>
        <vertAlign val="subscript"/>
        <sz val="9"/>
        <color theme="1"/>
        <rFont val="Arial"/>
        <family val="2"/>
      </rPr>
      <t>max</t>
    </r>
    <r>
      <rPr>
        <b/>
        <sz val="9"/>
        <color theme="1"/>
        <rFont val="Arial"/>
        <family val="2"/>
      </rPr>
      <t xml:space="preserve"> (mm/bln)</t>
    </r>
  </si>
  <si>
    <r>
      <t>R</t>
    </r>
    <r>
      <rPr>
        <b/>
        <vertAlign val="subscript"/>
        <sz val="9"/>
        <color theme="1"/>
        <rFont val="Arial"/>
        <family val="2"/>
      </rPr>
      <t>max-urut</t>
    </r>
    <r>
      <rPr>
        <b/>
        <sz val="9"/>
        <color theme="1"/>
        <rFont val="Arial"/>
        <family val="2"/>
      </rPr>
      <t xml:space="preserve"> (mm/bln)</t>
    </r>
  </si>
  <si>
    <r>
      <t>(Xi-Xr)</t>
    </r>
    <r>
      <rPr>
        <vertAlign val="superscript"/>
        <sz val="9"/>
        <color theme="1"/>
        <rFont val="Arial"/>
        <family val="2"/>
      </rPr>
      <t>2</t>
    </r>
  </si>
  <si>
    <r>
      <t>(Xi-Xr)</t>
    </r>
    <r>
      <rPr>
        <vertAlign val="superscript"/>
        <sz val="9"/>
        <color theme="1"/>
        <rFont val="Arial"/>
        <family val="2"/>
      </rPr>
      <t>3</t>
    </r>
    <r>
      <rPr>
        <sz val="11"/>
        <color theme="1"/>
        <rFont val="Calibri"/>
        <family val="2"/>
        <scheme val="minor"/>
      </rPr>
      <t/>
    </r>
  </si>
  <si>
    <r>
      <t>(Xi-Xr)</t>
    </r>
    <r>
      <rPr>
        <vertAlign val="superscript"/>
        <sz val="9"/>
        <color theme="1"/>
        <rFont val="Arial"/>
        <family val="2"/>
      </rPr>
      <t>4</t>
    </r>
    <r>
      <rPr>
        <sz val="11"/>
        <color theme="1"/>
        <rFont val="Calibri"/>
        <family val="2"/>
        <scheme val="minor"/>
      </rPr>
      <t/>
    </r>
  </si>
  <si>
    <r>
      <t>3 Cv + Cv</t>
    </r>
    <r>
      <rPr>
        <vertAlign val="superscript"/>
        <sz val="9"/>
        <color theme="1"/>
        <rFont val="Arial"/>
        <family val="2"/>
      </rPr>
      <t>3</t>
    </r>
  </si>
  <si>
    <r>
      <t>3Cv</t>
    </r>
    <r>
      <rPr>
        <vertAlign val="superscript"/>
        <sz val="9"/>
        <color theme="1"/>
        <rFont val="Arial"/>
        <family val="2"/>
      </rPr>
      <t>2</t>
    </r>
  </si>
  <si>
    <t>Topography (Ct)</t>
  </si>
  <si>
    <t>Soil (Cs)</t>
  </si>
  <si>
    <t>Vegetation (Cv)</t>
  </si>
  <si>
    <t>Flat  &lt;1%</t>
  </si>
  <si>
    <t>Sand and Gravel</t>
  </si>
  <si>
    <t>Forest</t>
  </si>
  <si>
    <t>Undulating 1-10%</t>
  </si>
  <si>
    <t>Sandy loam</t>
  </si>
  <si>
    <t>Agricultural</t>
  </si>
  <si>
    <t>Hills 10-20%</t>
  </si>
  <si>
    <t>Clay and Silt</t>
  </si>
  <si>
    <t>Meadow</t>
  </si>
  <si>
    <t>Mountain &gt;20%</t>
  </si>
  <si>
    <t>Stone layers</t>
  </si>
  <si>
    <t>Without Plant</t>
  </si>
  <si>
    <t>Name</t>
  </si>
  <si>
    <t xml:space="preserve"> Catchment Area (Ha)</t>
  </si>
  <si>
    <t>Perimeter Ditch West</t>
  </si>
  <si>
    <t>Location</t>
  </si>
  <si>
    <t>West Dump Magazine</t>
  </si>
  <si>
    <t>Perimeter Ditch East</t>
  </si>
  <si>
    <t xml:space="preserve">Drop Structure West </t>
  </si>
  <si>
    <t>Drop Structure Central</t>
  </si>
  <si>
    <t>Ditch Bench RL +…... West</t>
  </si>
  <si>
    <t>Ditch Bench RL +…… East</t>
  </si>
  <si>
    <t>Oct</t>
  </si>
  <si>
    <t>Dec</t>
  </si>
  <si>
    <t>Aug</t>
  </si>
  <si>
    <t>Annual Max.</t>
  </si>
  <si>
    <t>AVG</t>
  </si>
  <si>
    <t>Distribution Type</t>
  </si>
  <si>
    <t>Limitation</t>
  </si>
  <si>
    <t>Dispersion Test Results</t>
  </si>
  <si>
    <t>Conclusion</t>
  </si>
  <si>
    <t>Not OK</t>
  </si>
  <si>
    <t>OK</t>
  </si>
  <si>
    <t>Return Period</t>
  </si>
  <si>
    <t>Frequency Analysis of Rainfall Design (mm/days)</t>
  </si>
  <si>
    <t>Top</t>
  </si>
  <si>
    <t>Bottom</t>
  </si>
  <si>
    <t>L</t>
  </si>
  <si>
    <t>H</t>
  </si>
  <si>
    <t>t</t>
  </si>
  <si>
    <t xml:space="preserve">No. </t>
  </si>
  <si>
    <t>Posisi Saluran</t>
  </si>
  <si>
    <t>Intensitas CH</t>
  </si>
  <si>
    <t>Koeffsien Limpasan</t>
  </si>
  <si>
    <t>Luas Catchment</t>
  </si>
  <si>
    <t>Debit Limpasan</t>
  </si>
  <si>
    <t>Ha</t>
  </si>
  <si>
    <t>(m3/dtk)</t>
  </si>
  <si>
    <t>Parameters</t>
  </si>
  <si>
    <t>Dimension</t>
  </si>
  <si>
    <t>Unit</t>
  </si>
  <si>
    <t>S (Bottom Slope)</t>
  </si>
  <si>
    <t>y</t>
  </si>
  <si>
    <t>B = 2y((1+m^2)^0.5-m)</t>
  </si>
  <si>
    <t>A = (B+my)y</t>
  </si>
  <si>
    <t>Sq.m</t>
  </si>
  <si>
    <t>P = B+2y. SQRT(1+m^2)</t>
  </si>
  <si>
    <t>R = A/P</t>
  </si>
  <si>
    <t>T = B+2my</t>
  </si>
  <si>
    <t>Q = 1/n(R^0.666)(S^0.5)A</t>
  </si>
  <si>
    <t>Cu.m/s</t>
  </si>
  <si>
    <t>.</t>
  </si>
  <si>
    <t xml:space="preserve">Ditch Ramp SHLP - SM </t>
  </si>
  <si>
    <t xml:space="preserve">Perimeter Ditch East - SM </t>
  </si>
  <si>
    <t xml:space="preserve">Perimeter Ditch West - SM </t>
  </si>
  <si>
    <t xml:space="preserve">Ditch Bench WD West- SM </t>
  </si>
  <si>
    <t>c</t>
  </si>
  <si>
    <t>RL +670</t>
  </si>
  <si>
    <t>RL +660</t>
  </si>
  <si>
    <t>RL +650</t>
  </si>
  <si>
    <t>RL +640</t>
  </si>
  <si>
    <t xml:space="preserve">Ditch Bench WD East - SM </t>
  </si>
  <si>
    <t>e</t>
  </si>
  <si>
    <t>RL +630</t>
  </si>
  <si>
    <t>Status</t>
  </si>
  <si>
    <t>Temporary</t>
  </si>
  <si>
    <t>Permanent</t>
  </si>
  <si>
    <t>C  Composite</t>
  </si>
  <si>
    <t>Perimeter West</t>
  </si>
  <si>
    <t>n (Soil = 0.22-0.030)</t>
  </si>
  <si>
    <t>m (45 deg)</t>
  </si>
  <si>
    <t>Elv In</t>
  </si>
  <si>
    <t>Elv Out</t>
  </si>
  <si>
    <t>H = y + (20%y)</t>
  </si>
  <si>
    <t xml:space="preserve">Runoff WD </t>
  </si>
  <si>
    <t>Runoff Ditch Ramp</t>
  </si>
  <si>
    <t>Runoff Forest (Perimeter East)</t>
  </si>
  <si>
    <t>CULVERT</t>
  </si>
  <si>
    <t>Parameter</t>
  </si>
  <si>
    <t>Inlet</t>
  </si>
  <si>
    <t>unit</t>
  </si>
  <si>
    <t>Cd</t>
  </si>
  <si>
    <t>Table</t>
  </si>
  <si>
    <t>Pipa</t>
  </si>
  <si>
    <r>
      <t xml:space="preserve">Koefisien </t>
    </r>
    <r>
      <rPr>
        <i/>
        <sz val="12"/>
        <color theme="1"/>
        <rFont val="Times New Roman"/>
        <family val="1"/>
      </rPr>
      <t>Manning</t>
    </r>
  </si>
  <si>
    <t>α</t>
  </si>
  <si>
    <t>Kaca, kuningan</t>
  </si>
  <si>
    <t>0,013</t>
  </si>
  <si>
    <t>Permukaan semen halus</t>
  </si>
  <si>
    <t>g</t>
  </si>
  <si>
    <t>m/s^2</t>
  </si>
  <si>
    <t>Besi tulang</t>
  </si>
  <si>
    <t>Batu dengan semen</t>
  </si>
  <si>
    <t>0,024</t>
  </si>
  <si>
    <t>H/D</t>
  </si>
  <si>
    <t>a=Q/D^2/5</t>
  </si>
  <si>
    <t>Baja dikeling</t>
  </si>
  <si>
    <t>0,020</t>
  </si>
  <si>
    <t xml:space="preserve">Qc=0.785.Cd.D^5/2.(2g)^1/2.((H/D-α))^1/2
</t>
  </si>
  <si>
    <t>Besi</t>
  </si>
  <si>
    <t>0,017</t>
  </si>
  <si>
    <t>Outlet</t>
  </si>
  <si>
    <t xml:space="preserve">A= 0.785 D^2  </t>
  </si>
  <si>
    <t>Qd/D^5/2</t>
  </si>
  <si>
    <t>dt</t>
  </si>
  <si>
    <t>Ke</t>
  </si>
  <si>
    <t>R</t>
  </si>
  <si>
    <t>Kf  = 2.g.n2.L/R4/3</t>
  </si>
  <si>
    <t>Ko</t>
  </si>
  <si>
    <t xml:space="preserve">V = (2.g. (H + S.L – dt)) /( Ke + Kf + Ko)))^1/2
</t>
  </si>
  <si>
    <t>Qi</t>
  </si>
  <si>
    <t>Inlet Type</t>
  </si>
  <si>
    <t>Projecting (CSP)</t>
  </si>
  <si>
    <t>Tapered &amp; Stepped Taper (CSP)</t>
  </si>
  <si>
    <t>Flush Head Wall</t>
  </si>
  <si>
    <t>Armtec (CSP)</t>
  </si>
  <si>
    <t>Cylinder (CSP)</t>
  </si>
  <si>
    <t>Tongue &amp; Groove (RCP)</t>
  </si>
  <si>
    <t>Bellmouth</t>
  </si>
  <si>
    <t>Tapered  (SCP)</t>
  </si>
  <si>
    <t>STATUS</t>
  </si>
  <si>
    <t>Finish</t>
  </si>
  <si>
    <t xml:space="preserve">On Progress </t>
  </si>
  <si>
    <t>m/s</t>
  </si>
  <si>
    <t>Kondisi Aktual - 23 Okt 2023</t>
  </si>
  <si>
    <t xml:space="preserve">Ditch Inlet SHLP - SM </t>
  </si>
  <si>
    <t>Kondisi LOM</t>
  </si>
  <si>
    <t>LOM Condition</t>
  </si>
  <si>
    <t>Acuan</t>
  </si>
  <si>
    <t>n (Soil = 0.022-0.030)</t>
  </si>
  <si>
    <t>f</t>
  </si>
  <si>
    <t xml:space="preserve">RL +680 </t>
  </si>
  <si>
    <t xml:space="preserve">RL +690 </t>
  </si>
  <si>
    <t>P</t>
  </si>
  <si>
    <t>T</t>
  </si>
  <si>
    <t>A</t>
  </si>
  <si>
    <t>V</t>
  </si>
  <si>
    <t>Sediment Trap</t>
  </si>
  <si>
    <t>B</t>
  </si>
  <si>
    <t xml:space="preserve">Perimeter Ditch West 1 - SM </t>
  </si>
  <si>
    <t xml:space="preserve">Perimeter Ditch West 2 - SM </t>
  </si>
  <si>
    <t xml:space="preserve">Perimeter Ditch West 3 - SM </t>
  </si>
  <si>
    <t>Culvert 1 Connecting</t>
  </si>
  <si>
    <t>T'</t>
  </si>
  <si>
    <t>Dimensi Ditch (m)</t>
  </si>
  <si>
    <t>Posisi Ditch</t>
  </si>
  <si>
    <t>Panjang Saluran (m)</t>
  </si>
  <si>
    <t xml:space="preserve">Drop Structure West Support - SM </t>
  </si>
  <si>
    <t>Nama Pond</t>
  </si>
  <si>
    <t>Keterangan</t>
  </si>
  <si>
    <t>Nama Settling Pond</t>
  </si>
  <si>
    <t>Pond 3</t>
  </si>
  <si>
    <t>Pond 4</t>
  </si>
  <si>
    <t>Pond 5</t>
  </si>
  <si>
    <t>Pond 6</t>
  </si>
  <si>
    <t xml:space="preserve">Elevasi Air </t>
  </si>
  <si>
    <t>(mdpl)</t>
  </si>
  <si>
    <t>(Cu.m)</t>
  </si>
  <si>
    <t>Pemompaan ke Pond 3</t>
  </si>
  <si>
    <t>Intensity  (mm/hr) (T=25)</t>
  </si>
  <si>
    <t>Coef. Run Off</t>
  </si>
  <si>
    <t xml:space="preserve"> Cathment Area (Ha)</t>
  </si>
  <si>
    <t>Runoff Discharge (Cu.m/Sec)</t>
  </si>
  <si>
    <t>Runoff Discharge (Cu.m/Days)</t>
  </si>
  <si>
    <t>HO Jakarta</t>
  </si>
  <si>
    <t>CP - 6 - South Magazine RL +630</t>
  </si>
  <si>
    <t>CP - 6 - South Magazine RL +620</t>
  </si>
  <si>
    <t>Total Kapasitas Pond 4,5, dan 6</t>
  </si>
  <si>
    <t>Kapasitas Aktual Pond</t>
  </si>
  <si>
    <t>Intensity (T=25)</t>
  </si>
  <si>
    <t xml:space="preserve">(mm/jam) </t>
  </si>
  <si>
    <t>CP - 6 - Pond 4,5,6</t>
  </si>
  <si>
    <t xml:space="preserve">Runoff Discharge </t>
  </si>
  <si>
    <t>(Cu.m/dtk)</t>
  </si>
  <si>
    <t>(Cu.m/hari)</t>
  </si>
  <si>
    <t xml:space="preserve"> Cathment Area </t>
  </si>
  <si>
    <t>(Ha)</t>
  </si>
  <si>
    <t>Catchment area dari West Area WD &amp; SHLP</t>
  </si>
  <si>
    <t xml:space="preserve">Kapasitas Pond Aktual </t>
  </si>
  <si>
    <t>Kapasitas Perhitungan Debit Limpasan</t>
  </si>
  <si>
    <t>Selisih Kapasitas Kolam 84 Jam vs Kapasitas Aktual</t>
  </si>
  <si>
    <t>SP 4,5,6 - CP 6 MGZ</t>
  </si>
  <si>
    <t>SP 3 - CP 6 MGZ</t>
  </si>
  <si>
    <t>CP - 6 - Pond 3</t>
  </si>
  <si>
    <t>Selisih Kapasitas</t>
  </si>
  <si>
    <t>Kelebihan Kapasitas</t>
  </si>
  <si>
    <t>Kolam Retensi</t>
  </si>
  <si>
    <t>Kapasitas Pond Aktual CP - 6 - Pond 3</t>
  </si>
  <si>
    <t xml:space="preserve">Kapasitas Perhitungan </t>
  </si>
  <si>
    <t>Jumlah &amp; Model Pompa</t>
  </si>
  <si>
    <t>Value</t>
  </si>
  <si>
    <t>Note</t>
  </si>
  <si>
    <t>Vo</t>
  </si>
  <si>
    <r>
      <t>m</t>
    </r>
    <r>
      <rPr>
        <vertAlign val="superscript"/>
        <sz val="10"/>
        <color indexed="8"/>
        <rFont val="Trebuchet MS"/>
        <family val="2"/>
      </rPr>
      <t>3</t>
    </r>
  </si>
  <si>
    <t>initial volume of water in the Pond</t>
  </si>
  <si>
    <t>area of the DAS</t>
  </si>
  <si>
    <r>
      <t>m</t>
    </r>
    <r>
      <rPr>
        <vertAlign val="superscript"/>
        <sz val="10"/>
        <color indexed="8"/>
        <rFont val="Trebuchet MS"/>
        <family val="2"/>
      </rPr>
      <t>2</t>
    </r>
  </si>
  <si>
    <t>mm/month</t>
  </si>
  <si>
    <t>precipitation</t>
  </si>
  <si>
    <t>m/month</t>
  </si>
  <si>
    <t>Qp</t>
  </si>
  <si>
    <r>
      <t>m</t>
    </r>
    <r>
      <rPr>
        <vertAlign val="superscript"/>
        <sz val="10"/>
        <color indexed="8"/>
        <rFont val="Trebuchet MS"/>
        <family val="2"/>
      </rPr>
      <t>3</t>
    </r>
    <r>
      <rPr>
        <sz val="10"/>
        <color indexed="8"/>
        <rFont val="Trebuchet MS"/>
        <family val="2"/>
      </rPr>
      <t>/day</t>
    </r>
  </si>
  <si>
    <t>rate of inflow due to direct precipitation in the DAS</t>
  </si>
  <si>
    <t>Pex</t>
  </si>
  <si>
    <t>mm/hour</t>
  </si>
  <si>
    <t>design rainfall with 2 years return period</t>
  </si>
  <si>
    <t>duration</t>
  </si>
  <si>
    <t>hours</t>
  </si>
  <si>
    <t>duration of extreme rainfall</t>
  </si>
  <si>
    <t>Qpex</t>
  </si>
  <si>
    <t>rate of inflow due to direct extreme rainfall in the DAS</t>
  </si>
  <si>
    <t>GW North PIT</t>
  </si>
  <si>
    <t>L/sec</t>
  </si>
  <si>
    <t>rate of inflow due to groundwater</t>
  </si>
  <si>
    <r>
      <t>m</t>
    </r>
    <r>
      <rPr>
        <vertAlign val="superscript"/>
        <sz val="10"/>
        <color indexed="8"/>
        <rFont val="Trebuchet MS"/>
        <family val="2"/>
      </rPr>
      <t>3</t>
    </r>
    <r>
      <rPr>
        <sz val="10"/>
        <color indexed="8"/>
        <rFont val="Trebuchet MS"/>
        <family val="2"/>
      </rPr>
      <t>/sec</t>
    </r>
  </si>
  <si>
    <t>Qgw North PIT</t>
  </si>
  <si>
    <t>GW South PIT</t>
  </si>
  <si>
    <t>Qgw South PIT</t>
  </si>
  <si>
    <t>np</t>
  </si>
  <si>
    <t>number of pumps</t>
  </si>
  <si>
    <t>Qpc</t>
  </si>
  <si>
    <t>Pump capacity</t>
  </si>
  <si>
    <t>Effetivity of Pump capacity</t>
  </si>
  <si>
    <t>capacity of a pump</t>
  </si>
  <si>
    <t>Cu.m/Hour</t>
  </si>
  <si>
    <r>
      <rPr>
        <sz val="10"/>
        <color indexed="8"/>
        <rFont val="Trebuchet MS"/>
        <family val="2"/>
      </rPr>
      <t>D</t>
    </r>
    <r>
      <rPr>
        <sz val="10"/>
        <color theme="1"/>
        <rFont val="Trebuchet MS"/>
        <family val="2"/>
      </rPr>
      <t>T</t>
    </r>
  </si>
  <si>
    <t>days</t>
  </si>
  <si>
    <t>time step</t>
  </si>
  <si>
    <t>RP</t>
  </si>
  <si>
    <t>cell with formula</t>
  </si>
  <si>
    <t>cell with input value</t>
  </si>
  <si>
    <t>Pump type</t>
  </si>
  <si>
    <t>Inlet elevation (H1)</t>
  </si>
  <si>
    <t>msl</t>
  </si>
  <si>
    <t>Outlet elevation (H2)</t>
  </si>
  <si>
    <t>Pipe length (L)</t>
  </si>
  <si>
    <t>Maximum Pump Capacity</t>
  </si>
  <si>
    <t>m^3/hr</t>
  </si>
  <si>
    <t>m^3/sec</t>
  </si>
  <si>
    <t>G</t>
  </si>
  <si>
    <t>m/sec^2</t>
  </si>
  <si>
    <t>Pipe diameter (D)</t>
  </si>
  <si>
    <t>inch</t>
  </si>
  <si>
    <t>m^2</t>
  </si>
  <si>
    <t>2log3,7D/k</t>
  </si>
  <si>
    <t>f1</t>
  </si>
  <si>
    <t>m/sec</t>
  </si>
  <si>
    <t>LV^2/2DG</t>
  </si>
  <si>
    <t>Pipe angle</t>
  </si>
  <si>
    <t>degree</t>
  </si>
  <si>
    <t>Tan 1/2 D = (1/2x5.57)</t>
  </si>
  <si>
    <t>(D/2R)^3,5</t>
  </si>
  <si>
    <t>(θ/90)^0,5</t>
  </si>
  <si>
    <t>f2</t>
  </si>
  <si>
    <t>Head</t>
  </si>
  <si>
    <t>Static Head (Hs)</t>
  </si>
  <si>
    <t>Friction loss (Hf1)</t>
  </si>
  <si>
    <t>Velocity Head (Hv)</t>
  </si>
  <si>
    <t>Shock loss (Hf2)</t>
  </si>
  <si>
    <t>Induction valve head</t>
  </si>
  <si>
    <t>Head Total</t>
  </si>
  <si>
    <t>Capacity</t>
  </si>
  <si>
    <t>m3</t>
  </si>
  <si>
    <t>Engine Speed</t>
  </si>
  <si>
    <t>rpm</t>
  </si>
  <si>
    <t>Eficiency of Pump</t>
  </si>
  <si>
    <t>1 x MF 345</t>
  </si>
  <si>
    <t>Volume Target Pemompaan (Cu.m/hari)</t>
  </si>
  <si>
    <t>Kapasitas Pompa (Cu.m/hari)</t>
  </si>
  <si>
    <t>Jam</t>
  </si>
  <si>
    <t>Running Pemompaan per Hari</t>
  </si>
  <si>
    <t>Debit Limpasan (Cu.m/hari)</t>
  </si>
  <si>
    <t xml:space="preserve">Kapasitas Tampungan Aktual CP 4.5.6 </t>
  </si>
  <si>
    <t>MF-345</t>
  </si>
  <si>
    <t>t             (tanggal)</t>
  </si>
  <si>
    <r>
      <t>V</t>
    </r>
    <r>
      <rPr>
        <b/>
        <vertAlign val="subscript"/>
        <sz val="9"/>
        <rFont val="Arial"/>
        <family val="2"/>
      </rPr>
      <t xml:space="preserve">n      </t>
    </r>
    <r>
      <rPr>
        <b/>
        <sz val="9"/>
        <rFont val="Arial"/>
        <family val="2"/>
      </rPr>
      <t>(m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>)</t>
    </r>
  </si>
  <si>
    <t>Qh(+)</t>
  </si>
  <si>
    <t>Qp1(-)</t>
  </si>
  <si>
    <r>
      <t>V</t>
    </r>
    <r>
      <rPr>
        <b/>
        <vertAlign val="subscript"/>
        <sz val="9"/>
        <rFont val="Arial"/>
        <family val="2"/>
      </rPr>
      <t xml:space="preserve">n+1      </t>
    </r>
    <r>
      <rPr>
        <b/>
        <sz val="9"/>
        <rFont val="Arial"/>
        <family val="2"/>
      </rPr>
      <t>(m</t>
    </r>
    <r>
      <rPr>
        <b/>
        <vertAlign val="superscript"/>
        <sz val="9"/>
        <rFont val="Arial"/>
        <family val="2"/>
      </rPr>
      <t>3</t>
    </r>
    <r>
      <rPr>
        <b/>
        <sz val="9"/>
        <rFont val="Arial"/>
        <family val="2"/>
      </rPr>
      <t>)</t>
    </r>
  </si>
  <si>
    <t>Number of Day</t>
  </si>
  <si>
    <t>Qp harus &gt; Vn+1, dan saat Qp dibuat 0, Vn+1 harus &lt; Q sump</t>
  </si>
  <si>
    <t>Hours</t>
  </si>
  <si>
    <t>(Sq)</t>
  </si>
  <si>
    <t>Luas Area Sedimen</t>
  </si>
  <si>
    <t>CP - 6 - Pond 4,5,6 CA Small</t>
  </si>
  <si>
    <t>Kapasitas Maks.</t>
  </si>
  <si>
    <t>Kapasitas Pond Aktual CP - 6 - Pond 4,5,6 - Catchment ALL</t>
  </si>
  <si>
    <t>Kapasitas Pond Aktual CP - 6 - Pond 4,5,7 - Catchemnt WD RL +690 to CP6</t>
  </si>
  <si>
    <t>Intensity (T=2)</t>
  </si>
  <si>
    <t>Underdrain Discharge</t>
  </si>
  <si>
    <t>Kekurangan Kapasitas</t>
  </si>
  <si>
    <t>Pemompaan Pond 4 to Pond 3 - South Magazine</t>
  </si>
  <si>
    <t>(mm/jam)</t>
  </si>
  <si>
    <t>Perimeter Ditch East - SM - Temporary</t>
  </si>
  <si>
    <t>Update</t>
  </si>
  <si>
    <t>n (Soil = 0.01-0.014)</t>
  </si>
  <si>
    <t>Rainfall Itensity 84 Jam (mm/hour)</t>
  </si>
  <si>
    <t>Rainfall Itensity 24 Jam (mm/hour)</t>
  </si>
  <si>
    <t>Perimeter Ditch East - SM - Permanent</t>
  </si>
  <si>
    <t>Gian Rtr</t>
  </si>
  <si>
    <t>Intensitas (I)</t>
  </si>
  <si>
    <t>Rainfall Max Actual - STA Durian 2014 - 2024</t>
  </si>
  <si>
    <t>mm/24 jam</t>
  </si>
  <si>
    <t>mm/jam</t>
  </si>
  <si>
    <t>Rainfall Max (R24)</t>
  </si>
  <si>
    <t>Koeffisien Limpasan (C)</t>
  </si>
  <si>
    <t>Parameter Drainase</t>
  </si>
  <si>
    <t>Persentase Luas Area</t>
  </si>
  <si>
    <t>Tutupan Lahan</t>
  </si>
  <si>
    <t>Nilai C Referensi</t>
  </si>
  <si>
    <t>Nilai C Terhitung</t>
  </si>
  <si>
    <t>Hutan</t>
  </si>
  <si>
    <t>Luas Catchment (A)</t>
  </si>
  <si>
    <t>Acuan Debit Saluran (Qin to Underdrain)</t>
  </si>
  <si>
    <t>H = y + (10%y)</t>
  </si>
  <si>
    <t>Geometri Underdrain</t>
  </si>
  <si>
    <t>Perimeter WD Durian</t>
  </si>
  <si>
    <t>Perimeter IPD Durian</t>
  </si>
  <si>
    <t>n (Galian Excavator)= 0.03)</t>
  </si>
  <si>
    <t>m (60 deg)</t>
  </si>
  <si>
    <t>Grafik</t>
  </si>
  <si>
    <t>Total (mm)</t>
  </si>
  <si>
    <t>Hari Hujan (mm)</t>
  </si>
  <si>
    <t>Average (mm)</t>
  </si>
  <si>
    <t>Average Maksimum</t>
  </si>
  <si>
    <t>Maks</t>
  </si>
  <si>
    <t>Avg</t>
  </si>
  <si>
    <r>
      <t>Cs</t>
    </r>
    <r>
      <rPr>
        <sz val="9"/>
        <color theme="1"/>
        <rFont val="Symbol"/>
        <family val="1"/>
        <charset val="2"/>
      </rPr>
      <t xml:space="preserve"> »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  <scheme val="minor"/>
      </rPr>
      <t>0</t>
    </r>
  </si>
  <si>
    <r>
      <t>Ck = 3Cv</t>
    </r>
    <r>
      <rPr>
        <vertAlign val="superscript"/>
        <sz val="9"/>
        <color theme="1"/>
        <rFont val="Calibri"/>
        <family val="2"/>
        <scheme val="minor"/>
      </rPr>
      <t>2</t>
    </r>
  </si>
  <si>
    <r>
      <t>Cs</t>
    </r>
    <r>
      <rPr>
        <sz val="9"/>
        <color theme="1"/>
        <rFont val="Symbol"/>
        <family val="1"/>
        <charset val="2"/>
      </rPr>
      <t xml:space="preserve"> »</t>
    </r>
    <r>
      <rPr>
        <sz val="9"/>
        <color theme="1"/>
        <rFont val="Calibri"/>
        <family val="2"/>
      </rPr>
      <t xml:space="preserve"> 3 Cv + Cv</t>
    </r>
    <r>
      <rPr>
        <vertAlign val="superscript"/>
        <sz val="9"/>
        <color theme="1"/>
        <rFont val="Calibri"/>
        <family val="2"/>
      </rPr>
      <t>3</t>
    </r>
  </si>
  <si>
    <r>
      <t xml:space="preserve">Cs </t>
    </r>
    <r>
      <rPr>
        <sz val="9"/>
        <color theme="1"/>
        <rFont val="Symbol"/>
        <family val="1"/>
        <charset val="2"/>
      </rPr>
      <t xml:space="preserve"> £</t>
    </r>
    <r>
      <rPr>
        <sz val="9"/>
        <color theme="1"/>
        <rFont val="Calibri"/>
        <family val="2"/>
      </rPr>
      <t xml:space="preserve"> 0 </t>
    </r>
  </si>
  <si>
    <r>
      <t xml:space="preserve">Cs </t>
    </r>
    <r>
      <rPr>
        <sz val="9"/>
        <color theme="1"/>
        <rFont val="Symbol"/>
        <family val="1"/>
        <charset val="2"/>
      </rPr>
      <t xml:space="preserve"> ¹</t>
    </r>
    <r>
      <rPr>
        <sz val="9"/>
        <color theme="1"/>
        <rFont val="Calibri"/>
        <family val="2"/>
      </rPr>
      <t xml:space="preserve"> 0 </t>
    </r>
  </si>
  <si>
    <r>
      <t xml:space="preserve">Cs </t>
    </r>
    <r>
      <rPr>
        <sz val="9"/>
        <color theme="1"/>
        <rFont val="Symbol"/>
        <family val="1"/>
        <charset val="2"/>
      </rPr>
      <t xml:space="preserve"> £</t>
    </r>
    <r>
      <rPr>
        <sz val="9"/>
        <color theme="1"/>
        <rFont val="Calibri"/>
        <family val="2"/>
      </rPr>
      <t xml:space="preserve"> 1.14</t>
    </r>
  </si>
  <si>
    <r>
      <t xml:space="preserve">Ck </t>
    </r>
    <r>
      <rPr>
        <sz val="9"/>
        <color theme="1"/>
        <rFont val="Symbol"/>
        <family val="1"/>
        <charset val="2"/>
      </rPr>
      <t xml:space="preserve"> £</t>
    </r>
    <r>
      <rPr>
        <sz val="9"/>
        <color theme="1"/>
        <rFont val="Calibri"/>
        <family val="2"/>
      </rPr>
      <t xml:space="preserve"> 5.4</t>
    </r>
  </si>
  <si>
    <t>SMG</t>
  </si>
  <si>
    <t>Curah Hujan Maksimum Bulanan Tanjung Mas, Kota Semarang Selama 10 Tahun</t>
  </si>
  <si>
    <t>Konstanta Gauss (KT)</t>
  </si>
  <si>
    <t>Normal &amp; Gumbel</t>
  </si>
  <si>
    <t>Log Normal &amp; Log Pearson Type III</t>
  </si>
  <si>
    <t>&gt;</t>
  </si>
  <si>
    <t>No Kelas</t>
  </si>
  <si>
    <t>RTr</t>
  </si>
  <si>
    <t>&lt;</t>
  </si>
  <si>
    <t xml:space="preserve">Kelas </t>
  </si>
  <si>
    <t>Ytr</t>
  </si>
  <si>
    <t>Tabel Nilai Peluang Teoritis Smirnov Kolmogorov</t>
  </si>
  <si>
    <t>z</t>
  </si>
  <si>
    <t>0.00</t>
  </si>
  <si>
    <t>0.01</t>
  </si>
  <si>
    <t>0.02</t>
  </si>
  <si>
    <t>0.03</t>
  </si>
  <si>
    <t>0.04</t>
  </si>
  <si>
    <t>0.05</t>
  </si>
  <si>
    <t>0.06</t>
  </si>
  <si>
    <t>0.07</t>
  </si>
  <si>
    <t>0.08</t>
  </si>
  <si>
    <t>0.09</t>
  </si>
  <si>
    <t>Source: Minitab 14, Recorded by Eris Kusnadi, Universitas Mercu Buana Jakarta.</t>
  </si>
  <si>
    <t>2008年4月30日</t>
  </si>
  <si>
    <t>P'(x &lt; ) one tail</t>
  </si>
  <si>
    <t>P'(x) two tail</t>
  </si>
  <si>
    <t>(P)Weibull</t>
  </si>
  <si>
    <t>P (x &lt; ) 1 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</si>
</sst>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0.000"/>
    <numFmt numFmtId="166" formatCode="#,##0.0000"/>
    <numFmt numFmtId="167" formatCode="#,##0.000"/>
    <numFmt numFmtId="168" formatCode="0.0000"/>
    <numFmt numFmtId="169" formatCode="0.0"/>
    <numFmt numFmtId="170" formatCode="0.000000"/>
    <numFmt numFmtId="171" formatCode="&quot;Indeks Kolom Ke-&quot;0"/>
    <numFmt numFmtId="172" formatCode="&quot;Cs = &quot;0.00"/>
    <numFmt numFmtId="173" formatCode="&quot;Ck = &quot;0.00"/>
    <numFmt numFmtId="174" formatCode="0.0000000"/>
    <numFmt numFmtId="175" formatCode="0.0%"/>
    <numFmt numFmtId="176" formatCode="&quot;Indeks kolom ke-&quot;0"/>
    <numFmt numFmtId="177" formatCode="&quot;Cs = &quot;0"/>
    <numFmt numFmtId="178" formatCode="[$-F400]h:mm:ss\ AM/PM"/>
    <numFmt numFmtId="179" formatCode="[$-409]d\-mmm\-yyyy;@"/>
    <numFmt numFmtId="180" formatCode="_(* #,##0.0_);_(* \(#,##0.0\);_(* &quot;-&quot;_);_(@_)"/>
    <numFmt numFmtId="181" formatCode="_(* #,##0.00_);_(* \(#,##0.00\);_(* &quot;-&quot;_);_(@_)"/>
    <numFmt numFmtId="182" formatCode="_-* #,##0.00_-;\-* #,##0.00_-;_-* &quot;-&quot;_-;_-@_-"/>
    <numFmt numFmtId="183" formatCode="_-* #,##0.000_-;\-* #,##0.000_-;_-* &quot;-&quot;_-;_-@_-"/>
    <numFmt numFmtId="184" formatCode="0.000%"/>
    <numFmt numFmtId="185" formatCode="0.00000"/>
    <numFmt numFmtId="186" formatCode="_-* #,##0.0_-;\-* #,##0.0_-;_-* &quot;-&quot;?_-;_-@_-"/>
    <numFmt numFmtId="187" formatCode="_(* #,##0_);_(* \(#,##0\);_(* &quot;-&quot;??_);_(@_)"/>
    <numFmt numFmtId="188" formatCode="#,##0.0_);\(#,##0.0\)"/>
    <numFmt numFmtId="189" formatCode="[$-409]d\-mmm\-yy;@"/>
    <numFmt numFmtId="190" formatCode="_-* #,##0.0_-;\-* #,##0.0_-;_-* &quot;-&quot;_-;_-@_-"/>
    <numFmt numFmtId="196" formatCode="yyyy&quot;年&quot;m&quot;月&quot;d&quot;日&quot;;@"/>
  </numFmts>
  <fonts count="10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vertAlign val="subscript"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9"/>
      <name val="Tahoma"/>
      <family val="2"/>
    </font>
    <font>
      <sz val="9"/>
      <name val="Tahoma"/>
      <family val="2"/>
    </font>
    <font>
      <b/>
      <sz val="9"/>
      <name val="Symbol"/>
      <family val="1"/>
      <charset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sz val="11.95"/>
      <color indexed="8"/>
      <name val="Calibri"/>
      <family val="2"/>
    </font>
    <font>
      <b/>
      <sz val="11.95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9"/>
      <color theme="0"/>
      <name val="Cordia New"/>
      <family val="2"/>
      <charset val="222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u/>
      <sz val="16"/>
      <name val="Arial"/>
      <family val="2"/>
    </font>
    <font>
      <i/>
      <sz val="10"/>
      <color rgb="FFFF0000"/>
      <name val="Arial"/>
      <family val="2"/>
    </font>
    <font>
      <i/>
      <sz val="10"/>
      <name val="Arial"/>
      <family val="2"/>
    </font>
    <font>
      <b/>
      <sz val="10"/>
      <color theme="0"/>
      <name val="Arial"/>
      <family val="2"/>
    </font>
    <font>
      <sz val="11.95"/>
      <color indexed="8"/>
      <name val="Calibri"/>
      <family val="2"/>
    </font>
    <font>
      <sz val="11"/>
      <color indexed="8"/>
      <name val="Calibri"/>
      <family val="2"/>
    </font>
    <font>
      <b/>
      <sz val="18"/>
      <name val="Arial"/>
      <family val="2"/>
    </font>
    <font>
      <b/>
      <u/>
      <sz val="14"/>
      <name val="Arial"/>
      <family val="2"/>
    </font>
    <font>
      <u/>
      <sz val="10"/>
      <name val="Arial"/>
      <family val="2"/>
    </font>
    <font>
      <b/>
      <u/>
      <sz val="12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b/>
      <i/>
      <sz val="12"/>
      <name val="Arial"/>
      <family val="2"/>
    </font>
    <font>
      <b/>
      <i/>
      <sz val="12"/>
      <color rgb="FFFF0000"/>
      <name val="Arial"/>
      <family val="2"/>
    </font>
    <font>
      <i/>
      <sz val="12"/>
      <color rgb="FFFF0000"/>
      <name val="Arial"/>
      <family val="2"/>
    </font>
    <font>
      <sz val="12"/>
      <color rgb="FFFF0000"/>
      <name val="Arial"/>
      <family val="2"/>
    </font>
    <font>
      <b/>
      <u val="singleAccounting"/>
      <sz val="12"/>
      <name val="Arial"/>
      <family val="2"/>
    </font>
    <font>
      <b/>
      <u val="singleAccounting"/>
      <sz val="12"/>
      <color rgb="FFFF0000"/>
      <name val="Arial"/>
      <family val="2"/>
    </font>
    <font>
      <b/>
      <sz val="12"/>
      <color rgb="FFFF0000"/>
      <name val="Arial"/>
      <family val="2"/>
    </font>
    <font>
      <b/>
      <u/>
      <sz val="12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vertAlign val="subscript"/>
      <sz val="9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Trebuchet MS"/>
      <family val="2"/>
    </font>
    <font>
      <sz val="12"/>
      <color theme="1"/>
      <name val="Trebuchet MS"/>
      <family val="2"/>
    </font>
    <font>
      <sz val="12"/>
      <color theme="1"/>
      <name val="Times New Roman"/>
      <family val="1"/>
    </font>
    <font>
      <b/>
      <sz val="12"/>
      <color theme="1"/>
      <name val="Trebuchet MS"/>
      <family val="2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8"/>
      <color theme="1"/>
      <name val="Arial"/>
      <family val="2"/>
    </font>
    <font>
      <b/>
      <sz val="11"/>
      <color theme="1"/>
      <name val="Arial"/>
      <family val="2"/>
    </font>
    <font>
      <b/>
      <sz val="9"/>
      <name val="Arial"/>
      <family val="2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vertAlign val="superscript"/>
      <sz val="10"/>
      <color indexed="8"/>
      <name val="Trebuchet MS"/>
      <family val="2"/>
    </font>
    <font>
      <sz val="10"/>
      <color indexed="8"/>
      <name val="Trebuchet MS"/>
      <family val="2"/>
    </font>
    <font>
      <sz val="11"/>
      <name val="Times New Roman"/>
      <family val="1"/>
    </font>
    <font>
      <sz val="11"/>
      <color indexed="10"/>
      <name val="Times New Roman"/>
      <family val="1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  <font>
      <b/>
      <sz val="11"/>
      <name val="Times New Roman"/>
      <family val="1"/>
    </font>
    <font>
      <b/>
      <vertAlign val="subscript"/>
      <sz val="9"/>
      <name val="Arial"/>
      <family val="2"/>
    </font>
    <font>
      <b/>
      <vertAlign val="superscript"/>
      <sz val="9"/>
      <name val="Arial"/>
      <family val="2"/>
    </font>
    <font>
      <sz val="9"/>
      <color indexed="12"/>
      <name val="Arial"/>
      <family val="2"/>
    </font>
    <font>
      <sz val="9"/>
      <color theme="1"/>
      <name val="Symbol"/>
      <family val="1"/>
      <charset val="2"/>
    </font>
    <font>
      <sz val="9"/>
      <color theme="1"/>
      <name val="Calibri"/>
      <family val="2"/>
    </font>
    <font>
      <vertAlign val="superscript"/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</font>
    <font>
      <b/>
      <i/>
      <sz val="9"/>
      <color theme="1"/>
      <name val="Arial"/>
      <family val="2"/>
    </font>
    <font>
      <i/>
      <sz val="9"/>
      <color theme="1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ourier New"/>
      <family val="3"/>
    </font>
    <font>
      <sz val="11"/>
      <color theme="1"/>
      <name val="Courier New"/>
      <family val="3"/>
    </font>
    <font>
      <sz val="11"/>
      <name val="Courier New"/>
      <family val="3"/>
    </font>
  </fonts>
  <fills count="3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theme="5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/>
      <right/>
      <top style="thin">
        <color indexed="64"/>
      </top>
      <bottom style="double">
        <color auto="1"/>
      </bottom>
      <diagonal/>
    </border>
    <border>
      <left/>
      <right style="double">
        <color auto="1"/>
      </right>
      <top style="thin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11" fillId="0" borderId="0"/>
    <xf numFmtId="0" fontId="12" fillId="0" borderId="0"/>
    <xf numFmtId="9" fontId="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1" fillId="0" borderId="0"/>
    <xf numFmtId="41" fontId="1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02" fillId="0" borderId="0"/>
  </cellStyleXfs>
  <cellXfs count="1048">
    <xf numFmtId="0" fontId="0" fillId="0" borderId="0" xfId="0"/>
    <xf numFmtId="0" fontId="0" fillId="0" borderId="0" xfId="0" applyAlignment="1">
      <alignment horizont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3" fillId="5" borderId="8" xfId="0" applyFont="1" applyFill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165" fontId="5" fillId="0" borderId="41" xfId="0" applyNumberFormat="1" applyFont="1" applyBorder="1" applyAlignment="1">
      <alignment horizontal="center" vertical="center"/>
    </xf>
    <xf numFmtId="4" fontId="5" fillId="0" borderId="41" xfId="0" applyNumberFormat="1" applyFont="1" applyBorder="1" applyAlignment="1">
      <alignment horizontal="center" vertical="center"/>
    </xf>
    <xf numFmtId="1" fontId="5" fillId="0" borderId="41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165" fontId="5" fillId="0" borderId="39" xfId="0" applyNumberFormat="1" applyFont="1" applyBorder="1" applyAlignment="1">
      <alignment horizontal="center" vertical="center"/>
    </xf>
    <xf numFmtId="4" fontId="5" fillId="0" borderId="39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1" fontId="5" fillId="0" borderId="42" xfId="0" applyNumberFormat="1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right" vertical="center"/>
    </xf>
    <xf numFmtId="4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4" fontId="5" fillId="0" borderId="42" xfId="0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7" borderId="0" xfId="0" applyFont="1" applyFill="1" applyAlignment="1">
      <alignment vertical="center"/>
    </xf>
    <xf numFmtId="0" fontId="2" fillId="3" borderId="3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2" fillId="3" borderId="36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0" borderId="3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3" fillId="0" borderId="0" xfId="2" applyFont="1" applyAlignment="1">
      <alignment horizontal="centerContinuous" vertical="center"/>
    </xf>
    <xf numFmtId="0" fontId="5" fillId="0" borderId="44" xfId="2" applyFont="1" applyBorder="1" applyAlignment="1">
      <alignment vertical="center"/>
    </xf>
    <xf numFmtId="0" fontId="5" fillId="0" borderId="45" xfId="2" applyFont="1" applyBorder="1" applyAlignment="1">
      <alignment vertical="center"/>
    </xf>
    <xf numFmtId="0" fontId="3" fillId="0" borderId="45" xfId="2" applyFont="1" applyBorder="1" applyAlignment="1">
      <alignment horizontal="left" vertical="center"/>
    </xf>
    <xf numFmtId="0" fontId="3" fillId="0" borderId="45" xfId="2" applyFont="1" applyBorder="1" applyAlignment="1">
      <alignment horizontal="centerContinuous" vertical="center"/>
    </xf>
    <xf numFmtId="0" fontId="5" fillId="0" borderId="46" xfId="2" applyFont="1" applyBorder="1" applyAlignment="1">
      <alignment vertical="center"/>
    </xf>
    <xf numFmtId="0" fontId="5" fillId="0" borderId="16" xfId="2" applyFont="1" applyBorder="1" applyAlignment="1">
      <alignment vertical="center"/>
    </xf>
    <xf numFmtId="0" fontId="5" fillId="0" borderId="17" xfId="2" applyFont="1" applyBorder="1" applyAlignment="1">
      <alignment vertical="center"/>
    </xf>
    <xf numFmtId="0" fontId="3" fillId="0" borderId="17" xfId="2" applyFont="1" applyBorder="1" applyAlignment="1">
      <alignment horizontal="left" vertical="center"/>
    </xf>
    <xf numFmtId="0" fontId="3" fillId="0" borderId="17" xfId="2" applyFont="1" applyBorder="1" applyAlignment="1">
      <alignment horizontal="centerContinuous" vertical="center"/>
    </xf>
    <xf numFmtId="0" fontId="5" fillId="0" borderId="17" xfId="0" applyFont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5" fillId="0" borderId="47" xfId="2" applyFont="1" applyBorder="1" applyAlignment="1">
      <alignment vertical="center"/>
    </xf>
    <xf numFmtId="0" fontId="3" fillId="0" borderId="2" xfId="2" applyFont="1" applyBorder="1" applyAlignment="1">
      <alignment horizontal="center" vertical="center"/>
    </xf>
    <xf numFmtId="0" fontId="5" fillId="0" borderId="48" xfId="2" applyFont="1" applyBorder="1" applyAlignment="1">
      <alignment vertical="center"/>
    </xf>
    <xf numFmtId="0" fontId="5" fillId="0" borderId="19" xfId="2" applyFont="1" applyBorder="1" applyAlignment="1">
      <alignment vertical="center"/>
    </xf>
    <xf numFmtId="0" fontId="3" fillId="0" borderId="43" xfId="2" applyFont="1" applyBorder="1" applyAlignment="1">
      <alignment horizontal="center" vertical="center"/>
    </xf>
    <xf numFmtId="0" fontId="5" fillId="0" borderId="20" xfId="0" applyFont="1" applyBorder="1" applyAlignment="1">
      <alignment vertical="center"/>
    </xf>
    <xf numFmtId="0" fontId="3" fillId="10" borderId="0" xfId="2" applyFont="1" applyFill="1" applyAlignment="1">
      <alignment horizontal="center" vertical="center"/>
    </xf>
    <xf numFmtId="0" fontId="3" fillId="5" borderId="0" xfId="2" applyFont="1" applyFill="1" applyAlignment="1">
      <alignment horizontal="center" vertical="center"/>
    </xf>
    <xf numFmtId="0" fontId="5" fillId="0" borderId="0" xfId="2" applyFont="1" applyAlignment="1">
      <alignment horizontal="center" vertical="center"/>
    </xf>
    <xf numFmtId="168" fontId="5" fillId="0" borderId="0" xfId="2" applyNumberFormat="1" applyFont="1" applyAlignment="1">
      <alignment horizontal="center" vertical="center"/>
    </xf>
    <xf numFmtId="0" fontId="5" fillId="0" borderId="47" xfId="0" applyFont="1" applyBorder="1" applyAlignment="1">
      <alignment vertical="center"/>
    </xf>
    <xf numFmtId="0" fontId="5" fillId="0" borderId="48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0" fontId="5" fillId="0" borderId="21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5" fillId="0" borderId="23" xfId="0" applyFont="1" applyBorder="1" applyAlignment="1">
      <alignment vertical="center"/>
    </xf>
    <xf numFmtId="0" fontId="5" fillId="0" borderId="49" xfId="0" applyFont="1" applyBorder="1" applyAlignment="1">
      <alignment vertical="center"/>
    </xf>
    <xf numFmtId="0" fontId="5" fillId="0" borderId="40" xfId="0" applyFont="1" applyBorder="1" applyAlignment="1">
      <alignment vertical="center"/>
    </xf>
    <xf numFmtId="0" fontId="5" fillId="0" borderId="50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43" fontId="0" fillId="0" borderId="35" xfId="1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0" fontId="5" fillId="0" borderId="0" xfId="3" applyFont="1" applyAlignment="1">
      <alignment vertical="center"/>
    </xf>
    <xf numFmtId="0" fontId="5" fillId="0" borderId="16" xfId="3" applyFont="1" applyBorder="1" applyAlignment="1">
      <alignment vertical="center"/>
    </xf>
    <xf numFmtId="0" fontId="5" fillId="0" borderId="17" xfId="3" applyFont="1" applyBorder="1" applyAlignment="1">
      <alignment vertical="center"/>
    </xf>
    <xf numFmtId="169" fontId="3" fillId="0" borderId="17" xfId="3" applyNumberFormat="1" applyFont="1" applyBorder="1" applyAlignment="1">
      <alignment horizontal="center" vertical="center"/>
    </xf>
    <xf numFmtId="0" fontId="3" fillId="0" borderId="17" xfId="3" applyFont="1" applyBorder="1" applyAlignment="1">
      <alignment horizontal="centerContinuous" vertical="center"/>
    </xf>
    <xf numFmtId="0" fontId="3" fillId="0" borderId="18" xfId="3" applyFont="1" applyBorder="1" applyAlignment="1">
      <alignment horizontal="centerContinuous" vertical="center"/>
    </xf>
    <xf numFmtId="0" fontId="5" fillId="0" borderId="19" xfId="3" applyFont="1" applyBorder="1" applyAlignment="1">
      <alignment vertical="center"/>
    </xf>
    <xf numFmtId="169" fontId="3" fillId="0" borderId="0" xfId="3" applyNumberFormat="1" applyFont="1" applyAlignment="1">
      <alignment horizontal="center" vertical="center"/>
    </xf>
    <xf numFmtId="0" fontId="3" fillId="0" borderId="0" xfId="3" applyFont="1" applyAlignment="1">
      <alignment horizontal="centerContinuous" vertical="center"/>
    </xf>
    <xf numFmtId="0" fontId="3" fillId="0" borderId="20" xfId="3" applyFont="1" applyBorder="1" applyAlignment="1">
      <alignment horizontal="centerContinuous" vertical="center"/>
    </xf>
    <xf numFmtId="169" fontId="3" fillId="5" borderId="0" xfId="3" applyNumberFormat="1" applyFont="1" applyFill="1" applyAlignment="1">
      <alignment horizontal="center" vertical="center"/>
    </xf>
    <xf numFmtId="169" fontId="3" fillId="0" borderId="52" xfId="3" applyNumberFormat="1" applyFont="1" applyBorder="1" applyAlignment="1">
      <alignment horizontal="center" vertical="center"/>
    </xf>
    <xf numFmtId="0" fontId="3" fillId="5" borderId="0" xfId="3" applyFont="1" applyFill="1" applyAlignment="1">
      <alignment horizontal="center" vertical="center"/>
    </xf>
    <xf numFmtId="0" fontId="3" fillId="0" borderId="0" xfId="3" applyFont="1" applyAlignment="1">
      <alignment horizontal="center" vertical="center"/>
    </xf>
    <xf numFmtId="0" fontId="3" fillId="0" borderId="20" xfId="3" applyFont="1" applyBorder="1" applyAlignment="1">
      <alignment horizontal="center" vertical="center"/>
    </xf>
    <xf numFmtId="0" fontId="3" fillId="0" borderId="2" xfId="3" applyFont="1" applyBorder="1" applyAlignment="1">
      <alignment horizontal="center" vertical="center"/>
    </xf>
    <xf numFmtId="0" fontId="3" fillId="0" borderId="0" xfId="3" applyFont="1" applyAlignment="1">
      <alignment vertical="center"/>
    </xf>
    <xf numFmtId="0" fontId="3" fillId="0" borderId="20" xfId="3" applyFont="1" applyBorder="1" applyAlignment="1">
      <alignment vertical="center"/>
    </xf>
    <xf numFmtId="169" fontId="3" fillId="0" borderId="52" xfId="3" quotePrefix="1" applyNumberFormat="1" applyFont="1" applyBorder="1" applyAlignment="1">
      <alignment horizontal="center" vertical="center"/>
    </xf>
    <xf numFmtId="169" fontId="3" fillId="0" borderId="0" xfId="3" quotePrefix="1" applyNumberFormat="1" applyFont="1" applyAlignment="1">
      <alignment horizontal="center" vertical="center"/>
    </xf>
    <xf numFmtId="1" fontId="3" fillId="5" borderId="0" xfId="3" applyNumberFormat="1" applyFont="1" applyFill="1" applyAlignment="1">
      <alignment horizontal="center" vertical="center"/>
    </xf>
    <xf numFmtId="165" fontId="3" fillId="0" borderId="0" xfId="3" applyNumberFormat="1" applyFont="1" applyAlignment="1">
      <alignment horizontal="center" vertical="center"/>
    </xf>
    <xf numFmtId="165" fontId="3" fillId="0" borderId="20" xfId="3" applyNumberFormat="1" applyFont="1" applyBorder="1" applyAlignment="1">
      <alignment horizontal="center" vertical="center"/>
    </xf>
    <xf numFmtId="169" fontId="3" fillId="0" borderId="2" xfId="3" quotePrefix="1" applyNumberFormat="1" applyFont="1" applyBorder="1" applyAlignment="1">
      <alignment horizontal="center" vertical="center"/>
    </xf>
    <xf numFmtId="165" fontId="3" fillId="0" borderId="2" xfId="3" applyNumberFormat="1" applyFont="1" applyBorder="1" applyAlignment="1">
      <alignment horizontal="center" vertical="center"/>
    </xf>
    <xf numFmtId="169" fontId="5" fillId="0" borderId="0" xfId="3" applyNumberFormat="1" applyFont="1" applyAlignment="1">
      <alignment horizontal="center" vertical="center"/>
    </xf>
    <xf numFmtId="0" fontId="5" fillId="0" borderId="20" xfId="3" applyFont="1" applyBorder="1" applyAlignment="1">
      <alignment vertical="center"/>
    </xf>
    <xf numFmtId="169" fontId="5" fillId="0" borderId="53" xfId="3" applyNumberFormat="1" applyFont="1" applyBorder="1" applyAlignment="1">
      <alignment horizontal="center" vertical="center"/>
    </xf>
    <xf numFmtId="165" fontId="5" fillId="0" borderId="0" xfId="3" applyNumberFormat="1" applyFont="1" applyAlignment="1">
      <alignment horizontal="center" vertical="center"/>
    </xf>
    <xf numFmtId="165" fontId="5" fillId="0" borderId="20" xfId="3" applyNumberFormat="1" applyFont="1" applyBorder="1" applyAlignment="1">
      <alignment horizontal="center" vertical="center"/>
    </xf>
    <xf numFmtId="169" fontId="5" fillId="0" borderId="0" xfId="3" applyNumberFormat="1" applyFont="1" applyAlignment="1">
      <alignment horizontal="left" vertical="center"/>
    </xf>
    <xf numFmtId="0" fontId="5" fillId="0" borderId="21" xfId="3" applyFont="1" applyBorder="1" applyAlignment="1">
      <alignment vertical="center"/>
    </xf>
    <xf numFmtId="0" fontId="5" fillId="0" borderId="22" xfId="3" applyFont="1" applyBorder="1" applyAlignment="1">
      <alignment vertical="center"/>
    </xf>
    <xf numFmtId="0" fontId="5" fillId="0" borderId="23" xfId="3" applyFont="1" applyBorder="1" applyAlignment="1">
      <alignment vertical="center"/>
    </xf>
    <xf numFmtId="4" fontId="0" fillId="0" borderId="35" xfId="1" applyNumberFormat="1" applyFont="1" applyBorder="1" applyAlignment="1"/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2" fillId="3" borderId="54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170" fontId="0" fillId="0" borderId="56" xfId="0" applyNumberFormat="1" applyBorder="1" applyAlignment="1">
      <alignment horizontal="center"/>
    </xf>
    <xf numFmtId="165" fontId="0" fillId="0" borderId="55" xfId="0" applyNumberFormat="1" applyBorder="1" applyAlignment="1">
      <alignment horizontal="center"/>
    </xf>
    <xf numFmtId="165" fontId="0" fillId="0" borderId="5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70" fontId="0" fillId="0" borderId="57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2" fontId="5" fillId="0" borderId="1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2" fontId="5" fillId="0" borderId="28" xfId="0" applyNumberFormat="1" applyFont="1" applyBorder="1" applyAlignment="1">
      <alignment horizontal="center" vertical="center"/>
    </xf>
    <xf numFmtId="2" fontId="5" fillId="0" borderId="30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/>
    </xf>
    <xf numFmtId="2" fontId="5" fillId="0" borderId="10" xfId="0" applyNumberFormat="1" applyFont="1" applyBorder="1" applyAlignment="1">
      <alignment horizontal="center" vertical="center"/>
    </xf>
    <xf numFmtId="2" fontId="5" fillId="0" borderId="35" xfId="0" applyNumberFormat="1" applyFont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11" borderId="33" xfId="0" applyFont="1" applyFill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0" borderId="14" xfId="0" applyFont="1" applyBorder="1" applyAlignment="1">
      <alignment horizontal="left" vertical="center"/>
    </xf>
    <xf numFmtId="2" fontId="5" fillId="0" borderId="14" xfId="0" applyNumberFormat="1" applyFont="1" applyBorder="1" applyAlignment="1">
      <alignment horizontal="center" vertical="center"/>
    </xf>
    <xf numFmtId="2" fontId="5" fillId="0" borderId="59" xfId="0" applyNumberFormat="1" applyFont="1" applyBorder="1" applyAlignment="1">
      <alignment horizontal="center" vertical="center"/>
    </xf>
    <xf numFmtId="2" fontId="5" fillId="0" borderId="25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33" xfId="0" applyFont="1" applyFill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/>
    </xf>
    <xf numFmtId="2" fontId="5" fillId="0" borderId="51" xfId="0" applyNumberFormat="1" applyFont="1" applyBorder="1" applyAlignment="1">
      <alignment horizontal="center" vertical="center"/>
    </xf>
    <xf numFmtId="2" fontId="5" fillId="0" borderId="57" xfId="0" applyNumberFormat="1" applyFont="1" applyBorder="1" applyAlignment="1">
      <alignment horizontal="center" vertical="center"/>
    </xf>
    <xf numFmtId="2" fontId="0" fillId="0" borderId="57" xfId="0" applyNumberFormat="1" applyBorder="1" applyAlignment="1">
      <alignment horizontal="center"/>
    </xf>
    <xf numFmtId="165" fontId="0" fillId="0" borderId="51" xfId="0" applyNumberFormat="1" applyBorder="1" applyAlignment="1">
      <alignment horizontal="center"/>
    </xf>
    <xf numFmtId="4" fontId="0" fillId="0" borderId="57" xfId="1" applyNumberFormat="1" applyFont="1" applyBorder="1" applyAlignment="1"/>
    <xf numFmtId="1" fontId="0" fillId="0" borderId="35" xfId="0" applyNumberFormat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" fontId="0" fillId="0" borderId="31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 vertical="top"/>
    </xf>
    <xf numFmtId="165" fontId="0" fillId="2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0" fillId="3" borderId="1" xfId="0" applyFill="1" applyBorder="1" applyAlignment="1">
      <alignment horizontal="center"/>
    </xf>
    <xf numFmtId="0" fontId="18" fillId="0" borderId="0" xfId="0" applyFont="1"/>
    <xf numFmtId="1" fontId="0" fillId="0" borderId="1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0" fillId="0" borderId="19" xfId="0" applyBorder="1" applyAlignment="1">
      <alignment horizontal="left"/>
    </xf>
    <xf numFmtId="0" fontId="2" fillId="13" borderId="32" xfId="0" applyFont="1" applyFill="1" applyBorder="1" applyAlignment="1">
      <alignment horizontal="center" vertical="center" wrapText="1"/>
    </xf>
    <xf numFmtId="0" fontId="2" fillId="13" borderId="33" xfId="0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2" fontId="0" fillId="0" borderId="35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59" xfId="0" applyNumberFormat="1" applyBorder="1" applyAlignment="1">
      <alignment horizontal="center" vertical="center"/>
    </xf>
    <xf numFmtId="0" fontId="0" fillId="0" borderId="69" xfId="0" applyBorder="1" applyAlignment="1">
      <alignment vertical="center"/>
    </xf>
    <xf numFmtId="0" fontId="0" fillId="0" borderId="69" xfId="0" applyBorder="1" applyAlignment="1">
      <alignment horizontal="right" vertical="center"/>
    </xf>
    <xf numFmtId="2" fontId="2" fillId="12" borderId="70" xfId="0" applyNumberFormat="1" applyFont="1" applyFill="1" applyBorder="1" applyAlignment="1">
      <alignment horizontal="center" vertical="center"/>
    </xf>
    <xf numFmtId="0" fontId="0" fillId="0" borderId="61" xfId="0" applyBorder="1"/>
    <xf numFmtId="0" fontId="0" fillId="0" borderId="62" xfId="0" applyBorder="1"/>
    <xf numFmtId="169" fontId="0" fillId="0" borderId="28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/>
    </xf>
    <xf numFmtId="0" fontId="0" fillId="0" borderId="75" xfId="0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21" fillId="0" borderId="4" xfId="0" applyFont="1" applyBorder="1" applyAlignment="1">
      <alignment horizontal="center" vertical="center"/>
    </xf>
    <xf numFmtId="0" fontId="21" fillId="0" borderId="74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0" fillId="0" borderId="77" xfId="0" applyBorder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1" xfId="0" applyBorder="1" applyAlignment="1">
      <alignment horizontal="center" vertical="center"/>
    </xf>
    <xf numFmtId="0" fontId="0" fillId="0" borderId="82" xfId="0" applyBorder="1"/>
    <xf numFmtId="0" fontId="2" fillId="0" borderId="83" xfId="0" applyFont="1" applyBorder="1" applyAlignment="1">
      <alignment horizontal="center"/>
    </xf>
    <xf numFmtId="0" fontId="0" fillId="0" borderId="83" xfId="0" applyBorder="1"/>
    <xf numFmtId="0" fontId="0" fillId="0" borderId="84" xfId="0" applyBorder="1"/>
    <xf numFmtId="0" fontId="0" fillId="0" borderId="3" xfId="0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2" borderId="85" xfId="0" applyFont="1" applyFill="1" applyBorder="1" applyAlignment="1">
      <alignment horizontal="center" vertical="center"/>
    </xf>
    <xf numFmtId="0" fontId="2" fillId="0" borderId="86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2" fillId="2" borderId="76" xfId="0" applyFont="1" applyFill="1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69" xfId="0" applyBorder="1" applyAlignment="1">
      <alignment horizontal="center" vertical="center"/>
    </xf>
    <xf numFmtId="0" fontId="0" fillId="0" borderId="61" xfId="0" applyBorder="1" applyAlignment="1">
      <alignment horizontal="center"/>
    </xf>
    <xf numFmtId="0" fontId="0" fillId="0" borderId="89" xfId="0" applyBorder="1" applyAlignment="1">
      <alignment horizontal="center"/>
    </xf>
    <xf numFmtId="1" fontId="2" fillId="2" borderId="8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73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61" xfId="0" applyNumberFormat="1" applyBorder="1" applyAlignment="1">
      <alignment horizontal="center"/>
    </xf>
    <xf numFmtId="1" fontId="0" fillId="0" borderId="89" xfId="0" applyNumberFormat="1" applyBorder="1" applyAlignment="1">
      <alignment horizontal="center"/>
    </xf>
    <xf numFmtId="1" fontId="22" fillId="0" borderId="1" xfId="0" applyNumberFormat="1" applyFont="1" applyBorder="1" applyAlignment="1">
      <alignment horizontal="center"/>
    </xf>
    <xf numFmtId="1" fontId="0" fillId="0" borderId="88" xfId="0" applyNumberFormat="1" applyBorder="1" applyAlignment="1">
      <alignment horizontal="center"/>
    </xf>
    <xf numFmtId="1" fontId="2" fillId="2" borderId="75" xfId="0" applyNumberFormat="1" applyFont="1" applyFill="1" applyBorder="1" applyAlignment="1">
      <alignment horizontal="center"/>
    </xf>
    <xf numFmtId="1" fontId="2" fillId="2" borderId="4" xfId="0" applyNumberFormat="1" applyFont="1" applyFill="1" applyBorder="1" applyAlignment="1">
      <alignment horizontal="center"/>
    </xf>
    <xf numFmtId="1" fontId="0" fillId="0" borderId="30" xfId="0" applyNumberFormat="1" applyBorder="1" applyAlignment="1">
      <alignment horizontal="center"/>
    </xf>
    <xf numFmtId="2" fontId="0" fillId="0" borderId="55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74" fontId="0" fillId="0" borderId="55" xfId="0" applyNumberFormat="1" applyBorder="1" applyAlignment="1">
      <alignment horizontal="center"/>
    </xf>
    <xf numFmtId="174" fontId="0" fillId="0" borderId="35" xfId="0" applyNumberFormat="1" applyBorder="1" applyAlignment="1">
      <alignment horizontal="center"/>
    </xf>
    <xf numFmtId="2" fontId="0" fillId="8" borderId="0" xfId="0" applyNumberFormat="1" applyFill="1" applyAlignment="1">
      <alignment horizontal="center"/>
    </xf>
    <xf numFmtId="175" fontId="0" fillId="3" borderId="1" xfId="0" applyNumberFormat="1" applyFill="1" applyBorder="1" applyAlignment="1">
      <alignment horizontal="center"/>
    </xf>
    <xf numFmtId="169" fontId="0" fillId="0" borderId="61" xfId="0" applyNumberFormat="1" applyBorder="1" applyAlignment="1">
      <alignment horizontal="center"/>
    </xf>
    <xf numFmtId="2" fontId="0" fillId="0" borderId="0" xfId="0" applyNumberFormat="1"/>
    <xf numFmtId="0" fontId="24" fillId="0" borderId="0" xfId="0" applyFont="1" applyAlignment="1">
      <alignment vertical="center"/>
    </xf>
    <xf numFmtId="0" fontId="23" fillId="14" borderId="60" xfId="0" applyFont="1" applyFill="1" applyBorder="1" applyAlignment="1">
      <alignment horizontal="center" vertical="center"/>
    </xf>
    <xf numFmtId="0" fontId="24" fillId="0" borderId="0" xfId="0" quotePrefix="1" applyFont="1" applyAlignment="1">
      <alignment vertical="center" wrapText="1"/>
    </xf>
    <xf numFmtId="0" fontId="24" fillId="0" borderId="0" xfId="0" applyFont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24" fillId="0" borderId="0" xfId="0" applyNumberFormat="1" applyFont="1" applyAlignment="1">
      <alignment vertical="center"/>
    </xf>
    <xf numFmtId="0" fontId="24" fillId="0" borderId="2" xfId="0" applyFont="1" applyBorder="1" applyAlignment="1">
      <alignment horizontal="center" vertical="center"/>
    </xf>
    <xf numFmtId="165" fontId="24" fillId="0" borderId="2" xfId="0" applyNumberFormat="1" applyFont="1" applyBorder="1" applyAlignment="1">
      <alignment horizontal="center" vertical="center"/>
    </xf>
    <xf numFmtId="165" fontId="24" fillId="0" borderId="2" xfId="0" applyNumberFormat="1" applyFont="1" applyBorder="1" applyAlignment="1">
      <alignment vertical="center"/>
    </xf>
    <xf numFmtId="166" fontId="24" fillId="0" borderId="0" xfId="0" applyNumberFormat="1" applyFont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0" fontId="0" fillId="0" borderId="90" xfId="0" applyBorder="1" applyAlignment="1">
      <alignment horizontal="center"/>
    </xf>
    <xf numFmtId="0" fontId="0" fillId="0" borderId="58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165" fontId="0" fillId="0" borderId="28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0" borderId="59" xfId="0" applyNumberFormat="1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92" xfId="0" applyBorder="1" applyAlignment="1">
      <alignment horizontal="center"/>
    </xf>
    <xf numFmtId="0" fontId="2" fillId="0" borderId="92" xfId="0" applyFont="1" applyBorder="1" applyAlignment="1">
      <alignment horizontal="center"/>
    </xf>
    <xf numFmtId="165" fontId="2" fillId="0" borderId="93" xfId="0" applyNumberFormat="1" applyFont="1" applyBorder="1" applyAlignment="1">
      <alignment horizontal="center"/>
    </xf>
    <xf numFmtId="9" fontId="0" fillId="0" borderId="0" xfId="0" applyNumberFormat="1" applyAlignment="1">
      <alignment horizontal="left"/>
    </xf>
    <xf numFmtId="9" fontId="0" fillId="0" borderId="1" xfId="4" applyFont="1" applyBorder="1" applyAlignment="1">
      <alignment horizontal="center" vertical="center"/>
    </xf>
    <xf numFmtId="9" fontId="0" fillId="0" borderId="28" xfId="4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8" xfId="0" applyNumberFormat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1" xfId="0" applyBorder="1"/>
    <xf numFmtId="165" fontId="0" fillId="0" borderId="10" xfId="0" applyNumberFormat="1" applyBorder="1" applyAlignment="1">
      <alignment horizontal="center" vertical="center"/>
    </xf>
    <xf numFmtId="165" fontId="0" fillId="0" borderId="35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8" xfId="4" applyNumberFormat="1" applyFont="1" applyBorder="1" applyAlignment="1">
      <alignment horizontal="center" vertical="center"/>
    </xf>
    <xf numFmtId="0" fontId="0" fillId="0" borderId="33" xfId="4" applyNumberFormat="1" applyFont="1" applyBorder="1" applyAlignment="1">
      <alignment horizontal="center" vertical="center"/>
    </xf>
    <xf numFmtId="176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/>
    </xf>
    <xf numFmtId="0" fontId="27" fillId="16" borderId="1" xfId="0" applyFont="1" applyFill="1" applyBorder="1" applyAlignment="1">
      <alignment horizontal="center" vertical="top"/>
    </xf>
    <xf numFmtId="0" fontId="27" fillId="0" borderId="1" xfId="0" applyFont="1" applyBorder="1" applyAlignment="1">
      <alignment horizontal="center" vertical="top"/>
    </xf>
    <xf numFmtId="178" fontId="0" fillId="16" borderId="0" xfId="0" applyNumberFormat="1" applyFill="1"/>
    <xf numFmtId="178" fontId="0" fillId="8" borderId="0" xfId="0" applyNumberFormat="1" applyFill="1"/>
    <xf numFmtId="0" fontId="0" fillId="8" borderId="0" xfId="0" applyFill="1"/>
    <xf numFmtId="178" fontId="0" fillId="0" borderId="0" xfId="0" applyNumberFormat="1"/>
    <xf numFmtId="0" fontId="0" fillId="16" borderId="0" xfId="0" applyFill="1"/>
    <xf numFmtId="0" fontId="0" fillId="0" borderId="95" xfId="0" applyBorder="1" applyAlignment="1" applyProtection="1">
      <alignment vertical="top" wrapText="1"/>
      <protection locked="0"/>
    </xf>
    <xf numFmtId="0" fontId="0" fillId="0" borderId="96" xfId="0" applyBorder="1" applyAlignment="1" applyProtection="1">
      <alignment vertical="top" wrapText="1"/>
      <protection locked="0"/>
    </xf>
    <xf numFmtId="0" fontId="30" fillId="17" borderId="94" xfId="0" applyFont="1" applyFill="1" applyBorder="1" applyAlignment="1" applyProtection="1">
      <alignment horizontal="center" vertical="top" wrapText="1" readingOrder="1"/>
      <protection locked="0"/>
    </xf>
    <xf numFmtId="0" fontId="31" fillId="18" borderId="94" xfId="0" applyFont="1" applyFill="1" applyBorder="1" applyAlignment="1" applyProtection="1">
      <alignment horizontal="center" vertical="top" wrapText="1" readingOrder="1"/>
      <protection locked="0"/>
    </xf>
    <xf numFmtId="0" fontId="30" fillId="0" borderId="94" xfId="0" applyFont="1" applyBorder="1" applyAlignment="1" applyProtection="1">
      <alignment horizontal="center" vertical="top" wrapText="1" readingOrder="1"/>
      <protection locked="0"/>
    </xf>
    <xf numFmtId="0" fontId="30" fillId="8" borderId="94" xfId="0" applyFont="1" applyFill="1" applyBorder="1" applyAlignment="1" applyProtection="1">
      <alignment horizontal="center" vertical="top" wrapText="1" readingOrder="1"/>
      <protection locked="0"/>
    </xf>
    <xf numFmtId="0" fontId="26" fillId="19" borderId="98" xfId="0" applyFont="1" applyFill="1" applyBorder="1" applyAlignment="1">
      <alignment horizontal="center"/>
    </xf>
    <xf numFmtId="0" fontId="26" fillId="20" borderId="98" xfId="0" applyFont="1" applyFill="1" applyBorder="1" applyAlignment="1">
      <alignment horizontal="right"/>
    </xf>
    <xf numFmtId="14" fontId="5" fillId="19" borderId="0" xfId="0" applyNumberFormat="1" applyFont="1" applyFill="1" applyAlignment="1">
      <alignment horizontal="left"/>
    </xf>
    <xf numFmtId="14" fontId="5" fillId="19" borderId="99" xfId="0" applyNumberFormat="1" applyFont="1" applyFill="1" applyBorder="1" applyAlignment="1">
      <alignment horizontal="left"/>
    </xf>
    <xf numFmtId="14" fontId="5" fillId="19" borderId="0" xfId="0" applyNumberFormat="1" applyFont="1" applyFill="1" applyAlignment="1">
      <alignment horizontal="center" vertical="center"/>
    </xf>
    <xf numFmtId="179" fontId="5" fillId="19" borderId="0" xfId="0" applyNumberFormat="1" applyFont="1" applyFill="1" applyAlignment="1">
      <alignment horizontal="center" vertical="center"/>
    </xf>
    <xf numFmtId="179" fontId="5" fillId="19" borderId="99" xfId="0" applyNumberFormat="1" applyFont="1" applyFill="1" applyBorder="1" applyAlignment="1">
      <alignment horizontal="center" vertical="center"/>
    </xf>
    <xf numFmtId="0" fontId="33" fillId="0" borderId="0" xfId="0" applyFont="1"/>
    <xf numFmtId="0" fontId="33" fillId="15" borderId="0" xfId="0" applyFont="1" applyFill="1"/>
    <xf numFmtId="0" fontId="36" fillId="24" borderId="1" xfId="5" applyFont="1" applyFill="1" applyBorder="1" applyAlignment="1">
      <alignment horizontal="center"/>
    </xf>
    <xf numFmtId="2" fontId="35" fillId="23" borderId="1" xfId="6" applyNumberFormat="1" applyFont="1" applyFill="1" applyBorder="1" applyAlignment="1">
      <alignment horizontal="center"/>
    </xf>
    <xf numFmtId="2" fontId="35" fillId="15" borderId="1" xfId="6" applyNumberFormat="1" applyFont="1" applyFill="1" applyBorder="1" applyAlignment="1">
      <alignment horizontal="center"/>
    </xf>
    <xf numFmtId="0" fontId="30" fillId="21" borderId="94" xfId="0" applyFont="1" applyFill="1" applyBorder="1" applyAlignment="1" applyProtection="1">
      <alignment horizontal="center" vertical="top" wrapText="1" readingOrder="1"/>
      <protection locked="0"/>
    </xf>
    <xf numFmtId="0" fontId="0" fillId="21" borderId="95" xfId="0" applyFill="1" applyBorder="1" applyAlignment="1" applyProtection="1">
      <alignment vertical="top" wrapText="1"/>
      <protection locked="0"/>
    </xf>
    <xf numFmtId="0" fontId="0" fillId="21" borderId="96" xfId="0" applyFill="1" applyBorder="1" applyAlignment="1" applyProtection="1">
      <alignment vertical="top" wrapText="1"/>
      <protection locked="0"/>
    </xf>
    <xf numFmtId="0" fontId="0" fillId="21" borderId="0" xfId="0" applyFill="1"/>
    <xf numFmtId="14" fontId="5" fillId="21" borderId="0" xfId="0" applyNumberFormat="1" applyFont="1" applyFill="1" applyAlignment="1">
      <alignment horizontal="left"/>
    </xf>
    <xf numFmtId="14" fontId="5" fillId="21" borderId="0" xfId="0" applyNumberFormat="1" applyFont="1" applyFill="1" applyAlignment="1">
      <alignment horizontal="center" vertical="center"/>
    </xf>
    <xf numFmtId="179" fontId="5" fillId="21" borderId="0" xfId="0" applyNumberFormat="1" applyFont="1" applyFill="1" applyAlignment="1">
      <alignment horizontal="center" vertical="center"/>
    </xf>
    <xf numFmtId="178" fontId="0" fillId="21" borderId="0" xfId="0" applyNumberFormat="1" applyFill="1"/>
    <xf numFmtId="15" fontId="30" fillId="21" borderId="94" xfId="0" applyNumberFormat="1" applyFont="1" applyFill="1" applyBorder="1" applyAlignment="1" applyProtection="1">
      <alignment horizontal="center" vertical="top" wrapText="1" readingOrder="1"/>
      <protection locked="0"/>
    </xf>
    <xf numFmtId="2" fontId="35" fillId="15" borderId="1" xfId="6" quotePrefix="1" applyNumberFormat="1" applyFont="1" applyFill="1" applyBorder="1" applyAlignment="1">
      <alignment horizontal="center"/>
    </xf>
    <xf numFmtId="15" fontId="30" fillId="0" borderId="94" xfId="0" applyNumberFormat="1" applyFont="1" applyBorder="1" applyAlignment="1" applyProtection="1">
      <alignment horizontal="center" vertical="top" wrapText="1" readingOrder="1"/>
      <protection locked="0"/>
    </xf>
    <xf numFmtId="0" fontId="30" fillId="0" borderId="102" xfId="0" applyFont="1" applyBorder="1" applyAlignment="1" applyProtection="1">
      <alignment horizontal="center" vertical="top" wrapText="1" readingOrder="1"/>
      <protection locked="0"/>
    </xf>
    <xf numFmtId="0" fontId="40" fillId="15" borderId="0" xfId="0" applyFont="1" applyFill="1"/>
    <xf numFmtId="0" fontId="11" fillId="15" borderId="0" xfId="0" applyFont="1" applyFill="1"/>
    <xf numFmtId="0" fontId="39" fillId="15" borderId="0" xfId="0" applyFont="1" applyFill="1" applyAlignment="1">
      <alignment horizontal="center"/>
    </xf>
    <xf numFmtId="0" fontId="35" fillId="21" borderId="1" xfId="0" applyFont="1" applyFill="1" applyBorder="1" applyAlignment="1">
      <alignment horizontal="center" vertical="center" wrapText="1"/>
    </xf>
    <xf numFmtId="0" fontId="35" fillId="15" borderId="0" xfId="0" applyFont="1" applyFill="1"/>
    <xf numFmtId="4" fontId="11" fillId="15" borderId="1" xfId="0" applyNumberFormat="1" applyFont="1" applyFill="1" applyBorder="1" applyAlignment="1">
      <alignment horizontal="center" vertical="center"/>
    </xf>
    <xf numFmtId="0" fontId="42" fillId="15" borderId="0" xfId="0" applyFont="1" applyFill="1" applyAlignment="1">
      <alignment horizontal="right"/>
    </xf>
    <xf numFmtId="49" fontId="42" fillId="15" borderId="0" xfId="0" applyNumberFormat="1" applyFont="1" applyFill="1"/>
    <xf numFmtId="0" fontId="43" fillId="15" borderId="0" xfId="0" applyFont="1" applyFill="1"/>
    <xf numFmtId="0" fontId="35" fillId="21" borderId="62" xfId="0" applyFont="1" applyFill="1" applyBorder="1" applyAlignment="1">
      <alignment horizontal="center" vertical="center" wrapText="1"/>
    </xf>
    <xf numFmtId="0" fontId="44" fillId="24" borderId="34" xfId="0" applyFont="1" applyFill="1" applyBorder="1" applyAlignment="1">
      <alignment horizontal="center" vertical="center"/>
    </xf>
    <xf numFmtId="0" fontId="2" fillId="2" borderId="105" xfId="0" applyFont="1" applyFill="1" applyBorder="1" applyAlignment="1">
      <alignment horizontal="center" vertical="center"/>
    </xf>
    <xf numFmtId="0" fontId="2" fillId="2" borderId="106" xfId="0" applyFont="1" applyFill="1" applyBorder="1" applyAlignment="1">
      <alignment horizontal="center" vertical="center"/>
    </xf>
    <xf numFmtId="0" fontId="2" fillId="2" borderId="107" xfId="0" applyFont="1" applyFill="1" applyBorder="1" applyAlignment="1">
      <alignment horizontal="center" vertical="center" wrapText="1"/>
    </xf>
    <xf numFmtId="169" fontId="0" fillId="0" borderId="1" xfId="0" applyNumberFormat="1" applyBorder="1" applyAlignment="1">
      <alignment horizontal="center"/>
    </xf>
    <xf numFmtId="0" fontId="45" fillId="17" borderId="94" xfId="0" applyFont="1" applyFill="1" applyBorder="1" applyAlignment="1" applyProtection="1">
      <alignment horizontal="center" vertical="top" wrapText="1" readingOrder="1"/>
      <protection locked="0"/>
    </xf>
    <xf numFmtId="0" fontId="46" fillId="17" borderId="94" xfId="0" applyFont="1" applyFill="1" applyBorder="1" applyAlignment="1" applyProtection="1">
      <alignment horizontal="center" vertical="top" wrapText="1" readingOrder="1"/>
      <protection locked="0"/>
    </xf>
    <xf numFmtId="0" fontId="46" fillId="0" borderId="94" xfId="0" applyFont="1" applyBorder="1" applyAlignment="1" applyProtection="1">
      <alignment horizontal="center" vertical="top" wrapText="1" readingOrder="1"/>
      <protection locked="0"/>
    </xf>
    <xf numFmtId="0" fontId="46" fillId="17" borderId="102" xfId="0" applyFont="1" applyFill="1" applyBorder="1" applyAlignment="1" applyProtection="1">
      <alignment horizontal="center" vertical="top" wrapText="1" readingOrder="1"/>
      <protection locked="0"/>
    </xf>
    <xf numFmtId="0" fontId="46" fillId="0" borderId="102" xfId="0" applyFont="1" applyBorder="1" applyAlignment="1" applyProtection="1">
      <alignment horizontal="center" vertical="top" wrapText="1" readingOrder="1"/>
      <protection locked="0"/>
    </xf>
    <xf numFmtId="0" fontId="46" fillId="0" borderId="95" xfId="0" applyFont="1" applyBorder="1" applyAlignment="1" applyProtection="1">
      <alignment horizontal="center" vertical="top" wrapText="1" readingOrder="1"/>
      <protection locked="0"/>
    </xf>
    <xf numFmtId="0" fontId="46" fillId="8" borderId="94" xfId="0" applyFont="1" applyFill="1" applyBorder="1" applyAlignment="1" applyProtection="1">
      <alignment horizontal="center" vertical="top" wrapText="1" readingOrder="1"/>
      <protection locked="0"/>
    </xf>
    <xf numFmtId="0" fontId="46" fillId="8" borderId="102" xfId="0" applyFont="1" applyFill="1" applyBorder="1" applyAlignment="1" applyProtection="1">
      <alignment horizontal="center" vertical="top" wrapText="1" readingOrder="1"/>
      <protection locked="0"/>
    </xf>
    <xf numFmtId="0" fontId="46" fillId="0" borderId="94" xfId="0" applyFont="1" applyBorder="1" applyAlignment="1" applyProtection="1">
      <alignment vertical="top" wrapText="1" readingOrder="1"/>
      <protection locked="0"/>
    </xf>
    <xf numFmtId="0" fontId="46" fillId="8" borderId="94" xfId="0" applyFont="1" applyFill="1" applyBorder="1" applyAlignment="1" applyProtection="1">
      <alignment vertical="top" wrapText="1" readingOrder="1"/>
      <protection locked="0"/>
    </xf>
    <xf numFmtId="0" fontId="0" fillId="8" borderId="96" xfId="0" applyFill="1" applyBorder="1" applyAlignment="1" applyProtection="1">
      <alignment vertical="top" wrapText="1"/>
      <protection locked="0"/>
    </xf>
    <xf numFmtId="0" fontId="46" fillId="0" borderId="108" xfId="0" applyFont="1" applyBorder="1" applyAlignment="1" applyProtection="1">
      <alignment vertical="top" wrapText="1" readingOrder="1"/>
      <protection locked="0"/>
    </xf>
    <xf numFmtId="0" fontId="0" fillId="8" borderId="95" xfId="0" applyFill="1" applyBorder="1" applyAlignment="1" applyProtection="1">
      <alignment vertical="top" wrapText="1"/>
      <protection locked="0"/>
    </xf>
    <xf numFmtId="0" fontId="11" fillId="15" borderId="44" xfId="5" applyFill="1" applyBorder="1"/>
    <xf numFmtId="0" fontId="11" fillId="15" borderId="45" xfId="5" applyFill="1" applyBorder="1"/>
    <xf numFmtId="0" fontId="11" fillId="15" borderId="46" xfId="5" applyFill="1" applyBorder="1"/>
    <xf numFmtId="0" fontId="11" fillId="15" borderId="47" xfId="5" applyFill="1" applyBorder="1"/>
    <xf numFmtId="0" fontId="11" fillId="15" borderId="0" xfId="5" applyFill="1"/>
    <xf numFmtId="0" fontId="11" fillId="15" borderId="48" xfId="5" applyFill="1" applyBorder="1"/>
    <xf numFmtId="0" fontId="48" fillId="15" borderId="47" xfId="7" applyFont="1" applyFill="1" applyBorder="1"/>
    <xf numFmtId="0" fontId="49" fillId="15" borderId="0" xfId="7" applyFont="1" applyFill="1"/>
    <xf numFmtId="0" fontId="49" fillId="15" borderId="48" xfId="7" applyFont="1" applyFill="1" applyBorder="1"/>
    <xf numFmtId="0" fontId="11" fillId="15" borderId="47" xfId="7" applyFill="1" applyBorder="1"/>
    <xf numFmtId="0" fontId="11" fillId="15" borderId="0" xfId="7" applyFill="1"/>
    <xf numFmtId="0" fontId="11" fillId="15" borderId="48" xfId="7" applyFill="1" applyBorder="1"/>
    <xf numFmtId="0" fontId="50" fillId="15" borderId="44" xfId="7" applyFont="1" applyFill="1" applyBorder="1" applyAlignment="1">
      <alignment horizontal="left"/>
    </xf>
    <xf numFmtId="0" fontId="51" fillId="15" borderId="45" xfId="7" applyFont="1" applyFill="1" applyBorder="1" applyAlignment="1">
      <alignment horizontal="center"/>
    </xf>
    <xf numFmtId="0" fontId="51" fillId="15" borderId="46" xfId="7" applyFont="1" applyFill="1" applyBorder="1" applyAlignment="1">
      <alignment horizontal="center"/>
    </xf>
    <xf numFmtId="0" fontId="51" fillId="15" borderId="47" xfId="7" applyFont="1" applyFill="1" applyBorder="1" applyAlignment="1">
      <alignment horizontal="center"/>
    </xf>
    <xf numFmtId="0" fontId="51" fillId="15" borderId="0" xfId="7" applyFont="1" applyFill="1" applyAlignment="1">
      <alignment horizontal="left"/>
    </xf>
    <xf numFmtId="0" fontId="51" fillId="15" borderId="0" xfId="7" applyFont="1" applyFill="1" applyAlignment="1">
      <alignment horizontal="center"/>
    </xf>
    <xf numFmtId="0" fontId="51" fillId="15" borderId="48" xfId="7" applyFont="1" applyFill="1" applyBorder="1" applyAlignment="1">
      <alignment horizontal="center"/>
    </xf>
    <xf numFmtId="0" fontId="51" fillId="15" borderId="47" xfId="7" applyFont="1" applyFill="1" applyBorder="1" applyAlignment="1">
      <alignment horizontal="right"/>
    </xf>
    <xf numFmtId="0" fontId="54" fillId="15" borderId="0" xfId="7" applyFont="1" applyFill="1" applyAlignment="1">
      <alignment horizontal="left"/>
    </xf>
    <xf numFmtId="0" fontId="55" fillId="15" borderId="0" xfId="7" applyFont="1" applyFill="1" applyAlignment="1">
      <alignment horizontal="center"/>
    </xf>
    <xf numFmtId="0" fontId="56" fillId="15" borderId="0" xfId="7" applyFont="1" applyFill="1" applyAlignment="1">
      <alignment horizontal="center"/>
    </xf>
    <xf numFmtId="0" fontId="52" fillId="15" borderId="0" xfId="7" applyFont="1" applyFill="1" applyAlignment="1">
      <alignment horizontal="center"/>
    </xf>
    <xf numFmtId="0" fontId="39" fillId="25" borderId="1" xfId="7" applyFont="1" applyFill="1" applyBorder="1" applyAlignment="1">
      <alignment horizontal="center"/>
    </xf>
    <xf numFmtId="0" fontId="39" fillId="25" borderId="1" xfId="7" quotePrefix="1" applyFont="1" applyFill="1" applyBorder="1" applyAlignment="1">
      <alignment horizontal="center"/>
    </xf>
    <xf numFmtId="0" fontId="39" fillId="25" borderId="6" xfId="7" applyFont="1" applyFill="1" applyBorder="1" applyAlignment="1">
      <alignment horizontal="center"/>
    </xf>
    <xf numFmtId="0" fontId="51" fillId="0" borderId="1" xfId="7" applyFont="1" applyBorder="1" applyAlignment="1">
      <alignment horizontal="center"/>
    </xf>
    <xf numFmtId="1" fontId="51" fillId="26" borderId="1" xfId="7" applyNumberFormat="1" applyFont="1" applyFill="1" applyBorder="1" applyAlignment="1">
      <alignment horizontal="center"/>
    </xf>
    <xf numFmtId="43" fontId="51" fillId="15" borderId="1" xfId="7" applyNumberFormat="1" applyFont="1" applyFill="1" applyBorder="1" applyAlignment="1">
      <alignment horizontal="center"/>
    </xf>
    <xf numFmtId="180" fontId="51" fillId="15" borderId="1" xfId="8" applyNumberFormat="1" applyFont="1" applyFill="1" applyBorder="1" applyAlignment="1">
      <alignment horizontal="center"/>
    </xf>
    <xf numFmtId="0" fontId="51" fillId="15" borderId="1" xfId="7" applyFont="1" applyFill="1" applyBorder="1" applyAlignment="1">
      <alignment horizontal="center"/>
    </xf>
    <xf numFmtId="181" fontId="51" fillId="15" borderId="1" xfId="8" applyNumberFormat="1" applyFont="1" applyFill="1" applyBorder="1" applyAlignment="1">
      <alignment horizontal="center"/>
    </xf>
    <xf numFmtId="43" fontId="51" fillId="15" borderId="6" xfId="7" applyNumberFormat="1" applyFont="1" applyFill="1" applyBorder="1" applyAlignment="1">
      <alignment horizontal="center"/>
    </xf>
    <xf numFmtId="0" fontId="51" fillId="15" borderId="49" xfId="7" applyFont="1" applyFill="1" applyBorder="1" applyAlignment="1">
      <alignment horizontal="center"/>
    </xf>
    <xf numFmtId="0" fontId="39" fillId="25" borderId="89" xfId="7" applyFont="1" applyFill="1" applyBorder="1" applyAlignment="1">
      <alignment horizontal="center"/>
    </xf>
    <xf numFmtId="0" fontId="39" fillId="25" borderId="109" xfId="7" applyFont="1" applyFill="1" applyBorder="1" applyAlignment="1">
      <alignment horizontal="center"/>
    </xf>
    <xf numFmtId="180" fontId="39" fillId="25" borderId="109" xfId="8" applyNumberFormat="1" applyFont="1" applyFill="1" applyBorder="1" applyAlignment="1">
      <alignment horizontal="center"/>
    </xf>
    <xf numFmtId="180" fontId="39" fillId="25" borderId="109" xfId="7" applyNumberFormat="1" applyFont="1" applyFill="1" applyBorder="1" applyAlignment="1">
      <alignment horizontal="center"/>
    </xf>
    <xf numFmtId="181" fontId="39" fillId="25" borderId="109" xfId="7" applyNumberFormat="1" applyFont="1" applyFill="1" applyBorder="1" applyAlignment="1">
      <alignment horizontal="center"/>
    </xf>
    <xf numFmtId="181" fontId="39" fillId="25" borderId="110" xfId="7" applyNumberFormat="1" applyFont="1" applyFill="1" applyBorder="1" applyAlignment="1">
      <alignment horizontal="center"/>
    </xf>
    <xf numFmtId="180" fontId="51" fillId="15" borderId="0" xfId="8" applyNumberFormat="1" applyFont="1" applyFill="1" applyAlignment="1">
      <alignment horizontal="center"/>
    </xf>
    <xf numFmtId="180" fontId="51" fillId="15" borderId="0" xfId="7" applyNumberFormat="1" applyFont="1" applyFill="1" applyAlignment="1">
      <alignment horizontal="center"/>
    </xf>
    <xf numFmtId="181" fontId="51" fillId="15" borderId="0" xfId="7" applyNumberFormat="1" applyFont="1" applyFill="1" applyAlignment="1">
      <alignment horizontal="center"/>
    </xf>
    <xf numFmtId="43" fontId="51" fillId="15" borderId="48" xfId="7" applyNumberFormat="1" applyFont="1" applyFill="1" applyBorder="1" applyAlignment="1">
      <alignment horizontal="center"/>
    </xf>
    <xf numFmtId="0" fontId="51" fillId="15" borderId="0" xfId="5" applyFont="1" applyFill="1" applyAlignment="1">
      <alignment horizontal="center"/>
    </xf>
    <xf numFmtId="0" fontId="53" fillId="15" borderId="0" xfId="7" applyFont="1" applyFill="1" applyAlignment="1">
      <alignment horizontal="left"/>
    </xf>
    <xf numFmtId="0" fontId="39" fillId="25" borderId="61" xfId="7" applyFont="1" applyFill="1" applyBorder="1" applyAlignment="1">
      <alignment horizontal="left"/>
    </xf>
    <xf numFmtId="0" fontId="39" fillId="25" borderId="60" xfId="7" applyFont="1" applyFill="1" applyBorder="1" applyAlignment="1">
      <alignment horizontal="center"/>
    </xf>
    <xf numFmtId="39" fontId="57" fillId="25" borderId="60" xfId="7" applyNumberFormat="1" applyFont="1" applyFill="1" applyBorder="1" applyAlignment="1">
      <alignment horizontal="center"/>
    </xf>
    <xf numFmtId="0" fontId="39" fillId="25" borderId="62" xfId="7" applyFont="1" applyFill="1" applyBorder="1" applyAlignment="1">
      <alignment horizontal="center"/>
    </xf>
    <xf numFmtId="0" fontId="52" fillId="15" borderId="0" xfId="7" applyFont="1" applyFill="1" applyAlignment="1">
      <alignment horizontal="right"/>
    </xf>
    <xf numFmtId="0" fontId="52" fillId="15" borderId="0" xfId="7" applyFont="1" applyFill="1" applyAlignment="1">
      <alignment horizontal="left"/>
    </xf>
    <xf numFmtId="181" fontId="51" fillId="15" borderId="14" xfId="8" applyNumberFormat="1" applyFont="1" applyFill="1" applyBorder="1" applyAlignment="1">
      <alignment horizontal="center"/>
    </xf>
    <xf numFmtId="181" fontId="51" fillId="27" borderId="14" xfId="8" applyNumberFormat="1" applyFont="1" applyFill="1" applyBorder="1" applyAlignment="1">
      <alignment horizontal="center"/>
    </xf>
    <xf numFmtId="0" fontId="51" fillId="15" borderId="71" xfId="7" applyFont="1" applyFill="1" applyBorder="1" applyAlignment="1">
      <alignment horizontal="center"/>
    </xf>
    <xf numFmtId="39" fontId="58" fillId="25" borderId="111" xfId="7" applyNumberFormat="1" applyFont="1" applyFill="1" applyBorder="1" applyAlignment="1">
      <alignment horizontal="center"/>
    </xf>
    <xf numFmtId="43" fontId="59" fillId="15" borderId="0" xfId="7" applyNumberFormat="1" applyFont="1" applyFill="1" applyAlignment="1">
      <alignment horizontal="center"/>
    </xf>
    <xf numFmtId="0" fontId="51" fillId="15" borderId="44" xfId="7" applyFont="1" applyFill="1" applyBorder="1" applyAlignment="1">
      <alignment horizontal="center"/>
    </xf>
    <xf numFmtId="0" fontId="52" fillId="15" borderId="45" xfId="7" applyFont="1" applyFill="1" applyBorder="1" applyAlignment="1">
      <alignment horizontal="center"/>
    </xf>
    <xf numFmtId="0" fontId="50" fillId="15" borderId="47" xfId="7" applyFont="1" applyFill="1" applyBorder="1" applyAlignment="1">
      <alignment horizontal="left"/>
    </xf>
    <xf numFmtId="0" fontId="53" fillId="15" borderId="0" xfId="5" applyFont="1" applyFill="1" applyAlignment="1">
      <alignment horizontal="center"/>
    </xf>
    <xf numFmtId="0" fontId="52" fillId="15" borderId="0" xfId="5" applyFont="1" applyFill="1" applyAlignment="1">
      <alignment horizontal="center"/>
    </xf>
    <xf numFmtId="0" fontId="51" fillId="15" borderId="47" xfId="5" applyFont="1" applyFill="1" applyBorder="1" applyAlignment="1">
      <alignment horizontal="center"/>
    </xf>
    <xf numFmtId="2" fontId="60" fillId="25" borderId="111" xfId="7" applyNumberFormat="1" applyFont="1" applyFill="1" applyBorder="1" applyAlignment="1">
      <alignment horizontal="center"/>
    </xf>
    <xf numFmtId="2" fontId="59" fillId="15" borderId="0" xfId="7" applyNumberFormat="1" applyFont="1" applyFill="1" applyAlignment="1">
      <alignment horizontal="center"/>
    </xf>
    <xf numFmtId="0" fontId="51" fillId="15" borderId="49" xfId="5" applyFont="1" applyFill="1" applyBorder="1" applyAlignment="1">
      <alignment horizontal="center"/>
    </xf>
    <xf numFmtId="0" fontId="51" fillId="15" borderId="40" xfId="5" applyFont="1" applyFill="1" applyBorder="1" applyAlignment="1">
      <alignment horizontal="center"/>
    </xf>
    <xf numFmtId="0" fontId="51" fillId="15" borderId="50" xfId="5" applyFont="1" applyFill="1" applyBorder="1" applyAlignment="1">
      <alignment horizontal="center"/>
    </xf>
    <xf numFmtId="0" fontId="0" fillId="28" borderId="0" xfId="0" applyFill="1"/>
    <xf numFmtId="1" fontId="51" fillId="0" borderId="1" xfId="7" applyNumberFormat="1" applyFont="1" applyBorder="1" applyAlignment="1">
      <alignment horizontal="center"/>
    </xf>
    <xf numFmtId="0" fontId="33" fillId="0" borderId="1" xfId="0" applyFont="1" applyBorder="1" applyAlignment="1">
      <alignment horizontal="center" vertical="center"/>
    </xf>
    <xf numFmtId="0" fontId="33" fillId="0" borderId="1" xfId="0" applyFont="1" applyBorder="1"/>
    <xf numFmtId="177" fontId="33" fillId="0" borderId="1" xfId="0" applyNumberFormat="1" applyFont="1" applyBorder="1" applyAlignment="1">
      <alignment horizontal="center"/>
    </xf>
    <xf numFmtId="172" fontId="33" fillId="0" borderId="1" xfId="0" applyNumberFormat="1" applyFont="1" applyBorder="1" applyAlignment="1">
      <alignment horizontal="center"/>
    </xf>
    <xf numFmtId="173" fontId="33" fillId="0" borderId="1" xfId="0" applyNumberFormat="1" applyFont="1" applyBorder="1" applyAlignment="1">
      <alignment horizontal="center"/>
    </xf>
    <xf numFmtId="0" fontId="64" fillId="21" borderId="1" xfId="0" applyFont="1" applyFill="1" applyBorder="1" applyAlignment="1">
      <alignment horizontal="center" vertical="center"/>
    </xf>
    <xf numFmtId="0" fontId="64" fillId="21" borderId="1" xfId="0" applyFont="1" applyFill="1" applyBorder="1" applyAlignment="1">
      <alignment horizontal="center" vertical="center" wrapText="1"/>
    </xf>
    <xf numFmtId="0" fontId="64" fillId="21" borderId="60" xfId="0" applyFont="1" applyFill="1" applyBorder="1" applyAlignment="1">
      <alignment horizontal="center" vertical="center"/>
    </xf>
    <xf numFmtId="0" fontId="33" fillId="15" borderId="0" xfId="0" applyFont="1" applyFill="1" applyAlignment="1">
      <alignment horizontal="center" vertical="center"/>
    </xf>
    <xf numFmtId="2" fontId="33" fillId="15" borderId="0" xfId="0" applyNumberFormat="1" applyFont="1" applyFill="1" applyAlignment="1">
      <alignment horizontal="center"/>
    </xf>
    <xf numFmtId="0" fontId="33" fillId="15" borderId="2" xfId="0" applyFont="1" applyFill="1" applyBorder="1" applyAlignment="1">
      <alignment horizontal="left" vertical="center"/>
    </xf>
    <xf numFmtId="1" fontId="33" fillId="15" borderId="60" xfId="0" applyNumberFormat="1" applyFont="1" applyFill="1" applyBorder="1" applyAlignment="1">
      <alignment horizontal="center"/>
    </xf>
    <xf numFmtId="0" fontId="33" fillId="15" borderId="1" xfId="0" applyFont="1" applyFill="1" applyBorder="1" applyAlignment="1">
      <alignment horizontal="center"/>
    </xf>
    <xf numFmtId="1" fontId="33" fillId="15" borderId="1" xfId="0" applyNumberFormat="1" applyFont="1" applyFill="1" applyBorder="1" applyAlignment="1">
      <alignment horizontal="center"/>
    </xf>
    <xf numFmtId="2" fontId="33" fillId="15" borderId="1" xfId="0" applyNumberFormat="1" applyFont="1" applyFill="1" applyBorder="1" applyAlignment="1">
      <alignment horizontal="center" vertical="center"/>
    </xf>
    <xf numFmtId="2" fontId="33" fillId="15" borderId="1" xfId="0" applyNumberFormat="1" applyFont="1" applyFill="1" applyBorder="1" applyAlignment="1">
      <alignment horizontal="center"/>
    </xf>
    <xf numFmtId="0" fontId="33" fillId="15" borderId="0" xfId="0" applyFont="1" applyFill="1" applyAlignment="1">
      <alignment horizontal="center"/>
    </xf>
    <xf numFmtId="0" fontId="33" fillId="15" borderId="0" xfId="0" applyFont="1" applyFill="1" applyAlignment="1">
      <alignment horizontal="left"/>
    </xf>
    <xf numFmtId="3" fontId="33" fillId="0" borderId="1" xfId="0" applyNumberFormat="1" applyFont="1" applyBorder="1" applyAlignment="1">
      <alignment horizontal="center" vertical="center"/>
    </xf>
    <xf numFmtId="1" fontId="33" fillId="15" borderId="60" xfId="0" applyNumberFormat="1" applyFont="1" applyFill="1" applyBorder="1" applyAlignment="1">
      <alignment horizontal="center" vertical="center"/>
    </xf>
    <xf numFmtId="3" fontId="33" fillId="15" borderId="60" xfId="0" applyNumberFormat="1" applyFont="1" applyFill="1" applyBorder="1" applyAlignment="1">
      <alignment horizontal="center" vertical="center"/>
    </xf>
    <xf numFmtId="0" fontId="33" fillId="15" borderId="34" xfId="0" applyFont="1" applyFill="1" applyBorder="1" applyAlignment="1">
      <alignment horizontal="center" vertical="center" wrapText="1"/>
    </xf>
    <xf numFmtId="0" fontId="33" fillId="15" borderId="55" xfId="0" applyFont="1" applyFill="1" applyBorder="1" applyAlignment="1">
      <alignment horizontal="center" vertical="center" wrapText="1"/>
    </xf>
    <xf numFmtId="0" fontId="33" fillId="15" borderId="24" xfId="0" applyFont="1" applyFill="1" applyBorder="1" applyAlignment="1">
      <alignment horizontal="center" vertical="center" wrapText="1"/>
    </xf>
    <xf numFmtId="0" fontId="33" fillId="15" borderId="26" xfId="0" applyFont="1" applyFill="1" applyBorder="1" applyAlignment="1">
      <alignment horizontal="center" vertical="center" wrapText="1"/>
    </xf>
    <xf numFmtId="0" fontId="33" fillId="15" borderId="112" xfId="0" applyFont="1" applyFill="1" applyBorder="1" applyAlignment="1">
      <alignment horizontal="center" vertical="center"/>
    </xf>
    <xf numFmtId="0" fontId="33" fillId="15" borderId="35" xfId="0" applyFont="1" applyFill="1" applyBorder="1" applyAlignment="1">
      <alignment horizontal="center" vertical="center" wrapText="1"/>
    </xf>
    <xf numFmtId="0" fontId="33" fillId="15" borderId="27" xfId="0" applyFont="1" applyFill="1" applyBorder="1" applyAlignment="1">
      <alignment horizontal="center" vertical="center" wrapText="1"/>
    </xf>
    <xf numFmtId="0" fontId="33" fillId="15" borderId="61" xfId="0" applyFont="1" applyFill="1" applyBorder="1" applyAlignment="1">
      <alignment horizontal="center" vertical="center" wrapText="1"/>
    </xf>
    <xf numFmtId="0" fontId="33" fillId="15" borderId="27" xfId="0" applyFont="1" applyFill="1" applyBorder="1" applyAlignment="1">
      <alignment horizontal="center" vertical="center"/>
    </xf>
    <xf numFmtId="0" fontId="33" fillId="15" borderId="28" xfId="0" applyFont="1" applyFill="1" applyBorder="1" applyAlignment="1">
      <alignment horizontal="center" vertical="center" wrapText="1"/>
    </xf>
    <xf numFmtId="0" fontId="33" fillId="15" borderId="62" xfId="0" applyFont="1" applyFill="1" applyBorder="1" applyAlignment="1">
      <alignment horizontal="center" vertical="center" wrapText="1"/>
    </xf>
    <xf numFmtId="0" fontId="33" fillId="15" borderId="29" xfId="0" applyFont="1" applyFill="1" applyBorder="1" applyAlignment="1">
      <alignment horizontal="center" vertical="center" wrapText="1"/>
    </xf>
    <xf numFmtId="0" fontId="33" fillId="15" borderId="115" xfId="0" applyFont="1" applyFill="1" applyBorder="1" applyAlignment="1">
      <alignment horizontal="center" vertical="center" wrapText="1"/>
    </xf>
    <xf numFmtId="0" fontId="33" fillId="15" borderId="31" xfId="0" applyFont="1" applyFill="1" applyBorder="1" applyAlignment="1">
      <alignment horizontal="center" vertical="center" wrapText="1"/>
    </xf>
    <xf numFmtId="0" fontId="33" fillId="15" borderId="116" xfId="0" applyFont="1" applyFill="1" applyBorder="1" applyAlignment="1">
      <alignment horizontal="center" vertical="center" wrapText="1"/>
    </xf>
    <xf numFmtId="0" fontId="0" fillId="15" borderId="0" xfId="0" applyFill="1"/>
    <xf numFmtId="0" fontId="37" fillId="15" borderId="1" xfId="0" applyFont="1" applyFill="1" applyBorder="1" applyAlignment="1">
      <alignment horizontal="center" vertical="center" wrapText="1"/>
    </xf>
    <xf numFmtId="39" fontId="62" fillId="15" borderId="1" xfId="0" applyNumberFormat="1" applyFont="1" applyFill="1" applyBorder="1" applyAlignment="1">
      <alignment horizontal="center" vertical="center"/>
    </xf>
    <xf numFmtId="0" fontId="67" fillId="21" borderId="1" xfId="0" applyFont="1" applyFill="1" applyBorder="1" applyAlignment="1">
      <alignment horizontal="center" vertical="center"/>
    </xf>
    <xf numFmtId="0" fontId="67" fillId="21" borderId="1" xfId="0" applyFont="1" applyFill="1" applyBorder="1" applyAlignment="1">
      <alignment horizontal="center" vertical="center" wrapText="1"/>
    </xf>
    <xf numFmtId="0" fontId="68" fillId="15" borderId="1" xfId="0" applyFont="1" applyFill="1" applyBorder="1" applyAlignment="1">
      <alignment horizontal="center" vertical="center"/>
    </xf>
    <xf numFmtId="2" fontId="68" fillId="15" borderId="1" xfId="0" applyNumberFormat="1" applyFont="1" applyFill="1" applyBorder="1" applyAlignment="1">
      <alignment horizontal="center" vertical="center"/>
    </xf>
    <xf numFmtId="0" fontId="68" fillId="15" borderId="1" xfId="0" applyFont="1" applyFill="1" applyBorder="1" applyAlignment="1">
      <alignment horizontal="left" vertical="center"/>
    </xf>
    <xf numFmtId="1" fontId="62" fillId="0" borderId="10" xfId="0" applyNumberFormat="1" applyFont="1" applyBorder="1" applyAlignment="1">
      <alignment horizontal="center"/>
    </xf>
    <xf numFmtId="0" fontId="44" fillId="24" borderId="11" xfId="0" applyFont="1" applyFill="1" applyBorder="1" applyAlignment="1">
      <alignment horizontal="center" vertical="center"/>
    </xf>
    <xf numFmtId="0" fontId="44" fillId="24" borderId="12" xfId="0" applyFont="1" applyFill="1" applyBorder="1" applyAlignment="1">
      <alignment horizontal="center" vertical="center"/>
    </xf>
    <xf numFmtId="0" fontId="44" fillId="24" borderId="85" xfId="0" applyFont="1" applyFill="1" applyBorder="1" applyAlignment="1">
      <alignment horizontal="center" vertical="center"/>
    </xf>
    <xf numFmtId="0" fontId="44" fillId="24" borderId="76" xfId="0" applyFont="1" applyFill="1" applyBorder="1" applyAlignment="1">
      <alignment horizontal="center" vertical="center"/>
    </xf>
    <xf numFmtId="0" fontId="44" fillId="24" borderId="3" xfId="0" applyFont="1" applyFill="1" applyBorder="1" applyAlignment="1">
      <alignment horizontal="center"/>
    </xf>
    <xf numFmtId="2" fontId="44" fillId="24" borderId="4" xfId="0" applyNumberFormat="1" applyFont="1" applyFill="1" applyBorder="1" applyAlignment="1">
      <alignment horizontal="center"/>
    </xf>
    <xf numFmtId="0" fontId="44" fillId="24" borderId="74" xfId="0" applyFont="1" applyFill="1" applyBorder="1" applyAlignment="1">
      <alignment horizontal="center"/>
    </xf>
    <xf numFmtId="0" fontId="44" fillId="24" borderId="5" xfId="0" applyFont="1" applyFill="1" applyBorder="1" applyAlignment="1">
      <alignment horizontal="center"/>
    </xf>
    <xf numFmtId="2" fontId="44" fillId="24" borderId="1" xfId="0" applyNumberFormat="1" applyFont="1" applyFill="1" applyBorder="1" applyAlignment="1">
      <alignment horizontal="center"/>
    </xf>
    <xf numFmtId="0" fontId="44" fillId="24" borderId="6" xfId="0" applyFont="1" applyFill="1" applyBorder="1" applyAlignment="1">
      <alignment horizontal="center"/>
    </xf>
    <xf numFmtId="0" fontId="44" fillId="24" borderId="7" xfId="0" applyFont="1" applyFill="1" applyBorder="1" applyAlignment="1">
      <alignment horizontal="center"/>
    </xf>
    <xf numFmtId="2" fontId="44" fillId="24" borderId="8" xfId="0" applyNumberFormat="1" applyFont="1" applyFill="1" applyBorder="1" applyAlignment="1">
      <alignment horizontal="center"/>
    </xf>
    <xf numFmtId="1" fontId="44" fillId="24" borderId="75" xfId="0" applyNumberFormat="1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left" vertical="center"/>
    </xf>
    <xf numFmtId="182" fontId="0" fillId="28" borderId="0" xfId="10" applyNumberFormat="1" applyFont="1" applyFill="1"/>
    <xf numFmtId="0" fontId="69" fillId="24" borderId="1" xfId="0" applyFont="1" applyFill="1" applyBorder="1" applyAlignment="1">
      <alignment horizontal="center" vertical="center" wrapText="1"/>
    </xf>
    <xf numFmtId="0" fontId="69" fillId="24" borderId="10" xfId="0" applyFont="1" applyFill="1" applyBorder="1" applyAlignment="1">
      <alignment horizontal="center" vertical="center" wrapText="1"/>
    </xf>
    <xf numFmtId="39" fontId="33" fillId="0" borderId="1" xfId="0" applyNumberFormat="1" applyFont="1" applyBorder="1" applyAlignment="1">
      <alignment horizontal="center" vertical="center"/>
    </xf>
    <xf numFmtId="0" fontId="71" fillId="0" borderId="0" xfId="0" applyFont="1"/>
    <xf numFmtId="0" fontId="62" fillId="0" borderId="0" xfId="0" applyFont="1"/>
    <xf numFmtId="0" fontId="63" fillId="25" borderId="111" xfId="0" applyFont="1" applyFill="1" applyBorder="1" applyAlignment="1">
      <alignment horizontal="center" vertical="center"/>
    </xf>
    <xf numFmtId="0" fontId="62" fillId="15" borderId="90" xfId="0" applyFont="1" applyFill="1" applyBorder="1"/>
    <xf numFmtId="175" fontId="62" fillId="15" borderId="90" xfId="4" applyNumberFormat="1" applyFont="1" applyFill="1" applyBorder="1" applyAlignment="1">
      <alignment horizontal="right"/>
    </xf>
    <xf numFmtId="2" fontId="62" fillId="15" borderId="90" xfId="0" applyNumberFormat="1" applyFont="1" applyFill="1" applyBorder="1"/>
    <xf numFmtId="10" fontId="0" fillId="0" borderId="0" xfId="4" applyNumberFormat="1" applyFont="1"/>
    <xf numFmtId="0" fontId="62" fillId="8" borderId="90" xfId="0" applyFont="1" applyFill="1" applyBorder="1"/>
    <xf numFmtId="0" fontId="62" fillId="15" borderId="111" xfId="0" applyFont="1" applyFill="1" applyBorder="1"/>
    <xf numFmtId="2" fontId="63" fillId="2" borderId="111" xfId="0" applyNumberFormat="1" applyFont="1" applyFill="1" applyBorder="1"/>
    <xf numFmtId="0" fontId="33" fillId="0" borderId="61" xfId="0" applyFont="1" applyBorder="1" applyAlignment="1">
      <alignment horizontal="left" vertical="center"/>
    </xf>
    <xf numFmtId="0" fontId="33" fillId="28" borderId="1" xfId="0" applyFont="1" applyFill="1" applyBorder="1" applyAlignment="1">
      <alignment vertical="center"/>
    </xf>
    <xf numFmtId="9" fontId="0" fillId="15" borderId="0" xfId="4" applyFont="1" applyFill="1"/>
    <xf numFmtId="9" fontId="0" fillId="15" borderId="0" xfId="0" applyNumberFormat="1" applyFill="1"/>
    <xf numFmtId="183" fontId="33" fillId="0" borderId="10" xfId="10" applyNumberFormat="1" applyFont="1" applyBorder="1" applyAlignment="1">
      <alignment horizontal="center" vertical="center"/>
    </xf>
    <xf numFmtId="183" fontId="33" fillId="0" borderId="1" xfId="0" applyNumberFormat="1" applyFont="1" applyBorder="1" applyAlignment="1">
      <alignment horizontal="center" vertical="center"/>
    </xf>
    <xf numFmtId="182" fontId="33" fillId="0" borderId="1" xfId="10" applyNumberFormat="1" applyFont="1" applyBorder="1" applyAlignment="1">
      <alignment horizontal="center" vertical="center"/>
    </xf>
    <xf numFmtId="0" fontId="33" fillId="28" borderId="1" xfId="0" applyFont="1" applyFill="1" applyBorder="1" applyAlignment="1">
      <alignment horizontal="center" vertical="center"/>
    </xf>
    <xf numFmtId="181" fontId="70" fillId="0" borderId="1" xfId="10" applyNumberFormat="1" applyFont="1" applyBorder="1" applyAlignment="1">
      <alignment horizontal="center" vertical="center"/>
    </xf>
    <xf numFmtId="181" fontId="33" fillId="28" borderId="1" xfId="0" applyNumberFormat="1" applyFont="1" applyFill="1" applyBorder="1" applyAlignment="1">
      <alignment vertical="center"/>
    </xf>
    <xf numFmtId="2" fontId="64" fillId="0" borderId="1" xfId="0" applyNumberFormat="1" applyFont="1" applyBorder="1" applyAlignment="1">
      <alignment horizontal="center"/>
    </xf>
    <xf numFmtId="0" fontId="64" fillId="28" borderId="1" xfId="0" applyFont="1" applyFill="1" applyBorder="1" applyAlignment="1">
      <alignment vertical="center"/>
    </xf>
    <xf numFmtId="0" fontId="63" fillId="15" borderId="117" xfId="0" applyFont="1" applyFill="1" applyBorder="1"/>
    <xf numFmtId="0" fontId="2" fillId="8" borderId="0" xfId="0" applyFont="1" applyFill="1"/>
    <xf numFmtId="0" fontId="72" fillId="15" borderId="44" xfId="0" applyFont="1" applyFill="1" applyBorder="1"/>
    <xf numFmtId="0" fontId="72" fillId="15" borderId="45" xfId="0" applyFont="1" applyFill="1" applyBorder="1"/>
    <xf numFmtId="0" fontId="72" fillId="15" borderId="46" xfId="0" applyFont="1" applyFill="1" applyBorder="1"/>
    <xf numFmtId="0" fontId="72" fillId="15" borderId="47" xfId="0" applyFont="1" applyFill="1" applyBorder="1"/>
    <xf numFmtId="0" fontId="72" fillId="15" borderId="0" xfId="0" applyFont="1" applyFill="1"/>
    <xf numFmtId="0" fontId="72" fillId="15" borderId="48" xfId="0" applyFont="1" applyFill="1" applyBorder="1"/>
    <xf numFmtId="0" fontId="73" fillId="15" borderId="47" xfId="0" applyFont="1" applyFill="1" applyBorder="1"/>
    <xf numFmtId="0" fontId="73" fillId="15" borderId="0" xfId="0" applyFont="1" applyFill="1"/>
    <xf numFmtId="0" fontId="73" fillId="15" borderId="48" xfId="0" applyFont="1" applyFill="1" applyBorder="1"/>
    <xf numFmtId="0" fontId="74" fillId="0" borderId="0" xfId="0" applyFont="1"/>
    <xf numFmtId="0" fontId="73" fillId="15" borderId="47" xfId="0" applyFont="1" applyFill="1" applyBorder="1" applyAlignment="1">
      <alignment horizontal="center"/>
    </xf>
    <xf numFmtId="0" fontId="73" fillId="12" borderId="0" xfId="0" applyFont="1" applyFill="1"/>
    <xf numFmtId="0" fontId="74" fillId="0" borderId="0" xfId="0" applyFont="1" applyAlignment="1">
      <alignment vertical="center"/>
    </xf>
    <xf numFmtId="175" fontId="73" fillId="15" borderId="0" xfId="4" applyNumberFormat="1" applyFont="1" applyFill="1" applyAlignment="1">
      <alignment horizontal="right"/>
    </xf>
    <xf numFmtId="10" fontId="74" fillId="0" borderId="0" xfId="4" applyNumberFormat="1" applyFont="1" applyAlignment="1">
      <alignment vertical="center"/>
    </xf>
    <xf numFmtId="0" fontId="73" fillId="15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2" fontId="73" fillId="15" borderId="0" xfId="0" applyNumberFormat="1" applyFont="1" applyFill="1"/>
    <xf numFmtId="2" fontId="74" fillId="0" borderId="0" xfId="0" applyNumberFormat="1" applyFont="1" applyAlignment="1">
      <alignment vertical="center"/>
    </xf>
    <xf numFmtId="185" fontId="75" fillId="15" borderId="0" xfId="0" applyNumberFormat="1" applyFont="1" applyFill="1"/>
    <xf numFmtId="0" fontId="75" fillId="15" borderId="0" xfId="0" applyFont="1" applyFill="1"/>
    <xf numFmtId="0" fontId="75" fillId="15" borderId="48" xfId="0" applyFont="1" applyFill="1" applyBorder="1"/>
    <xf numFmtId="185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3" fillId="15" borderId="0" xfId="0" applyFont="1" applyFill="1" applyAlignment="1">
      <alignment horizontal="left"/>
    </xf>
    <xf numFmtId="0" fontId="73" fillId="15" borderId="49" xfId="0" applyFont="1" applyFill="1" applyBorder="1"/>
    <xf numFmtId="0" fontId="73" fillId="15" borderId="40" xfId="0" applyFont="1" applyFill="1" applyBorder="1"/>
    <xf numFmtId="0" fontId="73" fillId="15" borderId="40" xfId="0" applyFont="1" applyFill="1" applyBorder="1" applyAlignment="1">
      <alignment horizontal="left"/>
    </xf>
    <xf numFmtId="0" fontId="73" fillId="15" borderId="50" xfId="0" applyFont="1" applyFill="1" applyBorder="1"/>
    <xf numFmtId="0" fontId="73" fillId="15" borderId="44" xfId="0" applyFont="1" applyFill="1" applyBorder="1"/>
    <xf numFmtId="0" fontId="73" fillId="15" borderId="45" xfId="0" applyFont="1" applyFill="1" applyBorder="1"/>
    <xf numFmtId="0" fontId="73" fillId="15" borderId="45" xfId="0" applyFont="1" applyFill="1" applyBorder="1" applyAlignment="1">
      <alignment horizontal="left"/>
    </xf>
    <xf numFmtId="0" fontId="73" fillId="15" borderId="46" xfId="0" applyFont="1" applyFill="1" applyBorder="1"/>
    <xf numFmtId="0" fontId="74" fillId="15" borderId="47" xfId="0" applyFont="1" applyFill="1" applyBorder="1" applyAlignment="1">
      <alignment horizontal="center"/>
    </xf>
    <xf numFmtId="0" fontId="74" fillId="15" borderId="0" xfId="0" applyFont="1" applyFill="1"/>
    <xf numFmtId="0" fontId="0" fillId="15" borderId="48" xfId="0" applyFill="1" applyBorder="1"/>
    <xf numFmtId="0" fontId="74" fillId="15" borderId="47" xfId="0" applyFont="1" applyFill="1" applyBorder="1"/>
    <xf numFmtId="0" fontId="74" fillId="15" borderId="105" xfId="0" applyFont="1" applyFill="1" applyBorder="1" applyAlignment="1">
      <alignment horizontal="center" vertical="center" wrapText="1"/>
    </xf>
    <xf numFmtId="0" fontId="74" fillId="15" borderId="107" xfId="0" applyFont="1" applyFill="1" applyBorder="1" applyAlignment="1">
      <alignment horizontal="center" vertical="center" wrapText="1"/>
    </xf>
    <xf numFmtId="0" fontId="74" fillId="15" borderId="34" xfId="0" applyFont="1" applyFill="1" applyBorder="1" applyAlignment="1">
      <alignment horizontal="center" vertical="center" wrapText="1"/>
    </xf>
    <xf numFmtId="0" fontId="74" fillId="15" borderId="35" xfId="0" applyFont="1" applyFill="1" applyBorder="1" applyAlignment="1">
      <alignment horizontal="center" vertical="center" wrapText="1"/>
    </xf>
    <xf numFmtId="0" fontId="0" fillId="15" borderId="47" xfId="0" applyFill="1" applyBorder="1"/>
    <xf numFmtId="0" fontId="74" fillId="15" borderId="27" xfId="0" applyFont="1" applyFill="1" applyBorder="1" applyAlignment="1">
      <alignment horizontal="center" vertical="center" wrapText="1"/>
    </xf>
    <xf numFmtId="0" fontId="74" fillId="15" borderId="28" xfId="0" applyFont="1" applyFill="1" applyBorder="1" applyAlignment="1">
      <alignment horizontal="center" vertical="center" wrapText="1"/>
    </xf>
    <xf numFmtId="0" fontId="76" fillId="15" borderId="27" xfId="0" applyFont="1" applyFill="1" applyBorder="1" applyAlignment="1">
      <alignment horizontal="center" vertical="center" wrapText="1"/>
    </xf>
    <xf numFmtId="0" fontId="76" fillId="15" borderId="28" xfId="0" applyFont="1" applyFill="1" applyBorder="1" applyAlignment="1">
      <alignment horizontal="center" vertical="center" wrapText="1"/>
    </xf>
    <xf numFmtId="0" fontId="74" fillId="15" borderId="29" xfId="0" applyFont="1" applyFill="1" applyBorder="1" applyAlignment="1">
      <alignment horizontal="center" vertical="center" wrapText="1"/>
    </xf>
    <xf numFmtId="0" fontId="74" fillId="15" borderId="31" xfId="0" applyFont="1" applyFill="1" applyBorder="1" applyAlignment="1">
      <alignment horizontal="center" vertical="center" wrapText="1"/>
    </xf>
    <xf numFmtId="0" fontId="79" fillId="15" borderId="120" xfId="0" applyFont="1" applyFill="1" applyBorder="1" applyAlignment="1">
      <alignment horizontal="center" vertical="center"/>
    </xf>
    <xf numFmtId="0" fontId="78" fillId="15" borderId="111" xfId="0" applyFont="1" applyFill="1" applyBorder="1" applyAlignment="1">
      <alignment horizontal="center" vertical="center"/>
    </xf>
    <xf numFmtId="0" fontId="78" fillId="15" borderId="2" xfId="0" applyFont="1" applyFill="1" applyBorder="1" applyAlignment="1">
      <alignment horizontal="center" vertical="center"/>
    </xf>
    <xf numFmtId="0" fontId="78" fillId="15" borderId="123" xfId="0" applyFont="1" applyFill="1" applyBorder="1" applyAlignment="1">
      <alignment horizontal="center" vertical="center"/>
    </xf>
    <xf numFmtId="165" fontId="78" fillId="15" borderId="60" xfId="0" applyNumberFormat="1" applyFont="1" applyFill="1" applyBorder="1" applyAlignment="1">
      <alignment horizontal="center" vertical="center"/>
    </xf>
    <xf numFmtId="0" fontId="78" fillId="15" borderId="124" xfId="0" applyFont="1" applyFill="1" applyBorder="1" applyAlignment="1">
      <alignment horizontal="center" vertical="center"/>
    </xf>
    <xf numFmtId="0" fontId="78" fillId="15" borderId="60" xfId="0" applyFont="1" applyFill="1" applyBorder="1" applyAlignment="1">
      <alignment horizontal="center" vertical="center"/>
    </xf>
    <xf numFmtId="165" fontId="78" fillId="15" borderId="101" xfId="0" applyNumberFormat="1" applyFont="1" applyFill="1" applyBorder="1" applyAlignment="1">
      <alignment horizontal="center" vertical="center"/>
    </xf>
    <xf numFmtId="0" fontId="78" fillId="15" borderId="126" xfId="0" applyFont="1" applyFill="1" applyBorder="1" applyAlignment="1">
      <alignment horizontal="center" vertical="center"/>
    </xf>
    <xf numFmtId="0" fontId="78" fillId="15" borderId="0" xfId="0" applyFont="1" applyFill="1" applyAlignment="1">
      <alignment horizontal="center" vertical="center"/>
    </xf>
    <xf numFmtId="0" fontId="79" fillId="15" borderId="111" xfId="0" applyFont="1" applyFill="1" applyBorder="1" applyAlignment="1">
      <alignment horizontal="center" vertical="center"/>
    </xf>
    <xf numFmtId="169" fontId="78" fillId="15" borderId="123" xfId="0" applyNumberFormat="1" applyFont="1" applyFill="1" applyBorder="1" applyAlignment="1">
      <alignment horizontal="center" vertical="center"/>
    </xf>
    <xf numFmtId="169" fontId="78" fillId="15" borderId="124" xfId="0" applyNumberFormat="1" applyFont="1" applyFill="1" applyBorder="1" applyAlignment="1">
      <alignment horizontal="center" vertical="center"/>
    </xf>
    <xf numFmtId="0" fontId="0" fillId="15" borderId="49" xfId="0" applyFill="1" applyBorder="1"/>
    <xf numFmtId="0" fontId="0" fillId="15" borderId="40" xfId="0" applyFill="1" applyBorder="1"/>
    <xf numFmtId="0" fontId="0" fillId="15" borderId="50" xfId="0" applyFill="1" applyBorder="1"/>
    <xf numFmtId="0" fontId="80" fillId="15" borderId="1" xfId="0" applyFont="1" applyFill="1" applyBorder="1" applyAlignment="1">
      <alignment horizontal="center" vertical="center" wrapText="1"/>
    </xf>
    <xf numFmtId="0" fontId="80" fillId="15" borderId="1" xfId="0" applyFont="1" applyFill="1" applyBorder="1" applyAlignment="1">
      <alignment horizontal="left" wrapText="1"/>
    </xf>
    <xf numFmtId="0" fontId="62" fillId="15" borderId="1" xfId="0" applyFont="1" applyFill="1" applyBorder="1" applyAlignment="1">
      <alignment horizontal="center"/>
    </xf>
    <xf numFmtId="0" fontId="62" fillId="15" borderId="1" xfId="0" applyFont="1" applyFill="1" applyBorder="1"/>
    <xf numFmtId="185" fontId="62" fillId="15" borderId="1" xfId="0" applyNumberFormat="1" applyFont="1" applyFill="1" applyBorder="1" applyAlignment="1">
      <alignment horizontal="center"/>
    </xf>
    <xf numFmtId="169" fontId="62" fillId="15" borderId="1" xfId="0" applyNumberFormat="1" applyFont="1" applyFill="1" applyBorder="1"/>
    <xf numFmtId="2" fontId="62" fillId="15" borderId="1" xfId="0" applyNumberFormat="1" applyFont="1" applyFill="1" applyBorder="1"/>
    <xf numFmtId="0" fontId="62" fillId="15" borderId="1" xfId="0" applyFont="1" applyFill="1" applyBorder="1" applyAlignment="1">
      <alignment horizontal="right"/>
    </xf>
    <xf numFmtId="165" fontId="62" fillId="15" borderId="1" xfId="0" applyNumberFormat="1" applyFont="1" applyFill="1" applyBorder="1"/>
    <xf numFmtId="182" fontId="62" fillId="15" borderId="1" xfId="10" applyNumberFormat="1" applyFont="1" applyFill="1" applyBorder="1"/>
    <xf numFmtId="182" fontId="44" fillId="24" borderId="1" xfId="10" applyNumberFormat="1" applyFont="1" applyFill="1" applyBorder="1"/>
    <xf numFmtId="0" fontId="44" fillId="24" borderId="1" xfId="0" applyFont="1" applyFill="1" applyBorder="1" applyAlignment="1">
      <alignment horizontal="center"/>
    </xf>
    <xf numFmtId="165" fontId="44" fillId="24" borderId="1" xfId="0" applyNumberFormat="1" applyFont="1" applyFill="1" applyBorder="1" applyAlignment="1">
      <alignment horizontal="center"/>
    </xf>
    <xf numFmtId="184" fontId="62" fillId="15" borderId="1" xfId="0" applyNumberFormat="1" applyFont="1" applyFill="1" applyBorder="1"/>
    <xf numFmtId="2" fontId="64" fillId="21" borderId="1" xfId="0" applyNumberFormat="1" applyFont="1" applyFill="1" applyBorder="1" applyAlignment="1">
      <alignment horizontal="center"/>
    </xf>
    <xf numFmtId="2" fontId="0" fillId="21" borderId="0" xfId="0" applyNumberFormat="1" applyFill="1"/>
    <xf numFmtId="0" fontId="62" fillId="21" borderId="90" xfId="0" applyFont="1" applyFill="1" applyBorder="1"/>
    <xf numFmtId="2" fontId="0" fillId="0" borderId="0" xfId="4" applyNumberFormat="1" applyFont="1"/>
    <xf numFmtId="165" fontId="0" fillId="21" borderId="0" xfId="0" applyNumberFormat="1" applyFill="1"/>
    <xf numFmtId="164" fontId="0" fillId="0" borderId="0" xfId="10" applyFont="1"/>
    <xf numFmtId="0" fontId="33" fillId="0" borderId="1" xfId="0" applyFont="1" applyBorder="1" applyAlignment="1">
      <alignment horizontal="center"/>
    </xf>
    <xf numFmtId="164" fontId="33" fillId="0" borderId="1" xfId="10" applyFont="1" applyBorder="1" applyAlignment="1">
      <alignment horizontal="center" vertical="center"/>
    </xf>
    <xf numFmtId="164" fontId="33" fillId="28" borderId="1" xfId="10" applyFont="1" applyFill="1" applyBorder="1" applyAlignment="1">
      <alignment vertical="center"/>
    </xf>
    <xf numFmtId="0" fontId="38" fillId="0" borderId="1" xfId="0" applyFont="1" applyBorder="1" applyAlignment="1">
      <alignment horizontal="center" vertical="center"/>
    </xf>
    <xf numFmtId="169" fontId="33" fillId="0" borderId="1" xfId="0" applyNumberFormat="1" applyFont="1" applyBorder="1" applyAlignment="1">
      <alignment horizontal="center" vertical="center"/>
    </xf>
    <xf numFmtId="0" fontId="37" fillId="21" borderId="1" xfId="0" applyFont="1" applyFill="1" applyBorder="1" applyAlignment="1">
      <alignment horizontal="center" vertical="center" wrapText="1"/>
    </xf>
    <xf numFmtId="186" fontId="0" fillId="0" borderId="0" xfId="0" applyNumberFormat="1"/>
    <xf numFmtId="9" fontId="0" fillId="0" borderId="0" xfId="4" applyFont="1"/>
    <xf numFmtId="164" fontId="33" fillId="0" borderId="1" xfId="10" applyFont="1" applyBorder="1"/>
    <xf numFmtId="39" fontId="6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2" fontId="62" fillId="0" borderId="1" xfId="0" applyNumberFormat="1" applyFont="1" applyBorder="1" applyAlignment="1">
      <alignment horizontal="center"/>
    </xf>
    <xf numFmtId="164" fontId="62" fillId="0" borderId="1" xfId="10" applyFont="1" applyBorder="1" applyAlignment="1">
      <alignment vertical="center"/>
    </xf>
    <xf numFmtId="0" fontId="37" fillId="21" borderId="1" xfId="0" applyFont="1" applyFill="1" applyBorder="1" applyAlignment="1">
      <alignment horizontal="center" vertical="center"/>
    </xf>
    <xf numFmtId="183" fontId="62" fillId="0" borderId="1" xfId="1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164" fontId="33" fillId="21" borderId="1" xfId="0" applyNumberFormat="1" applyFont="1" applyFill="1" applyBorder="1"/>
    <xf numFmtId="0" fontId="82" fillId="21" borderId="1" xfId="0" applyFont="1" applyFill="1" applyBorder="1" applyAlignment="1">
      <alignment horizontal="center" vertical="center" wrapText="1"/>
    </xf>
    <xf numFmtId="183" fontId="33" fillId="0" borderId="1" xfId="10" applyNumberFormat="1" applyFont="1" applyBorder="1" applyAlignment="1">
      <alignment horizontal="center" vertical="center"/>
    </xf>
    <xf numFmtId="2" fontId="70" fillId="0" borderId="1" xfId="0" applyNumberFormat="1" applyFont="1" applyBorder="1" applyAlignment="1">
      <alignment horizontal="center" vertical="center"/>
    </xf>
    <xf numFmtId="164" fontId="33" fillId="0" borderId="1" xfId="10" applyFont="1" applyBorder="1" applyAlignment="1">
      <alignment horizontal="center" vertical="center" wrapText="1"/>
    </xf>
    <xf numFmtId="2" fontId="33" fillId="0" borderId="1" xfId="0" applyNumberFormat="1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164" fontId="33" fillId="0" borderId="43" xfId="0" applyNumberFormat="1" applyFont="1" applyBorder="1"/>
    <xf numFmtId="0" fontId="33" fillId="0" borderId="43" xfId="0" applyFont="1" applyBorder="1" applyAlignment="1">
      <alignment horizontal="center"/>
    </xf>
    <xf numFmtId="0" fontId="64" fillId="21" borderId="1" xfId="0" applyFont="1" applyFill="1" applyBorder="1" applyAlignment="1">
      <alignment vertical="center"/>
    </xf>
    <xf numFmtId="0" fontId="64" fillId="21" borderId="61" xfId="0" applyFont="1" applyFill="1" applyBorder="1" applyAlignment="1">
      <alignment vertical="center"/>
    </xf>
    <xf numFmtId="0" fontId="64" fillId="21" borderId="60" xfId="0" applyFont="1" applyFill="1" applyBorder="1" applyAlignment="1">
      <alignment vertical="center"/>
    </xf>
    <xf numFmtId="0" fontId="64" fillId="21" borderId="62" xfId="0" applyFont="1" applyFill="1" applyBorder="1" applyAlignment="1">
      <alignment vertical="center"/>
    </xf>
    <xf numFmtId="0" fontId="33" fillId="21" borderId="61" xfId="0" applyFont="1" applyFill="1" applyBorder="1"/>
    <xf numFmtId="0" fontId="33" fillId="21" borderId="62" xfId="0" applyFont="1" applyFill="1" applyBorder="1"/>
    <xf numFmtId="0" fontId="33" fillId="0" borderId="1" xfId="0" applyFont="1" applyBorder="1" applyAlignment="1">
      <alignment horizontal="center" wrapText="1"/>
    </xf>
    <xf numFmtId="3" fontId="64" fillId="29" borderId="1" xfId="0" applyNumberFormat="1" applyFont="1" applyFill="1" applyBorder="1" applyAlignment="1">
      <alignment horizontal="center" vertical="center"/>
    </xf>
    <xf numFmtId="187" fontId="64" fillId="29" borderId="1" xfId="1" applyNumberFormat="1" applyFont="1" applyFill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83" fillId="0" borderId="1" xfId="0" applyFont="1" applyBorder="1" applyAlignment="1">
      <alignment horizontal="center"/>
    </xf>
    <xf numFmtId="0" fontId="84" fillId="0" borderId="1" xfId="0" applyFont="1" applyBorder="1" applyAlignment="1">
      <alignment horizontal="center"/>
    </xf>
    <xf numFmtId="164" fontId="84" fillId="30" borderId="1" xfId="10" applyFont="1" applyFill="1" applyBorder="1" applyAlignment="1">
      <alignment horizontal="center"/>
    </xf>
    <xf numFmtId="41" fontId="84" fillId="0" borderId="1" xfId="0" applyNumberFormat="1" applyFont="1" applyBorder="1" applyAlignment="1">
      <alignment horizontal="center"/>
    </xf>
    <xf numFmtId="0" fontId="84" fillId="0" borderId="1" xfId="0" applyFont="1" applyBorder="1"/>
    <xf numFmtId="2" fontId="84" fillId="30" borderId="1" xfId="0" applyNumberFormat="1" applyFont="1" applyFill="1" applyBorder="1" applyAlignment="1">
      <alignment horizontal="center"/>
    </xf>
    <xf numFmtId="1" fontId="84" fillId="8" borderId="1" xfId="0" applyNumberFormat="1" applyFont="1" applyFill="1" applyBorder="1" applyAlignment="1">
      <alignment horizontal="center"/>
    </xf>
    <xf numFmtId="188" fontId="84" fillId="30" borderId="1" xfId="0" applyNumberFormat="1" applyFont="1" applyFill="1" applyBorder="1" applyAlignment="1">
      <alignment horizontal="center"/>
    </xf>
    <xf numFmtId="2" fontId="84" fillId="8" borderId="1" xfId="0" applyNumberFormat="1" applyFont="1" applyFill="1" applyBorder="1" applyAlignment="1">
      <alignment horizontal="center"/>
    </xf>
    <xf numFmtId="2" fontId="84" fillId="8" borderId="1" xfId="1" applyNumberFormat="1" applyFont="1" applyFill="1" applyBorder="1" applyAlignment="1">
      <alignment horizontal="center"/>
    </xf>
    <xf numFmtId="2" fontId="84" fillId="30" borderId="1" xfId="0" applyNumberFormat="1" applyFont="1" applyFill="1" applyBorder="1" applyAlignment="1">
      <alignment horizontal="center" vertical="center"/>
    </xf>
    <xf numFmtId="2" fontId="84" fillId="30" borderId="1" xfId="1" applyNumberFormat="1" applyFont="1" applyFill="1" applyBorder="1" applyAlignment="1">
      <alignment horizontal="center" vertical="center"/>
    </xf>
    <xf numFmtId="169" fontId="84" fillId="30" borderId="1" xfId="0" applyNumberFormat="1" applyFont="1" applyFill="1" applyBorder="1" applyAlignment="1">
      <alignment horizontal="center"/>
    </xf>
    <xf numFmtId="164" fontId="84" fillId="8" borderId="1" xfId="10" applyFont="1" applyFill="1" applyBorder="1" applyAlignment="1">
      <alignment horizontal="center"/>
    </xf>
    <xf numFmtId="164" fontId="84" fillId="0" borderId="1" xfId="10" applyFont="1" applyBorder="1" applyAlignment="1">
      <alignment horizontal="center"/>
    </xf>
    <xf numFmtId="165" fontId="84" fillId="8" borderId="1" xfId="0" applyNumberFormat="1" applyFont="1" applyFill="1" applyBorder="1" applyAlignment="1">
      <alignment horizontal="center"/>
    </xf>
    <xf numFmtId="0" fontId="84" fillId="8" borderId="1" xfId="0" applyFont="1" applyFill="1" applyBorder="1" applyAlignment="1">
      <alignment horizontal="center"/>
    </xf>
    <xf numFmtId="169" fontId="84" fillId="8" borderId="1" xfId="0" applyNumberFormat="1" applyFont="1" applyFill="1" applyBorder="1" applyAlignment="1">
      <alignment horizontal="center"/>
    </xf>
    <xf numFmtId="185" fontId="84" fillId="8" borderId="1" xfId="0" applyNumberFormat="1" applyFont="1" applyFill="1" applyBorder="1" applyAlignment="1">
      <alignment horizontal="center"/>
    </xf>
    <xf numFmtId="1" fontId="84" fillId="30" borderId="1" xfId="0" applyNumberFormat="1" applyFont="1" applyFill="1" applyBorder="1" applyAlignment="1">
      <alignment horizontal="center"/>
    </xf>
    <xf numFmtId="2" fontId="84" fillId="31" borderId="1" xfId="0" applyNumberFormat="1" applyFont="1" applyFill="1" applyBorder="1" applyAlignment="1">
      <alignment horizontal="center"/>
    </xf>
    <xf numFmtId="0" fontId="84" fillId="15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84" fillId="15" borderId="0" xfId="0" applyFont="1" applyFill="1"/>
    <xf numFmtId="0" fontId="84" fillId="8" borderId="111" xfId="0" applyFont="1" applyFill="1" applyBorder="1" applyAlignment="1">
      <alignment horizontal="center"/>
    </xf>
    <xf numFmtId="0" fontId="84" fillId="15" borderId="0" xfId="0" applyFont="1" applyFill="1" applyAlignment="1">
      <alignment horizontal="left"/>
    </xf>
    <xf numFmtId="0" fontId="84" fillId="30" borderId="111" xfId="0" applyFont="1" applyFill="1" applyBorder="1" applyAlignment="1">
      <alignment horizontal="center"/>
    </xf>
    <xf numFmtId="0" fontId="87" fillId="32" borderId="66" xfId="5" applyFont="1" applyFill="1" applyBorder="1"/>
    <xf numFmtId="0" fontId="87" fillId="32" borderId="67" xfId="5" applyFont="1" applyFill="1" applyBorder="1"/>
    <xf numFmtId="0" fontId="88" fillId="32" borderId="66" xfId="5" applyFont="1" applyFill="1" applyBorder="1"/>
    <xf numFmtId="0" fontId="87" fillId="32" borderId="19" xfId="5" applyFont="1" applyFill="1" applyBorder="1"/>
    <xf numFmtId="0" fontId="87" fillId="32" borderId="20" xfId="5" applyFont="1" applyFill="1" applyBorder="1"/>
    <xf numFmtId="0" fontId="88" fillId="32" borderId="19" xfId="5" applyFont="1" applyFill="1" applyBorder="1"/>
    <xf numFmtId="0" fontId="87" fillId="32" borderId="121" xfId="5" applyFont="1" applyFill="1" applyBorder="1"/>
    <xf numFmtId="0" fontId="87" fillId="32" borderId="122" xfId="5" applyFont="1" applyFill="1" applyBorder="1"/>
    <xf numFmtId="2" fontId="87" fillId="32" borderId="121" xfId="5" applyNumberFormat="1" applyFont="1" applyFill="1" applyBorder="1"/>
    <xf numFmtId="168" fontId="87" fillId="32" borderId="19" xfId="5" applyNumberFormat="1" applyFont="1" applyFill="1" applyBorder="1"/>
    <xf numFmtId="2" fontId="87" fillId="32" borderId="19" xfId="5" applyNumberFormat="1" applyFont="1" applyFill="1" applyBorder="1"/>
    <xf numFmtId="0" fontId="87" fillId="32" borderId="19" xfId="5" applyFont="1" applyFill="1" applyBorder="1" applyAlignment="1">
      <alignment horizontal="center"/>
    </xf>
    <xf numFmtId="0" fontId="89" fillId="32" borderId="20" xfId="5" applyFont="1" applyFill="1" applyBorder="1"/>
    <xf numFmtId="1" fontId="87" fillId="32" borderId="19" xfId="5" applyNumberFormat="1" applyFont="1" applyFill="1" applyBorder="1"/>
    <xf numFmtId="0" fontId="91" fillId="15" borderId="22" xfId="5" applyFont="1" applyFill="1" applyBorder="1" applyAlignment="1">
      <alignment horizontal="right"/>
    </xf>
    <xf numFmtId="0" fontId="91" fillId="0" borderId="0" xfId="5" applyFont="1" applyAlignment="1">
      <alignment vertical="center"/>
    </xf>
    <xf numFmtId="0" fontId="11" fillId="0" borderId="0" xfId="5"/>
    <xf numFmtId="1" fontId="33" fillId="0" borderId="0" xfId="10" applyNumberFormat="1" applyFont="1" applyAlignment="1">
      <alignment horizontal="center" vertical="center"/>
    </xf>
    <xf numFmtId="189" fontId="70" fillId="8" borderId="1" xfId="0" applyNumberFormat="1" applyFont="1" applyFill="1" applyBorder="1" applyAlignment="1">
      <alignment horizontal="center" vertical="center"/>
    </xf>
    <xf numFmtId="43" fontId="94" fillId="0" borderId="1" xfId="1" applyFont="1" applyBorder="1" applyAlignment="1">
      <alignment horizontal="center" vertical="center"/>
    </xf>
    <xf numFmtId="164" fontId="70" fillId="6" borderId="1" xfId="10" applyFont="1" applyFill="1" applyBorder="1" applyAlignment="1">
      <alignment horizontal="center" vertical="center"/>
    </xf>
    <xf numFmtId="0" fontId="33" fillId="27" borderId="1" xfId="0" applyFont="1" applyFill="1" applyBorder="1" applyAlignment="1">
      <alignment horizontal="center" vertical="center"/>
    </xf>
    <xf numFmtId="0" fontId="33" fillId="27" borderId="0" xfId="0" applyFont="1" applyFill="1"/>
    <xf numFmtId="43" fontId="94" fillId="27" borderId="1" xfId="1" applyFont="1" applyFill="1" applyBorder="1" applyAlignment="1">
      <alignment horizontal="center" vertical="center"/>
    </xf>
    <xf numFmtId="9" fontId="33" fillId="0" borderId="0" xfId="4" applyFont="1" applyFill="1"/>
    <xf numFmtId="0" fontId="33" fillId="0" borderId="0" xfId="0" applyFont="1" applyAlignment="1">
      <alignment horizontal="center" vertical="center"/>
    </xf>
    <xf numFmtId="43" fontId="33" fillId="0" borderId="0" xfId="1" applyFont="1"/>
    <xf numFmtId="164" fontId="33" fillId="0" borderId="0" xfId="10" applyFont="1" applyAlignment="1">
      <alignment horizontal="center" vertical="center"/>
    </xf>
    <xf numFmtId="164" fontId="33" fillId="0" borderId="0" xfId="10" applyFont="1"/>
    <xf numFmtId="43" fontId="94" fillId="0" borderId="1" xfId="1" applyFont="1" applyFill="1" applyBorder="1" applyAlignment="1">
      <alignment horizontal="center" vertical="center"/>
    </xf>
    <xf numFmtId="164" fontId="33" fillId="0" borderId="1" xfId="10" applyFont="1" applyFill="1" applyBorder="1" applyAlignment="1">
      <alignment horizontal="center" vertical="center"/>
    </xf>
    <xf numFmtId="164" fontId="70" fillId="0" borderId="1" xfId="10" applyFont="1" applyFill="1" applyBorder="1" applyAlignment="1">
      <alignment horizontal="center" vertical="center"/>
    </xf>
    <xf numFmtId="2" fontId="37" fillId="15" borderId="1" xfId="0" applyNumberFormat="1" applyFont="1" applyFill="1" applyBorder="1" applyAlignment="1">
      <alignment horizontal="center" vertical="center" wrapText="1"/>
    </xf>
    <xf numFmtId="0" fontId="64" fillId="21" borderId="0" xfId="0" applyFont="1" applyFill="1" applyAlignment="1">
      <alignment vertical="center"/>
    </xf>
    <xf numFmtId="0" fontId="33" fillId="21" borderId="0" xfId="0" applyFont="1" applyFill="1"/>
    <xf numFmtId="0" fontId="90" fillId="15" borderId="16" xfId="5" applyFont="1" applyFill="1" applyBorder="1"/>
    <xf numFmtId="0" fontId="90" fillId="15" borderId="119" xfId="5" applyFont="1" applyFill="1" applyBorder="1"/>
    <xf numFmtId="1" fontId="90" fillId="15" borderId="118" xfId="5" applyNumberFormat="1" applyFont="1" applyFill="1" applyBorder="1"/>
    <xf numFmtId="0" fontId="91" fillId="15" borderId="118" xfId="5" applyFont="1" applyFill="1" applyBorder="1" applyAlignment="1">
      <alignment vertical="center"/>
    </xf>
    <xf numFmtId="0" fontId="91" fillId="15" borderId="21" xfId="5" applyFont="1" applyFill="1" applyBorder="1"/>
    <xf numFmtId="0" fontId="87" fillId="15" borderId="23" xfId="5" applyFont="1" applyFill="1" applyBorder="1"/>
    <xf numFmtId="9" fontId="91" fillId="15" borderId="21" xfId="4" applyFont="1" applyFill="1" applyBorder="1"/>
    <xf numFmtId="2" fontId="0" fillId="8" borderId="0" xfId="0" applyNumberFormat="1" applyFill="1"/>
    <xf numFmtId="0" fontId="63" fillId="15" borderId="111" xfId="0" applyFont="1" applyFill="1" applyBorder="1"/>
    <xf numFmtId="1" fontId="51" fillId="15" borderId="1" xfId="7" applyNumberFormat="1" applyFont="1" applyFill="1" applyBorder="1" applyAlignment="1">
      <alignment horizontal="center"/>
    </xf>
    <xf numFmtId="0" fontId="26" fillId="33" borderId="98" xfId="0" applyFont="1" applyFill="1" applyBorder="1" applyAlignment="1">
      <alignment horizontal="right"/>
    </xf>
    <xf numFmtId="2" fontId="37" fillId="15" borderId="1" xfId="0" applyNumberFormat="1" applyFont="1" applyFill="1" applyBorder="1" applyAlignment="1">
      <alignment vertical="center" wrapText="1"/>
    </xf>
    <xf numFmtId="0" fontId="62" fillId="0" borderId="1" xfId="0" applyFont="1" applyBorder="1"/>
    <xf numFmtId="39" fontId="63" fillId="15" borderId="1" xfId="0" applyNumberFormat="1" applyFont="1" applyFill="1" applyBorder="1" applyAlignment="1">
      <alignment vertical="center"/>
    </xf>
    <xf numFmtId="0" fontId="69" fillId="24" borderId="1" xfId="0" applyFont="1" applyFill="1" applyBorder="1" applyAlignment="1">
      <alignment vertical="center"/>
    </xf>
    <xf numFmtId="0" fontId="69" fillId="24" borderId="1" xfId="0" applyFont="1" applyFill="1" applyBorder="1" applyAlignment="1">
      <alignment horizontal="center" wrapText="1"/>
    </xf>
    <xf numFmtId="0" fontId="69" fillId="24" borderId="1" xfId="0" applyFont="1" applyFill="1" applyBorder="1" applyAlignment="1">
      <alignment horizontal="center" vertical="center"/>
    </xf>
    <xf numFmtId="175" fontId="33" fillId="15" borderId="1" xfId="4" applyNumberFormat="1" applyFont="1" applyFill="1" applyBorder="1" applyAlignment="1">
      <alignment horizontal="center"/>
    </xf>
    <xf numFmtId="0" fontId="33" fillId="15" borderId="1" xfId="0" applyFont="1" applyFill="1" applyBorder="1"/>
    <xf numFmtId="183" fontId="33" fillId="15" borderId="1" xfId="10" applyNumberFormat="1" applyFont="1" applyFill="1" applyBorder="1"/>
    <xf numFmtId="0" fontId="33" fillId="15" borderId="1" xfId="0" applyFont="1" applyFill="1" applyBorder="1" applyAlignment="1">
      <alignment vertical="center" wrapText="1"/>
    </xf>
    <xf numFmtId="2" fontId="62" fillId="8" borderId="90" xfId="0" applyNumberFormat="1" applyFont="1" applyFill="1" applyBorder="1"/>
    <xf numFmtId="0" fontId="2" fillId="34" borderId="0" xfId="0" applyFont="1" applyFill="1"/>
    <xf numFmtId="164" fontId="64" fillId="0" borderId="1" xfId="10" applyFont="1" applyBorder="1" applyAlignment="1">
      <alignment horizontal="center"/>
    </xf>
    <xf numFmtId="164" fontId="84" fillId="27" borderId="1" xfId="10" applyFont="1" applyFill="1" applyBorder="1" applyAlignment="1">
      <alignment horizontal="center"/>
    </xf>
    <xf numFmtId="0" fontId="33" fillId="15" borderId="14" xfId="0" applyFont="1" applyFill="1" applyBorder="1" applyAlignment="1">
      <alignment horizontal="center" vertical="center" wrapText="1"/>
    </xf>
    <xf numFmtId="0" fontId="33" fillId="15" borderId="1" xfId="0" applyFont="1" applyFill="1" applyBorder="1" applyAlignment="1">
      <alignment horizontal="center" vertical="center" wrapText="1"/>
    </xf>
    <xf numFmtId="10" fontId="62" fillId="15" borderId="90" xfId="4" applyNumberFormat="1" applyFont="1" applyFill="1" applyBorder="1" applyAlignment="1">
      <alignment horizontal="right"/>
    </xf>
    <xf numFmtId="175" fontId="0" fillId="0" borderId="0" xfId="4" applyNumberFormat="1" applyFont="1"/>
    <xf numFmtId="175" fontId="62" fillId="15" borderId="1" xfId="4" applyNumberFormat="1" applyFont="1" applyFill="1" applyBorder="1"/>
    <xf numFmtId="0" fontId="34" fillId="22" borderId="1" xfId="5" applyFont="1" applyFill="1" applyBorder="1" applyAlignment="1">
      <alignment horizontal="center" vertical="center" wrapText="1"/>
    </xf>
    <xf numFmtId="0" fontId="37" fillId="21" borderId="25" xfId="0" applyFont="1" applyFill="1" applyBorder="1" applyAlignment="1">
      <alignment horizontal="center" vertical="center"/>
    </xf>
    <xf numFmtId="0" fontId="37" fillId="21" borderId="103" xfId="0" applyFont="1" applyFill="1" applyBorder="1" applyAlignment="1">
      <alignment horizontal="center" vertical="center"/>
    </xf>
    <xf numFmtId="0" fontId="0" fillId="0" borderId="1" xfId="0" applyBorder="1"/>
    <xf numFmtId="14" fontId="5" fillId="19" borderId="1" xfId="0" applyNumberFormat="1" applyFont="1" applyFill="1" applyBorder="1" applyAlignment="1">
      <alignment horizontal="left"/>
    </xf>
    <xf numFmtId="1" fontId="0" fillId="0" borderId="1" xfId="0" applyNumberFormat="1" applyBorder="1"/>
    <xf numFmtId="169" fontId="0" fillId="0" borderId="1" xfId="0" applyNumberFormat="1" applyBorder="1"/>
    <xf numFmtId="169" fontId="5" fillId="0" borderId="1" xfId="0" applyNumberFormat="1" applyFont="1" applyBorder="1"/>
    <xf numFmtId="0" fontId="5" fillId="0" borderId="71" xfId="0" applyFont="1" applyBorder="1"/>
    <xf numFmtId="169" fontId="5" fillId="0" borderId="71" xfId="0" applyNumberFormat="1" applyFont="1" applyBorder="1"/>
    <xf numFmtId="190" fontId="0" fillId="0" borderId="1" xfId="10" applyNumberFormat="1" applyFont="1" applyBorder="1"/>
    <xf numFmtId="4" fontId="44" fillId="24" borderId="34" xfId="0" applyNumberFormat="1" applyFont="1" applyFill="1" applyBorder="1" applyAlignment="1">
      <alignment horizontal="center" vertical="center"/>
    </xf>
    <xf numFmtId="0" fontId="37" fillId="21" borderId="72" xfId="0" applyFont="1" applyFill="1" applyBorder="1" applyAlignment="1">
      <alignment horizontal="center" vertical="center"/>
    </xf>
    <xf numFmtId="0" fontId="0" fillId="8" borderId="27" xfId="0" applyFill="1" applyBorder="1" applyAlignment="1">
      <alignment horizontal="center"/>
    </xf>
    <xf numFmtId="2" fontId="0" fillId="8" borderId="10" xfId="0" applyNumberFormat="1" applyFill="1" applyBorder="1" applyAlignment="1">
      <alignment horizontal="center"/>
    </xf>
    <xf numFmtId="2" fontId="0" fillId="8" borderId="35" xfId="0" applyNumberFormat="1" applyFill="1" applyBorder="1" applyAlignment="1">
      <alignment horizontal="center"/>
    </xf>
    <xf numFmtId="0" fontId="71" fillId="0" borderId="1" xfId="0" applyFont="1" applyBorder="1"/>
    <xf numFmtId="0" fontId="96" fillId="0" borderId="1" xfId="0" applyFont="1" applyBorder="1"/>
    <xf numFmtId="0" fontId="99" fillId="21" borderId="1" xfId="0" applyFont="1" applyFill="1" applyBorder="1" applyAlignment="1">
      <alignment horizontal="center" vertical="center"/>
    </xf>
    <xf numFmtId="0" fontId="99" fillId="21" borderId="1" xfId="0" applyFont="1" applyFill="1" applyBorder="1" applyAlignment="1">
      <alignment horizontal="center" vertical="center" wrapText="1"/>
    </xf>
    <xf numFmtId="0" fontId="100" fillId="8" borderId="1" xfId="0" applyFont="1" applyFill="1" applyBorder="1" applyAlignment="1">
      <alignment horizontal="center" vertical="center"/>
    </xf>
    <xf numFmtId="0" fontId="23" fillId="35" borderId="60" xfId="0" applyFont="1" applyFill="1" applyBorder="1" applyAlignment="1">
      <alignment horizontal="center" vertical="center"/>
    </xf>
    <xf numFmtId="0" fontId="24" fillId="35" borderId="0" xfId="0" applyFont="1" applyFill="1" applyAlignment="1">
      <alignment horizontal="center" vertical="center"/>
    </xf>
    <xf numFmtId="0" fontId="24" fillId="35" borderId="0" xfId="0" applyFont="1" applyFill="1" applyAlignment="1">
      <alignment vertical="center"/>
    </xf>
    <xf numFmtId="0" fontId="24" fillId="3" borderId="0" xfId="0" applyFont="1" applyFill="1" applyAlignment="1">
      <alignment horizontal="center" vertical="center"/>
    </xf>
    <xf numFmtId="0" fontId="24" fillId="3" borderId="0" xfId="0" quotePrefix="1" applyFont="1" applyFill="1" applyAlignment="1">
      <alignment vertical="center" wrapText="1"/>
    </xf>
    <xf numFmtId="0" fontId="24" fillId="0" borderId="0" xfId="0" quotePrefix="1" applyFont="1" applyAlignment="1">
      <alignment vertical="center"/>
    </xf>
    <xf numFmtId="4" fontId="0" fillId="0" borderId="0" xfId="0" applyNumberFormat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9" fillId="0" borderId="78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45" fillId="17" borderId="94" xfId="0" applyFont="1" applyFill="1" applyBorder="1" applyAlignment="1" applyProtection="1">
      <alignment horizontal="center" vertical="top" wrapText="1" readingOrder="1"/>
      <protection locked="0"/>
    </xf>
    <xf numFmtId="0" fontId="0" fillId="0" borderId="95" xfId="0" applyBorder="1" applyAlignment="1" applyProtection="1">
      <alignment vertical="top" wrapText="1"/>
      <protection locked="0"/>
    </xf>
    <xf numFmtId="0" fontId="0" fillId="0" borderId="96" xfId="0" applyBorder="1" applyAlignment="1" applyProtection="1">
      <alignment vertical="top" wrapText="1"/>
      <protection locked="0"/>
    </xf>
    <xf numFmtId="0" fontId="0" fillId="17" borderId="97" xfId="0" applyFill="1" applyBorder="1" applyAlignment="1" applyProtection="1">
      <alignment vertical="top" wrapText="1"/>
      <protection locked="0"/>
    </xf>
    <xf numFmtId="0" fontId="30" fillId="0" borderId="94" xfId="0" applyFont="1" applyBorder="1" applyAlignment="1" applyProtection="1">
      <alignment horizontal="center" vertical="top" wrapText="1" readingOrder="1"/>
      <protection locked="0"/>
    </xf>
    <xf numFmtId="0" fontId="28" fillId="17" borderId="94" xfId="0" applyFont="1" applyFill="1" applyBorder="1" applyAlignment="1" applyProtection="1">
      <alignment horizontal="center" vertical="top" wrapText="1" readingOrder="1"/>
      <protection locked="0"/>
    </xf>
    <xf numFmtId="0" fontId="29" fillId="18" borderId="94" xfId="0" applyFont="1" applyFill="1" applyBorder="1" applyAlignment="1" applyProtection="1">
      <alignment horizontal="center" vertical="top" wrapText="1" readingOrder="1"/>
      <protection locked="0"/>
    </xf>
    <xf numFmtId="0" fontId="2" fillId="8" borderId="95" xfId="0" applyFont="1" applyFill="1" applyBorder="1" applyAlignment="1" applyProtection="1">
      <alignment vertical="top" wrapText="1"/>
      <protection locked="0"/>
    </xf>
    <xf numFmtId="0" fontId="2" fillId="8" borderId="96" xfId="0" applyFont="1" applyFill="1" applyBorder="1" applyAlignment="1" applyProtection="1">
      <alignment vertical="top" wrapText="1"/>
      <protection locked="0"/>
    </xf>
    <xf numFmtId="0" fontId="30" fillId="17" borderId="94" xfId="0" applyFont="1" applyFill="1" applyBorder="1" applyAlignment="1" applyProtection="1">
      <alignment horizontal="center" vertical="top" wrapText="1" readingOrder="1"/>
      <protection locked="0"/>
    </xf>
    <xf numFmtId="0" fontId="30" fillId="21" borderId="94" xfId="0" applyFont="1" applyFill="1" applyBorder="1" applyAlignment="1" applyProtection="1">
      <alignment horizontal="center" vertical="top" wrapText="1" readingOrder="1"/>
      <protection locked="0"/>
    </xf>
    <xf numFmtId="0" fontId="0" fillId="21" borderId="95" xfId="0" applyFill="1" applyBorder="1" applyAlignment="1" applyProtection="1">
      <alignment vertical="top" wrapText="1"/>
      <protection locked="0"/>
    </xf>
    <xf numFmtId="0" fontId="0" fillId="21" borderId="96" xfId="0" applyFill="1" applyBorder="1" applyAlignment="1" applyProtection="1">
      <alignment vertical="top" wrapText="1"/>
      <protection locked="0"/>
    </xf>
    <xf numFmtId="0" fontId="30" fillId="0" borderId="102" xfId="0" applyFont="1" applyBorder="1" applyAlignment="1" applyProtection="1">
      <alignment horizontal="center" vertical="top" wrapText="1" readingOrder="1"/>
      <protection locked="0"/>
    </xf>
    <xf numFmtId="0" fontId="30" fillId="0" borderId="95" xfId="0" applyFont="1" applyBorder="1" applyAlignment="1" applyProtection="1">
      <alignment horizontal="center" vertical="top" wrapText="1" readingOrder="1"/>
      <protection locked="0"/>
    </xf>
    <xf numFmtId="0" fontId="30" fillId="0" borderId="96" xfId="0" applyFont="1" applyBorder="1" applyAlignment="1" applyProtection="1">
      <alignment horizontal="center" vertical="top" wrapText="1" readingOrder="1"/>
      <protection locked="0"/>
    </xf>
    <xf numFmtId="0" fontId="34" fillId="22" borderId="1" xfId="5" applyFont="1" applyFill="1" applyBorder="1" applyAlignment="1">
      <alignment horizontal="center" vertical="center" wrapText="1"/>
    </xf>
    <xf numFmtId="0" fontId="39" fillId="22" borderId="1" xfId="5" applyFont="1" applyFill="1" applyBorder="1" applyAlignment="1">
      <alignment horizontal="center" vertical="center" wrapText="1"/>
    </xf>
    <xf numFmtId="0" fontId="35" fillId="22" borderId="1" xfId="5" applyFont="1" applyFill="1" applyBorder="1" applyAlignment="1">
      <alignment horizontal="center" vertical="center" wrapText="1"/>
    </xf>
    <xf numFmtId="2" fontId="38" fillId="21" borderId="104" xfId="6" applyNumberFormat="1" applyFont="1" applyFill="1" applyBorder="1" applyAlignment="1">
      <alignment horizontal="center" vertical="center"/>
    </xf>
    <xf numFmtId="2" fontId="38" fillId="21" borderId="34" xfId="6" applyNumberFormat="1" applyFont="1" applyFill="1" applyBorder="1" applyAlignment="1">
      <alignment horizontal="center" vertical="center"/>
    </xf>
    <xf numFmtId="0" fontId="37" fillId="21" borderId="100" xfId="0" applyFont="1" applyFill="1" applyBorder="1" applyAlignment="1">
      <alignment horizontal="center"/>
    </xf>
    <xf numFmtId="0" fontId="37" fillId="21" borderId="101" xfId="0" applyFont="1" applyFill="1" applyBorder="1" applyAlignment="1">
      <alignment horizontal="center"/>
    </xf>
    <xf numFmtId="0" fontId="37" fillId="15" borderId="118" xfId="0" applyFont="1" applyFill="1" applyBorder="1" applyAlignment="1">
      <alignment horizontal="center" vertical="center"/>
    </xf>
    <xf numFmtId="0" fontId="37" fillId="15" borderId="120" xfId="0" applyFont="1" applyFill="1" applyBorder="1" applyAlignment="1">
      <alignment horizontal="center" vertical="center"/>
    </xf>
    <xf numFmtId="0" fontId="37" fillId="15" borderId="114" xfId="0" applyFont="1" applyFill="1" applyBorder="1" applyAlignment="1">
      <alignment horizontal="center" vertical="center"/>
    </xf>
    <xf numFmtId="0" fontId="41" fillId="15" borderId="0" xfId="0" applyFont="1" applyFill="1" applyAlignment="1">
      <alignment horizontal="center"/>
    </xf>
    <xf numFmtId="0" fontId="63" fillId="0" borderId="40" xfId="0" applyFont="1" applyBorder="1" applyAlignment="1">
      <alignment horizontal="center"/>
    </xf>
    <xf numFmtId="0" fontId="33" fillId="0" borderId="14" xfId="0" applyFont="1" applyBorder="1" applyAlignment="1">
      <alignment horizontal="center" vertical="center"/>
    </xf>
    <xf numFmtId="0" fontId="33" fillId="0" borderId="71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3" fillId="0" borderId="14" xfId="0" applyFont="1" applyBorder="1" applyAlignment="1">
      <alignment horizontal="left" vertical="center"/>
    </xf>
    <xf numFmtId="0" fontId="33" fillId="0" borderId="10" xfId="0" applyFont="1" applyBorder="1" applyAlignment="1">
      <alignment horizontal="left" vertical="center"/>
    </xf>
    <xf numFmtId="0" fontId="33" fillId="15" borderId="1" xfId="0" applyFont="1" applyFill="1" applyBorder="1" applyAlignment="1">
      <alignment horizontal="left"/>
    </xf>
    <xf numFmtId="172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100" fillId="8" borderId="1" xfId="0" applyFont="1" applyFill="1" applyBorder="1" applyAlignment="1">
      <alignment horizontal="center" vertical="center" wrapText="1"/>
    </xf>
    <xf numFmtId="173" fontId="33" fillId="0" borderId="1" xfId="0" applyNumberFormat="1" applyFont="1" applyBorder="1" applyAlignment="1">
      <alignment horizontal="center" vertical="center"/>
    </xf>
    <xf numFmtId="0" fontId="33" fillId="0" borderId="71" xfId="0" applyFont="1" applyBorder="1" applyAlignment="1">
      <alignment horizontal="left" vertical="center"/>
    </xf>
    <xf numFmtId="0" fontId="64" fillId="21" borderId="60" xfId="0" applyFont="1" applyFill="1" applyBorder="1" applyAlignment="1">
      <alignment horizontal="center"/>
    </xf>
    <xf numFmtId="0" fontId="64" fillId="21" borderId="60" xfId="0" applyFont="1" applyFill="1" applyBorder="1" applyAlignment="1">
      <alignment horizontal="center" vertical="center"/>
    </xf>
    <xf numFmtId="0" fontId="33" fillId="21" borderId="60" xfId="0" applyFont="1" applyFill="1" applyBorder="1" applyAlignment="1">
      <alignment horizontal="center" vertical="center"/>
    </xf>
    <xf numFmtId="0" fontId="33" fillId="15" borderId="1" xfId="0" applyFont="1" applyFill="1" applyBorder="1" applyAlignment="1">
      <alignment horizontal="left" vertical="center"/>
    </xf>
    <xf numFmtId="0" fontId="33" fillId="15" borderId="60" xfId="0" applyFont="1" applyFill="1" applyBorder="1" applyAlignment="1">
      <alignment horizontal="center" vertical="center"/>
    </xf>
    <xf numFmtId="0" fontId="3" fillId="4" borderId="40" xfId="0" applyFont="1" applyFill="1" applyBorder="1" applyAlignment="1">
      <alignment horizontal="center" vertical="center"/>
    </xf>
    <xf numFmtId="0" fontId="23" fillId="14" borderId="60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2" fillId="3" borderId="26" xfId="0" applyFont="1" applyFill="1" applyBorder="1" applyAlignment="1">
      <alignment horizontal="center"/>
    </xf>
    <xf numFmtId="0" fontId="2" fillId="3" borderId="27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63" xfId="0" applyFont="1" applyFill="1" applyBorder="1" applyAlignment="1">
      <alignment horizontal="center"/>
    </xf>
    <xf numFmtId="0" fontId="2" fillId="3" borderId="64" xfId="0" applyFont="1" applyFill="1" applyBorder="1" applyAlignment="1">
      <alignment horizontal="center"/>
    </xf>
    <xf numFmtId="0" fontId="2" fillId="3" borderId="65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2" fillId="3" borderId="60" xfId="0" applyFont="1" applyFill="1" applyBorder="1" applyAlignment="1">
      <alignment horizontal="center"/>
    </xf>
    <xf numFmtId="0" fontId="2" fillId="3" borderId="67" xfId="0" applyFont="1" applyFill="1" applyBorder="1" applyAlignment="1">
      <alignment horizontal="center"/>
    </xf>
    <xf numFmtId="0" fontId="0" fillId="0" borderId="66" xfId="0" applyBorder="1" applyAlignment="1">
      <alignment horizontal="left"/>
    </xf>
    <xf numFmtId="0" fontId="0" fillId="0" borderId="62" xfId="0" applyBorder="1" applyAlignment="1">
      <alignment horizontal="left"/>
    </xf>
    <xf numFmtId="0" fontId="0" fillId="0" borderId="61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1" xfId="0" applyBorder="1" applyAlignment="1">
      <alignment horizontal="left"/>
    </xf>
    <xf numFmtId="0" fontId="2" fillId="3" borderId="22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0" fillId="0" borderId="61" xfId="0" applyBorder="1" applyAlignment="1">
      <alignment horizontal="center" wrapText="1"/>
    </xf>
    <xf numFmtId="0" fontId="0" fillId="0" borderId="60" xfId="0" applyBorder="1" applyAlignment="1">
      <alignment horizontal="center" wrapText="1"/>
    </xf>
    <xf numFmtId="0" fontId="0" fillId="0" borderId="62" xfId="0" applyBorder="1" applyAlignment="1">
      <alignment horizontal="center" wrapText="1"/>
    </xf>
    <xf numFmtId="0" fontId="0" fillId="0" borderId="61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2" xfId="0" applyBorder="1" applyAlignment="1">
      <alignment horizontal="center"/>
    </xf>
    <xf numFmtId="0" fontId="3" fillId="4" borderId="40" xfId="3" applyFont="1" applyFill="1" applyBorder="1" applyAlignment="1">
      <alignment horizontal="center" vertical="center"/>
    </xf>
    <xf numFmtId="0" fontId="3" fillId="5" borderId="0" xfId="3" applyFont="1" applyFill="1" applyAlignment="1">
      <alignment horizontal="center" vertical="center"/>
    </xf>
    <xf numFmtId="0" fontId="0" fillId="0" borderId="60" xfId="0" applyBorder="1" applyAlignment="1">
      <alignment horizontal="left"/>
    </xf>
    <xf numFmtId="0" fontId="0" fillId="0" borderId="61" xfId="0" applyBorder="1" applyAlignment="1">
      <alignment horizontal="left" wrapText="1"/>
    </xf>
    <xf numFmtId="0" fontId="0" fillId="0" borderId="60" xfId="0" applyBorder="1" applyAlignment="1">
      <alignment horizontal="left" wrapText="1"/>
    </xf>
    <xf numFmtId="0" fontId="0" fillId="0" borderId="62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0" fillId="0" borderId="60" xfId="0" applyBorder="1" applyAlignment="1">
      <alignment horizontal="left" vertical="center"/>
    </xf>
    <xf numFmtId="0" fontId="0" fillId="0" borderId="62" xfId="0" applyBorder="1" applyAlignment="1">
      <alignment horizontal="left" vertical="center"/>
    </xf>
    <xf numFmtId="0" fontId="3" fillId="5" borderId="24" xfId="0" applyFont="1" applyFill="1" applyBorder="1" applyAlignment="1">
      <alignment horizontal="center" vertical="center" wrapText="1"/>
    </xf>
    <xf numFmtId="0" fontId="5" fillId="5" borderId="32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5" borderId="72" xfId="0" applyFont="1" applyFill="1" applyBorder="1" applyAlignment="1">
      <alignment horizontal="center" vertical="center"/>
    </xf>
    <xf numFmtId="0" fontId="3" fillId="5" borderId="64" xfId="0" applyFont="1" applyFill="1" applyBorder="1" applyAlignment="1">
      <alignment horizontal="center" vertical="center"/>
    </xf>
    <xf numFmtId="0" fontId="3" fillId="5" borderId="65" xfId="0" applyFont="1" applyFill="1" applyBorder="1" applyAlignment="1">
      <alignment horizontal="center" vertical="center"/>
    </xf>
    <xf numFmtId="0" fontId="3" fillId="0" borderId="29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11" borderId="24" xfId="0" applyFont="1" applyFill="1" applyBorder="1" applyAlignment="1">
      <alignment horizontal="center" vertical="center"/>
    </xf>
    <xf numFmtId="0" fontId="3" fillId="11" borderId="32" xfId="0" applyFont="1" applyFill="1" applyBorder="1" applyAlignment="1">
      <alignment horizontal="center" vertical="center"/>
    </xf>
    <xf numFmtId="0" fontId="3" fillId="11" borderId="25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11" borderId="26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47" fillId="15" borderId="47" xfId="5" applyFont="1" applyFill="1" applyBorder="1" applyAlignment="1">
      <alignment horizontal="center"/>
    </xf>
    <xf numFmtId="0" fontId="47" fillId="15" borderId="0" xfId="5" applyFont="1" applyFill="1" applyAlignment="1">
      <alignment horizontal="center"/>
    </xf>
    <xf numFmtId="0" fontId="47" fillId="15" borderId="48" xfId="5" applyFont="1" applyFill="1" applyBorder="1" applyAlignment="1">
      <alignment horizontal="center"/>
    </xf>
    <xf numFmtId="0" fontId="52" fillId="15" borderId="0" xfId="7" applyFont="1" applyFill="1" applyAlignment="1">
      <alignment horizontal="left"/>
    </xf>
    <xf numFmtId="0" fontId="51" fillId="15" borderId="1" xfId="7" applyFont="1" applyFill="1" applyBorder="1" applyAlignment="1">
      <alignment horizontal="left"/>
    </xf>
    <xf numFmtId="0" fontId="52" fillId="15" borderId="0" xfId="7" quotePrefix="1" applyFont="1" applyFill="1" applyAlignment="1">
      <alignment horizontal="left"/>
    </xf>
    <xf numFmtId="0" fontId="52" fillId="15" borderId="0" xfId="7" applyFont="1" applyFill="1" applyAlignment="1">
      <alignment horizontal="center"/>
    </xf>
    <xf numFmtId="0" fontId="51" fillId="15" borderId="61" xfId="7" applyFont="1" applyFill="1" applyBorder="1" applyAlignment="1">
      <alignment horizontal="left"/>
    </xf>
    <xf numFmtId="0" fontId="51" fillId="15" borderId="60" xfId="7" applyFont="1" applyFill="1" applyBorder="1" applyAlignment="1">
      <alignment horizontal="left"/>
    </xf>
    <xf numFmtId="0" fontId="61" fillId="15" borderId="0" xfId="9" applyFont="1" applyFill="1"/>
    <xf numFmtId="0" fontId="51" fillId="15" borderId="0" xfId="7" applyFont="1" applyFill="1" applyAlignment="1">
      <alignment horizontal="left"/>
    </xf>
    <xf numFmtId="0" fontId="51" fillId="15" borderId="14" xfId="7" applyFont="1" applyFill="1" applyBorder="1" applyAlignment="1">
      <alignment horizontal="left"/>
    </xf>
    <xf numFmtId="0" fontId="51" fillId="15" borderId="73" xfId="7" applyFont="1" applyFill="1" applyBorder="1" applyAlignment="1">
      <alignment horizontal="left"/>
    </xf>
    <xf numFmtId="0" fontId="51" fillId="15" borderId="43" xfId="7" applyFont="1" applyFill="1" applyBorder="1" applyAlignment="1">
      <alignment horizontal="left"/>
    </xf>
    <xf numFmtId="0" fontId="56" fillId="15" borderId="55" xfId="7" applyFont="1" applyFill="1" applyBorder="1" applyAlignment="1">
      <alignment horizontal="left"/>
    </xf>
    <xf numFmtId="0" fontId="51" fillId="15" borderId="2" xfId="7" applyFont="1" applyFill="1" applyBorder="1" applyAlignment="1">
      <alignment horizontal="left"/>
    </xf>
    <xf numFmtId="0" fontId="51" fillId="15" borderId="10" xfId="7" applyFont="1" applyFill="1" applyBorder="1" applyAlignment="1">
      <alignment horizontal="left"/>
    </xf>
    <xf numFmtId="0" fontId="51" fillId="15" borderId="55" xfId="7" applyFont="1" applyFill="1" applyBorder="1" applyAlignment="1">
      <alignment horizontal="left"/>
    </xf>
    <xf numFmtId="0" fontId="52" fillId="15" borderId="0" xfId="7" applyFont="1" applyFill="1" applyAlignment="1">
      <alignment horizontal="left" vertical="center"/>
    </xf>
    <xf numFmtId="0" fontId="53" fillId="15" borderId="0" xfId="7" applyFont="1" applyFill="1" applyAlignment="1">
      <alignment horizontal="left" vertical="center"/>
    </xf>
    <xf numFmtId="0" fontId="37" fillId="21" borderId="61" xfId="0" applyFont="1" applyFill="1" applyBorder="1" applyAlignment="1">
      <alignment horizontal="center" vertical="center" wrapText="1"/>
    </xf>
    <xf numFmtId="0" fontId="37" fillId="21" borderId="60" xfId="0" applyFont="1" applyFill="1" applyBorder="1" applyAlignment="1">
      <alignment horizontal="center" vertical="center" wrapText="1"/>
    </xf>
    <xf numFmtId="0" fontId="37" fillId="21" borderId="62" xfId="0" applyFont="1" applyFill="1" applyBorder="1" applyAlignment="1">
      <alignment horizontal="center" vertical="center" wrapText="1"/>
    </xf>
    <xf numFmtId="0" fontId="63" fillId="27" borderId="2" xfId="0" applyFont="1" applyFill="1" applyBorder="1" applyAlignment="1">
      <alignment horizontal="center"/>
    </xf>
    <xf numFmtId="0" fontId="37" fillId="21" borderId="1" xfId="0" applyFont="1" applyFill="1" applyBorder="1" applyAlignment="1">
      <alignment horizontal="center" vertical="center" wrapText="1"/>
    </xf>
    <xf numFmtId="0" fontId="63" fillId="21" borderId="105" xfId="0" applyFont="1" applyFill="1" applyBorder="1" applyAlignment="1">
      <alignment horizontal="center" vertical="center" wrapText="1"/>
    </xf>
    <xf numFmtId="0" fontId="63" fillId="21" borderId="113" xfId="0" applyFont="1" applyFill="1" applyBorder="1" applyAlignment="1">
      <alignment horizontal="center" vertical="center" wrapText="1"/>
    </xf>
    <xf numFmtId="0" fontId="63" fillId="21" borderId="107" xfId="0" applyFont="1" applyFill="1" applyBorder="1" applyAlignment="1">
      <alignment horizontal="center" vertical="center" wrapText="1"/>
    </xf>
    <xf numFmtId="0" fontId="63" fillId="21" borderId="114" xfId="0" applyFont="1" applyFill="1" applyBorder="1" applyAlignment="1">
      <alignment horizontal="center" vertical="center" wrapText="1"/>
    </xf>
    <xf numFmtId="0" fontId="33" fillId="15" borderId="0" xfId="0" applyFont="1" applyFill="1" applyAlignment="1">
      <alignment horizontal="left" vertical="center" wrapText="1"/>
    </xf>
    <xf numFmtId="0" fontId="68" fillId="15" borderId="14" xfId="0" applyFont="1" applyFill="1" applyBorder="1" applyAlignment="1">
      <alignment horizontal="center" vertical="center"/>
    </xf>
    <xf numFmtId="0" fontId="68" fillId="15" borderId="71" xfId="0" applyFont="1" applyFill="1" applyBorder="1" applyAlignment="1">
      <alignment horizontal="center" vertical="center"/>
    </xf>
    <xf numFmtId="0" fontId="68" fillId="15" borderId="10" xfId="0" applyFont="1" applyFill="1" applyBorder="1" applyAlignment="1">
      <alignment horizontal="center" vertical="center"/>
    </xf>
    <xf numFmtId="0" fontId="69" fillId="24" borderId="71" xfId="0" applyFont="1" applyFill="1" applyBorder="1" applyAlignment="1">
      <alignment horizontal="center" vertical="center" wrapText="1"/>
    </xf>
    <xf numFmtId="0" fontId="69" fillId="24" borderId="10" xfId="0" applyFont="1" applyFill="1" applyBorder="1" applyAlignment="1">
      <alignment horizontal="center" vertical="center" wrapText="1"/>
    </xf>
    <xf numFmtId="0" fontId="81" fillId="21" borderId="118" xfId="0" applyFont="1" applyFill="1" applyBorder="1" applyAlignment="1">
      <alignment horizontal="center"/>
    </xf>
    <xf numFmtId="0" fontId="81" fillId="21" borderId="120" xfId="0" applyFont="1" applyFill="1" applyBorder="1" applyAlignment="1">
      <alignment horizontal="center"/>
    </xf>
    <xf numFmtId="0" fontId="81" fillId="21" borderId="119" xfId="0" applyFont="1" applyFill="1" applyBorder="1" applyAlignment="1">
      <alignment horizontal="center"/>
    </xf>
    <xf numFmtId="0" fontId="33" fillId="0" borderId="61" xfId="0" applyFont="1" applyBorder="1" applyAlignment="1">
      <alignment horizontal="left" vertical="center"/>
    </xf>
    <xf numFmtId="0" fontId="33" fillId="0" borderId="62" xfId="0" applyFont="1" applyBorder="1" applyAlignment="1">
      <alignment horizontal="left" vertical="center"/>
    </xf>
    <xf numFmtId="0" fontId="69" fillId="24" borderId="127" xfId="0" applyFont="1" applyFill="1" applyBorder="1" applyAlignment="1">
      <alignment horizontal="center" vertical="center" wrapText="1"/>
    </xf>
    <xf numFmtId="0" fontId="69" fillId="24" borderId="52" xfId="0" applyFont="1" applyFill="1" applyBorder="1" applyAlignment="1">
      <alignment horizontal="center" vertical="center" wrapText="1"/>
    </xf>
    <xf numFmtId="0" fontId="69" fillId="24" borderId="55" xfId="0" applyFont="1" applyFill="1" applyBorder="1" applyAlignment="1">
      <alignment horizontal="center" vertical="center" wrapText="1"/>
    </xf>
    <xf numFmtId="0" fontId="69" fillId="24" borderId="112" xfId="0" applyFont="1" applyFill="1" applyBorder="1" applyAlignment="1">
      <alignment horizontal="center" vertical="center" wrapText="1"/>
    </xf>
    <xf numFmtId="0" fontId="62" fillId="25" borderId="22" xfId="0" applyFont="1" applyFill="1" applyBorder="1" applyAlignment="1">
      <alignment horizontal="center"/>
    </xf>
    <xf numFmtId="0" fontId="82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left" vertical="center"/>
    </xf>
    <xf numFmtId="0" fontId="82" fillId="0" borderId="1" xfId="0" applyFont="1" applyBorder="1" applyAlignment="1">
      <alignment horizontal="center" vertical="center"/>
    </xf>
    <xf numFmtId="169" fontId="81" fillId="0" borderId="14" xfId="0" applyNumberFormat="1" applyFont="1" applyBorder="1" applyAlignment="1">
      <alignment horizontal="center" vertical="center"/>
    </xf>
    <xf numFmtId="169" fontId="81" fillId="0" borderId="71" xfId="0" applyNumberFormat="1" applyFont="1" applyBorder="1" applyAlignment="1">
      <alignment horizontal="center" vertical="center"/>
    </xf>
    <xf numFmtId="169" fontId="81" fillId="0" borderId="10" xfId="0" applyNumberFormat="1" applyFont="1" applyBorder="1" applyAlignment="1">
      <alignment horizontal="center" vertical="center"/>
    </xf>
    <xf numFmtId="0" fontId="78" fillId="15" borderId="100" xfId="0" applyFont="1" applyFill="1" applyBorder="1" applyAlignment="1">
      <alignment horizontal="left" vertical="center"/>
    </xf>
    <xf numFmtId="0" fontId="78" fillId="15" borderId="101" xfId="0" applyFont="1" applyFill="1" applyBorder="1" applyAlignment="1">
      <alignment horizontal="left" vertical="center"/>
    </xf>
    <xf numFmtId="0" fontId="78" fillId="15" borderId="125" xfId="0" applyFont="1" applyFill="1" applyBorder="1" applyAlignment="1">
      <alignment horizontal="left" vertical="center"/>
    </xf>
    <xf numFmtId="0" fontId="78" fillId="15" borderId="121" xfId="0" applyFont="1" applyFill="1" applyBorder="1" applyAlignment="1">
      <alignment horizontal="left" vertical="center"/>
    </xf>
    <xf numFmtId="0" fontId="78" fillId="15" borderId="2" xfId="0" applyFont="1" applyFill="1" applyBorder="1" applyAlignment="1">
      <alignment horizontal="left" vertical="center"/>
    </xf>
    <xf numFmtId="0" fontId="78" fillId="15" borderId="122" xfId="0" applyFont="1" applyFill="1" applyBorder="1" applyAlignment="1">
      <alignment horizontal="left" vertical="center"/>
    </xf>
    <xf numFmtId="0" fontId="78" fillId="15" borderId="66" xfId="0" applyFont="1" applyFill="1" applyBorder="1" applyAlignment="1">
      <alignment horizontal="left" vertical="center"/>
    </xf>
    <xf numFmtId="0" fontId="78" fillId="15" borderId="60" xfId="0" applyFont="1" applyFill="1" applyBorder="1" applyAlignment="1">
      <alignment horizontal="left" vertical="center"/>
    </xf>
    <xf numFmtId="0" fontId="78" fillId="15" borderId="67" xfId="0" applyFont="1" applyFill="1" applyBorder="1" applyAlignment="1">
      <alignment horizontal="left" vertical="center"/>
    </xf>
    <xf numFmtId="0" fontId="78" fillId="15" borderId="105" xfId="0" applyFont="1" applyFill="1" applyBorder="1" applyAlignment="1">
      <alignment horizontal="center" vertical="center"/>
    </xf>
    <xf numFmtId="0" fontId="78" fillId="15" borderId="106" xfId="0" applyFont="1" applyFill="1" applyBorder="1" applyAlignment="1">
      <alignment horizontal="center" vertical="center"/>
    </xf>
    <xf numFmtId="0" fontId="78" fillId="15" borderId="107" xfId="0" applyFont="1" applyFill="1" applyBorder="1" applyAlignment="1">
      <alignment horizontal="center" vertical="center"/>
    </xf>
    <xf numFmtId="0" fontId="73" fillId="15" borderId="118" xfId="0" applyFont="1" applyFill="1" applyBorder="1" applyAlignment="1">
      <alignment horizontal="center"/>
    </xf>
    <xf numFmtId="0" fontId="73" fillId="15" borderId="119" xfId="0" applyFont="1" applyFill="1" applyBorder="1" applyAlignment="1">
      <alignment horizontal="center"/>
    </xf>
    <xf numFmtId="0" fontId="74" fillId="0" borderId="0" xfId="0" applyFont="1" applyAlignment="1">
      <alignment vertical="center"/>
    </xf>
    <xf numFmtId="0" fontId="62" fillId="15" borderId="1" xfId="0" applyFont="1" applyFill="1" applyBorder="1" applyAlignment="1">
      <alignment horizontal="center"/>
    </xf>
    <xf numFmtId="0" fontId="64" fillId="21" borderId="1" xfId="0" applyFont="1" applyFill="1" applyBorder="1" applyAlignment="1">
      <alignment horizontal="center" vertical="center"/>
    </xf>
    <xf numFmtId="0" fontId="64" fillId="21" borderId="2" xfId="0" applyFont="1" applyFill="1" applyBorder="1" applyAlignment="1">
      <alignment horizontal="center"/>
    </xf>
    <xf numFmtId="0" fontId="64" fillId="21" borderId="1" xfId="0" applyFont="1" applyFill="1" applyBorder="1" applyAlignment="1">
      <alignment horizontal="center"/>
    </xf>
    <xf numFmtId="0" fontId="64" fillId="21" borderId="43" xfId="0" applyFont="1" applyFill="1" applyBorder="1" applyAlignment="1">
      <alignment horizontal="center"/>
    </xf>
    <xf numFmtId="0" fontId="82" fillId="21" borderId="73" xfId="0" applyFont="1" applyFill="1" applyBorder="1" applyAlignment="1">
      <alignment horizontal="center" vertical="center"/>
    </xf>
    <xf numFmtId="0" fontId="82" fillId="21" borderId="55" xfId="0" applyFont="1" applyFill="1" applyBorder="1" applyAlignment="1">
      <alignment horizontal="center" vertical="center"/>
    </xf>
    <xf numFmtId="0" fontId="88" fillId="32" borderId="121" xfId="5" applyFont="1" applyFill="1" applyBorder="1" applyAlignment="1">
      <alignment horizontal="center"/>
    </xf>
    <xf numFmtId="0" fontId="88" fillId="32" borderId="122" xfId="5" applyFont="1" applyFill="1" applyBorder="1" applyAlignment="1">
      <alignment horizontal="center"/>
    </xf>
    <xf numFmtId="0" fontId="37" fillId="21" borderId="1" xfId="5" applyFont="1" applyFill="1" applyBorder="1" applyAlignment="1">
      <alignment horizontal="center"/>
    </xf>
    <xf numFmtId="1" fontId="33" fillId="0" borderId="2" xfId="0" applyNumberFormat="1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82" fillId="0" borderId="71" xfId="0" applyFont="1" applyBorder="1" applyAlignment="1">
      <alignment horizontal="center" vertical="center" wrapText="1"/>
    </xf>
    <xf numFmtId="0" fontId="82" fillId="0" borderId="10" xfId="0" applyFont="1" applyBorder="1" applyAlignment="1">
      <alignment horizontal="center" vertical="center" wrapText="1"/>
    </xf>
    <xf numFmtId="43" fontId="82" fillId="0" borderId="14" xfId="1" applyFont="1" applyBorder="1" applyAlignment="1">
      <alignment horizontal="center" vertical="center" wrapText="1"/>
    </xf>
    <xf numFmtId="43" fontId="82" fillId="0" borderId="71" xfId="1" applyFont="1" applyBorder="1" applyAlignment="1">
      <alignment horizontal="center" vertical="center" wrapText="1"/>
    </xf>
    <xf numFmtId="43" fontId="82" fillId="0" borderId="10" xfId="1" applyFont="1" applyBorder="1" applyAlignment="1">
      <alignment horizontal="center" vertical="center" wrapText="1"/>
    </xf>
    <xf numFmtId="164" fontId="82" fillId="0" borderId="14" xfId="10" applyFont="1" applyBorder="1" applyAlignment="1">
      <alignment horizontal="center" vertical="center"/>
    </xf>
    <xf numFmtId="164" fontId="82" fillId="0" borderId="71" xfId="10" applyFont="1" applyBorder="1" applyAlignment="1">
      <alignment horizontal="center" vertical="center"/>
    </xf>
    <xf numFmtId="164" fontId="82" fillId="0" borderId="10" xfId="10" applyFont="1" applyBorder="1" applyAlignment="1">
      <alignment horizontal="center" vertical="center"/>
    </xf>
    <xf numFmtId="0" fontId="33" fillId="0" borderId="73" xfId="0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1" fontId="82" fillId="0" borderId="14" xfId="0" applyNumberFormat="1" applyFont="1" applyBorder="1" applyAlignment="1">
      <alignment horizontal="center" vertical="center" wrapText="1"/>
    </xf>
    <xf numFmtId="1" fontId="82" fillId="0" borderId="71" xfId="0" applyNumberFormat="1" applyFont="1" applyBorder="1" applyAlignment="1">
      <alignment horizontal="center" vertical="center" wrapText="1"/>
    </xf>
    <xf numFmtId="1" fontId="82" fillId="0" borderId="10" xfId="0" applyNumberFormat="1" applyFont="1" applyBorder="1" applyAlignment="1">
      <alignment horizontal="center" vertical="center" wrapText="1"/>
    </xf>
    <xf numFmtId="0" fontId="64" fillId="0" borderId="14" xfId="0" applyFont="1" applyBorder="1" applyAlignment="1">
      <alignment horizontal="center" vertical="center"/>
    </xf>
    <xf numFmtId="0" fontId="64" fillId="0" borderId="71" xfId="0" applyFont="1" applyBorder="1" applyAlignment="1">
      <alignment horizontal="center" vertical="center"/>
    </xf>
    <xf numFmtId="0" fontId="64" fillId="0" borderId="10" xfId="0" applyFont="1" applyBorder="1" applyAlignment="1">
      <alignment horizontal="center" vertical="center"/>
    </xf>
    <xf numFmtId="0" fontId="75" fillId="0" borderId="1" xfId="0" applyFont="1" applyBorder="1" applyAlignment="1">
      <alignment horizontal="center" vertical="center"/>
    </xf>
    <xf numFmtId="0" fontId="84" fillId="15" borderId="1" xfId="0" applyFont="1" applyFill="1" applyBorder="1" applyAlignment="1">
      <alignment horizontal="center"/>
    </xf>
    <xf numFmtId="0" fontId="84" fillId="0" borderId="1" xfId="0" applyFont="1" applyBorder="1" applyAlignment="1">
      <alignment horizontal="center"/>
    </xf>
    <xf numFmtId="0" fontId="2" fillId="34" borderId="0" xfId="0" applyFont="1" applyFill="1" applyAlignment="1">
      <alignment horizontal="center"/>
    </xf>
    <xf numFmtId="2" fontId="37" fillId="15" borderId="1" xfId="0" applyNumberFormat="1" applyFont="1" applyFill="1" applyBorder="1" applyAlignment="1">
      <alignment horizontal="left" vertical="center" wrapText="1"/>
    </xf>
    <xf numFmtId="0" fontId="44" fillId="24" borderId="2" xfId="0" applyFont="1" applyFill="1" applyBorder="1" applyAlignment="1">
      <alignment horizontal="center"/>
    </xf>
    <xf numFmtId="0" fontId="0" fillId="0" borderId="128" xfId="0" applyBorder="1" applyAlignment="1">
      <alignment horizontal="center" vertical="center"/>
    </xf>
    <xf numFmtId="0" fontId="0" fillId="0" borderId="129" xfId="0" applyBorder="1" applyAlignment="1">
      <alignment horizontal="center" vertical="center"/>
    </xf>
    <xf numFmtId="165" fontId="2" fillId="12" borderId="70" xfId="0" applyNumberFormat="1" applyFont="1" applyFill="1" applyBorder="1" applyAlignment="1">
      <alignment horizontal="center" vertical="center"/>
    </xf>
    <xf numFmtId="165" fontId="5" fillId="3" borderId="39" xfId="0" applyNumberFormat="1" applyFont="1" applyFill="1" applyBorder="1" applyAlignment="1">
      <alignment horizontal="center" vertical="center"/>
    </xf>
    <xf numFmtId="165" fontId="5" fillId="3" borderId="42" xfId="0" applyNumberFormat="1" applyFont="1" applyFill="1" applyBorder="1" applyAlignment="1">
      <alignment horizontal="center" vertical="center"/>
    </xf>
    <xf numFmtId="169" fontId="5" fillId="3" borderId="0" xfId="3" applyNumberFormat="1" applyFont="1" applyFill="1" applyAlignment="1">
      <alignment horizontal="center" vertical="center"/>
    </xf>
    <xf numFmtId="169" fontId="5" fillId="0" borderId="0" xfId="3" applyNumberFormat="1" applyFont="1" applyFill="1" applyAlignment="1">
      <alignment horizontal="center" vertical="center"/>
    </xf>
    <xf numFmtId="169" fontId="5" fillId="11" borderId="0" xfId="3" applyNumberFormat="1" applyFont="1" applyFill="1" applyAlignment="1">
      <alignment horizontal="center" vertical="center"/>
    </xf>
    <xf numFmtId="0" fontId="101" fillId="0" borderId="0" xfId="0" applyFont="1" applyAlignment="1">
      <alignment horizontal="center"/>
    </xf>
    <xf numFmtId="9" fontId="0" fillId="11" borderId="1" xfId="4" applyFont="1" applyFill="1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165" fontId="0" fillId="11" borderId="1" xfId="0" applyNumberForma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03" fillId="0" borderId="0" xfId="11" applyFont="1" applyAlignment="1">
      <alignment horizontal="center" vertical="center"/>
    </xf>
    <xf numFmtId="0" fontId="103" fillId="0" borderId="0" xfId="11" applyFont="1" applyAlignment="1">
      <alignment vertical="center"/>
    </xf>
    <xf numFmtId="165" fontId="103" fillId="0" borderId="0" xfId="11" applyNumberFormat="1" applyFont="1" applyAlignment="1">
      <alignment vertical="center"/>
    </xf>
    <xf numFmtId="0" fontId="104" fillId="0" borderId="0" xfId="11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0" fontId="103" fillId="0" borderId="0" xfId="11" applyFont="1" applyAlignment="1">
      <alignment horizontal="center" vertical="center"/>
    </xf>
    <xf numFmtId="0" fontId="105" fillId="0" borderId="130" xfId="0" applyFont="1" applyBorder="1" applyAlignment="1">
      <alignment horizontal="center" vertical="top"/>
    </xf>
    <xf numFmtId="0" fontId="106" fillId="0" borderId="0" xfId="0" applyFont="1"/>
    <xf numFmtId="169" fontId="107" fillId="32" borderId="0" xfId="5" applyNumberFormat="1" applyFont="1" applyFill="1" applyAlignment="1">
      <alignment horizontal="center"/>
    </xf>
    <xf numFmtId="169" fontId="107" fillId="32" borderId="2" xfId="5" applyNumberFormat="1" applyFont="1" applyFill="1" applyBorder="1" applyAlignment="1">
      <alignment horizontal="center"/>
    </xf>
    <xf numFmtId="0" fontId="107" fillId="0" borderId="0" xfId="5" applyFont="1"/>
    <xf numFmtId="196" fontId="107" fillId="0" borderId="133" xfId="5" applyNumberFormat="1" applyFont="1" applyBorder="1" applyAlignment="1">
      <alignment horizontal="right"/>
    </xf>
    <xf numFmtId="168" fontId="106" fillId="0" borderId="0" xfId="0" applyNumberFormat="1" applyFont="1"/>
    <xf numFmtId="168" fontId="107" fillId="32" borderId="131" xfId="5" applyNumberFormat="1" applyFont="1" applyFill="1" applyBorder="1"/>
    <xf numFmtId="168" fontId="107" fillId="32" borderId="0" xfId="5" applyNumberFormat="1" applyFont="1" applyFill="1"/>
    <xf numFmtId="168" fontId="107" fillId="32" borderId="132" xfId="5" applyNumberFormat="1" applyFont="1" applyFill="1" applyBorder="1"/>
    <xf numFmtId="168" fontId="107" fillId="32" borderId="2" xfId="5" applyNumberFormat="1" applyFont="1" applyFill="1" applyBorder="1"/>
    <xf numFmtId="0" fontId="105" fillId="11" borderId="130" xfId="0" applyFont="1" applyFill="1" applyBorder="1" applyAlignment="1">
      <alignment horizontal="center" vertical="top"/>
    </xf>
    <xf numFmtId="168" fontId="106" fillId="11" borderId="0" xfId="0" applyNumberFormat="1" applyFont="1" applyFill="1"/>
    <xf numFmtId="168" fontId="107" fillId="11" borderId="0" xfId="5" applyNumberFormat="1" applyFont="1" applyFill="1"/>
    <xf numFmtId="168" fontId="107" fillId="11" borderId="2" xfId="5" applyNumberFormat="1" applyFont="1" applyFill="1" applyBorder="1"/>
    <xf numFmtId="0" fontId="107" fillId="11" borderId="0" xfId="5" applyFont="1" applyFill="1"/>
    <xf numFmtId="0" fontId="0" fillId="11" borderId="0" xfId="0" applyFill="1"/>
    <xf numFmtId="165" fontId="0" fillId="0" borderId="0" xfId="0" applyNumberFormat="1" applyAlignment="1">
      <alignment horizontal="left"/>
    </xf>
    <xf numFmtId="165" fontId="0" fillId="0" borderId="92" xfId="0" applyNumberFormat="1" applyBorder="1" applyAlignment="1">
      <alignment horizontal="center"/>
    </xf>
  </cellXfs>
  <cellStyles count="12">
    <cellStyle name="Comma" xfId="1" builtinId="3"/>
    <cellStyle name="Comma [0]" xfId="10" builtinId="6"/>
    <cellStyle name="Comma [0]_Rainfall plan Sept 2008" xfId="8" xr:uid="{2FE52781-5FBA-4587-B6D4-2F4B7DCFA434}"/>
    <cellStyle name="Comma 2 2" xfId="6" xr:uid="{2ECF048D-2910-4BE2-BE8A-FAE2AE3A85A6}"/>
    <cellStyle name="Normal" xfId="0" builtinId="0"/>
    <cellStyle name="Normal 2" xfId="5" xr:uid="{E2A363CD-9166-4BAE-8544-B06F50D85B35}"/>
    <cellStyle name="Normal 3" xfId="9" xr:uid="{86D9CA53-3364-45B6-9D16-76416DF3CA74}"/>
    <cellStyle name="Normal 4" xfId="11" xr:uid="{D13DBD15-A3CC-46F5-BF36-88C0004771C4}"/>
    <cellStyle name="Normal_Book1" xfId="3" xr:uid="{00000000-0005-0000-0000-000002000000}"/>
    <cellStyle name="Normal_Rainfall plan Sept 2008" xfId="7" xr:uid="{C8176B3B-72E0-4B57-A054-BCBC12F038B5}"/>
    <cellStyle name="Normal_Tabel (OKE)" xfId="2" xr:uid="{00000000-0005-0000-0000-000003000000}"/>
    <cellStyle name="Percent" xfId="4" builtinId="5"/>
  </cellStyles>
  <dxfs count="41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Curah Hujan</a:t>
            </a:r>
            <a:r>
              <a:rPr lang="en-US" baseline="0"/>
              <a:t> Maksimum Tahun 2014 - 2024 (mm)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'Rainfall Max'!$R$4:$R$14</c:f>
              <c:numCache>
                <c:formatCode>General</c:formatCod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numCache>
            </c:numRef>
          </c:cat>
          <c:val>
            <c:numRef>
              <c:f>'Rainfall Max'!$S$4:$S$14</c:f>
              <c:numCache>
                <c:formatCode>0</c:formatCode>
                <c:ptCount val="11"/>
                <c:pt idx="0">
                  <c:v>120.5</c:v>
                </c:pt>
                <c:pt idx="1">
                  <c:v>119.4</c:v>
                </c:pt>
                <c:pt idx="2">
                  <c:v>74</c:v>
                </c:pt>
                <c:pt idx="3">
                  <c:v>99.5</c:v>
                </c:pt>
                <c:pt idx="4">
                  <c:v>138.5</c:v>
                </c:pt>
                <c:pt idx="5">
                  <c:v>92.7</c:v>
                </c:pt>
                <c:pt idx="6">
                  <c:v>105.6</c:v>
                </c:pt>
                <c:pt idx="7">
                  <c:v>155</c:v>
                </c:pt>
                <c:pt idx="8">
                  <c:v>134</c:v>
                </c:pt>
                <c:pt idx="9">
                  <c:v>141</c:v>
                </c:pt>
                <c:pt idx="10">
                  <c:v>171.6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8-4191-9BC2-E5C2D46B3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496095"/>
        <c:axId val="240512895"/>
      </c:barChart>
      <c:catAx>
        <c:axId val="24049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12895"/>
        <c:crosses val="autoZero"/>
        <c:auto val="1"/>
        <c:lblAlgn val="ctr"/>
        <c:lblOffset val="100"/>
        <c:noMultiLvlLbl val="0"/>
      </c:catAx>
      <c:valAx>
        <c:axId val="2405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9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rendline>
            <c:trendlineType val="log"/>
            <c:dispRSqr val="1"/>
            <c:dispEq val="1"/>
            <c:trendlineLbl>
              <c:layout>
                <c:manualLayout>
                  <c:x val="-0.18756871073084286"/>
                  <c:y val="0.31896981627296611"/>
                </c:manualLayout>
              </c:layout>
              <c:numFmt formatCode="General" sourceLinked="0"/>
            </c:trendlineLbl>
          </c:trendline>
          <c:xVal>
            <c:numRef>
              <c:f>'RTr Pearson Type III'!$N$46:$U$46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'RTr Pearson Type III'!$N$48:$U$48</c:f>
              <c:numCache>
                <c:formatCode>0.000</c:formatCode>
                <c:ptCount val="8"/>
                <c:pt idx="0">
                  <c:v>0</c:v>
                </c:pt>
                <c:pt idx="1">
                  <c:v>0.84199999999999997</c:v>
                </c:pt>
                <c:pt idx="2">
                  <c:v>1.282</c:v>
                </c:pt>
                <c:pt idx="3">
                  <c:v>1.7509999999999999</c:v>
                </c:pt>
                <c:pt idx="4">
                  <c:v>2.0539999999999998</c:v>
                </c:pt>
                <c:pt idx="5">
                  <c:v>2.3260000000000001</c:v>
                </c:pt>
                <c:pt idx="6">
                  <c:v>2.5760000000000001</c:v>
                </c:pt>
                <c:pt idx="7">
                  <c:v>3.09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C3-42AE-8DB9-3A22F9696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03968"/>
        <c:axId val="369507496"/>
      </c:scatterChart>
      <c:valAx>
        <c:axId val="3695039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07496"/>
        <c:crosses val="autoZero"/>
        <c:crossBetween val="midCat"/>
      </c:valAx>
      <c:valAx>
        <c:axId val="369507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KTr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369503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rendline>
            <c:trendlineType val="log"/>
            <c:dispRSqr val="1"/>
            <c:dispEq val="1"/>
            <c:trendlineLbl>
              <c:layout>
                <c:manualLayout>
                  <c:x val="-0.21824851197240994"/>
                  <c:y val="0.37831729367162448"/>
                </c:manualLayout>
              </c:layout>
              <c:numFmt formatCode="General" sourceLinked="0"/>
            </c:trendlineLbl>
          </c:trendline>
          <c:xVal>
            <c:numRef>
              <c:f>'RTr Log Pearson Type III'!$P$47:$W$47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'RTr Log Pearson Type III'!$P$49:$W$49</c:f>
              <c:numCache>
                <c:formatCode>0.000</c:formatCode>
                <c:ptCount val="8"/>
                <c:pt idx="0">
                  <c:v>8.3000000000000004E-2</c:v>
                </c:pt>
                <c:pt idx="1">
                  <c:v>0.85599999999999998</c:v>
                </c:pt>
                <c:pt idx="2">
                  <c:v>1.216</c:v>
                </c:pt>
                <c:pt idx="3">
                  <c:v>1.5669999999999999</c:v>
                </c:pt>
                <c:pt idx="4">
                  <c:v>1.77</c:v>
                </c:pt>
                <c:pt idx="5">
                  <c:v>1.9550000000000001</c:v>
                </c:pt>
                <c:pt idx="6">
                  <c:v>2.1080000000000001</c:v>
                </c:pt>
                <c:pt idx="7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47-4B13-88A3-0450625FF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07104"/>
        <c:axId val="369552408"/>
      </c:scatterChart>
      <c:valAx>
        <c:axId val="36950710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52408"/>
        <c:crosses val="autoZero"/>
        <c:crossBetween val="midCat"/>
      </c:valAx>
      <c:valAx>
        <c:axId val="369552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KTr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36950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 sz="1800" b="1" i="0" u="none" strike="noStrike" baseline="0"/>
              <a:t>Comparison of Rainfall Design 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'Resume RTr'!$D$6</c:f>
              <c:strCache>
                <c:ptCount val="1"/>
                <c:pt idx="0">
                  <c:v>Normal</c:v>
                </c:pt>
              </c:strCache>
            </c:strRef>
          </c:tx>
          <c:spPr>
            <a:ln w="19050">
              <a:prstDash val="lgDashDot"/>
            </a:ln>
          </c:spPr>
          <c:xVal>
            <c:numRef>
              <c:f>'Resume RTr'!$B$7:$B$14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'Resume RTr'!$D$7:$D$14</c:f>
              <c:numCache>
                <c:formatCode>0.00</c:formatCode>
                <c:ptCount val="8"/>
                <c:pt idx="0">
                  <c:v>123.09090909090909</c:v>
                </c:pt>
                <c:pt idx="1">
                  <c:v>147.23986321845973</c:v>
                </c:pt>
                <c:pt idx="2">
                  <c:v>159.88931538051008</c:v>
                </c:pt>
                <c:pt idx="3">
                  <c:v>170.23886714946036</c:v>
                </c:pt>
                <c:pt idx="4">
                  <c:v>182.02585666409817</c:v>
                </c:pt>
                <c:pt idx="5">
                  <c:v>190.07550803994837</c:v>
                </c:pt>
                <c:pt idx="6">
                  <c:v>197.26269676838606</c:v>
                </c:pt>
                <c:pt idx="7">
                  <c:v>211.92456177439897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42-4051-9819-A96CB47BEC8A}"/>
            </c:ext>
          </c:extLst>
        </c:ser>
        <c:ser>
          <c:idx val="1"/>
          <c:order val="1"/>
          <c:tx>
            <c:strRef>
              <c:f>'Resume RTr'!$E$6</c:f>
              <c:strCache>
                <c:ptCount val="1"/>
                <c:pt idx="0">
                  <c:v>Log Normal</c:v>
                </c:pt>
              </c:strCache>
            </c:strRef>
          </c:tx>
          <c:spPr>
            <a:ln w="12700">
              <a:prstDash val="dash"/>
            </a:ln>
          </c:spPr>
          <c:xVal>
            <c:numRef>
              <c:f>'Resume RTr'!$B$7:$B$14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'Resume RTr'!$E$7:$E$14</c:f>
              <c:numCache>
                <c:formatCode>0.00</c:formatCode>
                <c:ptCount val="8"/>
                <c:pt idx="0">
                  <c:v>119.88847315000804</c:v>
                </c:pt>
                <c:pt idx="1">
                  <c:v>147.3361832678263</c:v>
                </c:pt>
                <c:pt idx="2">
                  <c:v>164.13723844453364</c:v>
                </c:pt>
                <c:pt idx="3">
                  <c:v>179.29904378984557</c:v>
                </c:pt>
                <c:pt idx="4">
                  <c:v>198.27963442504156</c:v>
                </c:pt>
                <c:pt idx="5">
                  <c:v>212.38415106339423</c:v>
                </c:pt>
                <c:pt idx="6">
                  <c:v>225.8231854721119</c:v>
                </c:pt>
                <c:pt idx="7">
                  <c:v>255.93355847887165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42-4051-9819-A96CB47BEC8A}"/>
            </c:ext>
          </c:extLst>
        </c:ser>
        <c:ser>
          <c:idx val="2"/>
          <c:order val="2"/>
          <c:tx>
            <c:strRef>
              <c:f>'Resume RTr'!$F$6</c:f>
              <c:strCache>
                <c:ptCount val="1"/>
                <c:pt idx="0">
                  <c:v>Gumbel</c:v>
                </c:pt>
              </c:strCache>
            </c:strRef>
          </c:tx>
          <c:xVal>
            <c:numRef>
              <c:f>'Resume RTr'!$B$7:$B$14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'Resume RTr'!$F$7:$F$14</c:f>
              <c:numCache>
                <c:formatCode>0.00</c:formatCode>
                <c:ptCount val="8"/>
                <c:pt idx="0">
                  <c:v>119.13670505165257</c:v>
                </c:pt>
                <c:pt idx="1">
                  <c:v>152.81241499187436</c:v>
                </c:pt>
                <c:pt idx="2">
                  <c:v>175.10866519250885</c:v>
                </c:pt>
                <c:pt idx="3">
                  <c:v>203.28003642722399</c:v>
                </c:pt>
                <c:pt idx="4">
                  <c:v>224.1791689199469</c:v>
                </c:pt>
                <c:pt idx="5">
                  <c:v>244.92398549889785</c:v>
                </c:pt>
                <c:pt idx="6">
                  <c:v>265.5931077268076</c:v>
                </c:pt>
                <c:pt idx="7">
                  <c:v>313.47134025496052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42-4051-9819-A96CB47BEC8A}"/>
            </c:ext>
          </c:extLst>
        </c:ser>
        <c:ser>
          <c:idx val="3"/>
          <c:order val="3"/>
          <c:tx>
            <c:strRef>
              <c:f>'Resume RTr'!$G$6</c:f>
              <c:strCache>
                <c:ptCount val="1"/>
                <c:pt idx="0">
                  <c:v>Pearson III</c:v>
                </c:pt>
              </c:strCache>
            </c:strRef>
          </c:tx>
          <c:spPr>
            <a:ln w="12700" cmpd="thinThick"/>
          </c:spPr>
          <c:marker>
            <c:spPr>
              <a:ln>
                <a:noFill/>
              </a:ln>
            </c:spPr>
          </c:marker>
          <c:xVal>
            <c:numRef>
              <c:f>'Resume RTr'!$B$7:$B$14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'Resume RTr'!$G$7:$G$14</c:f>
              <c:numCache>
                <c:formatCode>0.00</c:formatCode>
                <c:ptCount val="8"/>
                <c:pt idx="0">
                  <c:v>123.09090909090909</c:v>
                </c:pt>
                <c:pt idx="1">
                  <c:v>147.29736072828723</c:v>
                </c:pt>
                <c:pt idx="2">
                  <c:v>159.94681289033758</c:v>
                </c:pt>
                <c:pt idx="3">
                  <c:v>173.42997894488667</c:v>
                </c:pt>
                <c:pt idx="4">
                  <c:v>182.14085168375317</c:v>
                </c:pt>
                <c:pt idx="5">
                  <c:v>189.96051302029338</c:v>
                </c:pt>
                <c:pt idx="6">
                  <c:v>197.14770174873107</c:v>
                </c:pt>
                <c:pt idx="7">
                  <c:v>211.92456177439897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42-4051-9819-A96CB47BEC8A}"/>
            </c:ext>
          </c:extLst>
        </c:ser>
        <c:ser>
          <c:idx val="4"/>
          <c:order val="4"/>
          <c:tx>
            <c:strRef>
              <c:f>'Resume RTr'!$H$6</c:f>
              <c:strCache>
                <c:ptCount val="1"/>
                <c:pt idx="0">
                  <c:v>Log Pearson III</c:v>
                </c:pt>
              </c:strCache>
            </c:strRef>
          </c:tx>
          <c:spPr>
            <a:ln w="22225">
              <a:prstDash val="sysDash"/>
            </a:ln>
          </c:spPr>
          <c:xVal>
            <c:numRef>
              <c:f>'Resume RTr'!$B$7:$B$14</c:f>
              <c:numCache>
                <c:formatCode>General</c:formatCode>
                <c:ptCount val="8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  <c:pt idx="6">
                  <c:v>200</c:v>
                </c:pt>
                <c:pt idx="7">
                  <c:v>1000</c:v>
                </c:pt>
              </c:numCache>
            </c:numRef>
          </c:xVal>
          <c:yVal>
            <c:numRef>
              <c:f>'Resume RTr'!$H$7:$H$14</c:f>
              <c:numCache>
                <c:formatCode>0.00</c:formatCode>
                <c:ptCount val="8"/>
                <c:pt idx="0">
                  <c:v>122.3556538424686</c:v>
                </c:pt>
                <c:pt idx="1">
                  <c:v>147.9158748362515</c:v>
                </c:pt>
                <c:pt idx="2">
                  <c:v>161.57926848781858</c:v>
                </c:pt>
                <c:pt idx="3">
                  <c:v>176.11535297143615</c:v>
                </c:pt>
                <c:pt idx="4">
                  <c:v>185.11180439256572</c:v>
                </c:pt>
                <c:pt idx="5">
                  <c:v>193.71019050280165</c:v>
                </c:pt>
                <c:pt idx="6">
                  <c:v>201.12223196547632</c:v>
                </c:pt>
                <c:pt idx="7">
                  <c:v>216.06434415766256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B42-4051-9819-A96CB47B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50056"/>
        <c:axId val="369552016"/>
      </c:scatterChart>
      <c:valAx>
        <c:axId val="36955005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Return Period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52016"/>
        <c:crosses val="autoZero"/>
        <c:crossBetween val="midCat"/>
      </c:valAx>
      <c:valAx>
        <c:axId val="36955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Rainfall Design (mm/hr)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95500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9526311576983477"/>
          <c:y val="0.55439834959099044"/>
          <c:w val="0.1403250564840047"/>
          <c:h val="0.22605297080809855"/>
        </c:manualLayout>
      </c:layout>
      <c:overlay val="1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Perbandingan Hasil Uji Ketidakcocokan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'Uji Cocok'!$D$7</c:f>
              <c:strCache>
                <c:ptCount val="1"/>
                <c:pt idx="0">
                  <c:v>Rata-rata % Error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'Uji Cocok'!$C$8:$C$12</c:f>
              <c:strCache>
                <c:ptCount val="5"/>
                <c:pt idx="0">
                  <c:v>Normal</c:v>
                </c:pt>
                <c:pt idx="1">
                  <c:v>Log Normal</c:v>
                </c:pt>
                <c:pt idx="2">
                  <c:v>Gumbel</c:v>
                </c:pt>
                <c:pt idx="3">
                  <c:v>Pearson III</c:v>
                </c:pt>
                <c:pt idx="4">
                  <c:v>Log Pearson III</c:v>
                </c:pt>
              </c:strCache>
            </c:strRef>
          </c:cat>
          <c:val>
            <c:numRef>
              <c:f>'Uji Cocok'!$D$8:$D$12</c:f>
              <c:numCache>
                <c:formatCode>0.00</c:formatCode>
                <c:ptCount val="5"/>
                <c:pt idx="0">
                  <c:v>3.9754169177076988</c:v>
                </c:pt>
                <c:pt idx="1">
                  <c:v>3.8688363484588781</c:v>
                </c:pt>
                <c:pt idx="2">
                  <c:v>3.6492820667357178</c:v>
                </c:pt>
                <c:pt idx="3">
                  <c:v>22.064849623939413</c:v>
                </c:pt>
                <c:pt idx="4">
                  <c:v>22.276942903214682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B-4AB2-8F53-35DDDDDB8770}"/>
            </c:ext>
          </c:extLst>
        </c:ser>
        <c:ser>
          <c:idx val="1"/>
          <c:order val="1"/>
          <c:tx>
            <c:strRef>
              <c:f>'Uji Cocok'!$E$7</c:f>
              <c:strCache>
                <c:ptCount val="1"/>
                <c:pt idx="0">
                  <c:v>Deviasi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'Uji Cocok'!$C$8:$C$12</c:f>
              <c:strCache>
                <c:ptCount val="5"/>
                <c:pt idx="0">
                  <c:v>Normal</c:v>
                </c:pt>
                <c:pt idx="1">
                  <c:v>Log Normal</c:v>
                </c:pt>
                <c:pt idx="2">
                  <c:v>Gumbel</c:v>
                </c:pt>
                <c:pt idx="3">
                  <c:v>Pearson III</c:v>
                </c:pt>
                <c:pt idx="4">
                  <c:v>Log Pearson III</c:v>
                </c:pt>
              </c:strCache>
            </c:strRef>
          </c:cat>
          <c:val>
            <c:numRef>
              <c:f>'Uji Cocok'!$E$8:$E$12</c:f>
              <c:numCache>
                <c:formatCode>0.00</c:formatCode>
                <c:ptCount val="5"/>
                <c:pt idx="0">
                  <c:v>5.6098768862998138</c:v>
                </c:pt>
                <c:pt idx="1">
                  <c:v>5.6129758059612005</c:v>
                </c:pt>
                <c:pt idx="2">
                  <c:v>5.3713056929380985</c:v>
                </c:pt>
                <c:pt idx="3">
                  <c:v>29.150122329717728</c:v>
                </c:pt>
                <c:pt idx="4">
                  <c:v>29.54508126415919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B-4AB2-8F53-35DDDDDB8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9505928"/>
        <c:axId val="369506712"/>
      </c:barChart>
      <c:lineChart>
        <c:grouping val="standard"/>
        <c:varyColors val="0"/>
        <c:ser>
          <c:idx val="2"/>
          <c:order val="2"/>
          <c:tx>
            <c:v>Rata-Rata Error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8.4238619282599236E-2"/>
                  <c:y val="-7.42195946496685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CC-4AEE-8A66-5C31A2D84B04}"/>
                </c:ext>
              </c:extLst>
            </c:dLbl>
            <c:dLbl>
              <c:idx val="1"/>
              <c:layout>
                <c:manualLayout>
                  <c:x val="-9.071851307356843E-2"/>
                  <c:y val="-5.46881223734399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CC-4AEE-8A66-5C31A2D84B04}"/>
                </c:ext>
              </c:extLst>
            </c:dLbl>
            <c:dLbl>
              <c:idx val="2"/>
              <c:layout>
                <c:manualLayout>
                  <c:x val="-9.2878477670558193E-2"/>
                  <c:y val="-7.81258891049141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CC-4AEE-8A66-5C31A2D84B04}"/>
                </c:ext>
              </c:extLst>
            </c:dLbl>
            <c:dLbl>
              <c:idx val="3"/>
              <c:layout>
                <c:manualLayout>
                  <c:x val="-0.11015819444647591"/>
                  <c:y val="-7.03133001944227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CC-4AEE-8A66-5C31A2D84B04}"/>
                </c:ext>
              </c:extLst>
            </c:dLbl>
            <c:dLbl>
              <c:idx val="4"/>
              <c:layout>
                <c:manualLayout>
                  <c:x val="-9.719840686453772E-2"/>
                  <c:y val="-7.81258891049141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CCC-4AEE-8A66-5C31A2D84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 b="1"/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'Uji Cocok'!$F$8:$F$12</c:f>
              <c:numCache>
                <c:formatCode>0.00</c:formatCode>
                <c:ptCount val="5"/>
                <c:pt idx="0">
                  <c:v>4.7926469020037565</c:v>
                </c:pt>
                <c:pt idx="1">
                  <c:v>4.7409060772100391</c:v>
                </c:pt>
                <c:pt idx="2">
                  <c:v>4.5102938798369081</c:v>
                </c:pt>
                <c:pt idx="3">
                  <c:v>25.607485976828571</c:v>
                </c:pt>
                <c:pt idx="4">
                  <c:v>25.911012083686934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B-4AB2-8F53-35DDDDDB8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505928"/>
        <c:axId val="369506712"/>
      </c:lineChart>
      <c:catAx>
        <c:axId val="369505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Jenis Distribusi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9506712"/>
        <c:crosses val="autoZero"/>
        <c:auto val="1"/>
        <c:lblAlgn val="ctr"/>
        <c:lblOffset val="100"/>
        <c:noMultiLvlLbl val="0"/>
      </c:catAx>
      <c:valAx>
        <c:axId val="369506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Ketidakcocokan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95059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8.pn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345140</xdr:colOff>
      <xdr:row>20</xdr:row>
      <xdr:rowOff>94128</xdr:rowOff>
    </xdr:from>
    <xdr:to>
      <xdr:col>17</xdr:col>
      <xdr:colOff>484093</xdr:colOff>
      <xdr:row>35</xdr:row>
      <xdr:rowOff>147917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2EFF8-7FB9-FBF6-9601-E1CB35F97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551448</xdr:colOff>
      <xdr:row>51</xdr:row>
      <xdr:rowOff>160420</xdr:rowOff>
    </xdr:from>
    <xdr:to>
      <xdr:col>29</xdr:col>
      <xdr:colOff>204356</xdr:colOff>
      <xdr:row>57</xdr:row>
      <xdr:rowOff>96895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0F35D-580D-04EE-C837-24930F77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4237" y="9835815"/>
          <a:ext cx="9478698" cy="1019317"/>
        </a:xfrm>
        <a:prstGeom prst="rect">
          <a:avLst/>
        </a:prstGeom>
      </xdr:spPr>
    </xdr:pic>
    <xdr:clientData/>
  </xdr:twoCellAnchor>
  <xdr:twoCellAnchor editAs="oneCell">
    <xdr:from>
      <xdr:col>12</xdr:col>
      <xdr:colOff>270711</xdr:colOff>
      <xdr:row>52</xdr:row>
      <xdr:rowOff>180473</xdr:rowOff>
    </xdr:from>
    <xdr:to>
      <xdr:col>20</xdr:col>
      <xdr:colOff>12458</xdr:colOff>
      <xdr:row>64</xdr:row>
      <xdr:rowOff>156212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DAD557-451E-D0E0-90B6-F25162CB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7027" y="10036341"/>
          <a:ext cx="6639852" cy="2181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576943</xdr:colOff>
      <xdr:row>52</xdr:row>
      <xdr:rowOff>141515</xdr:rowOff>
    </xdr:from>
    <xdr:to>
      <xdr:col>28</xdr:col>
      <xdr:colOff>443555</xdr:colOff>
      <xdr:row>58</xdr:row>
      <xdr:rowOff>50489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B92FE-B035-F900-9530-F5422117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93343" y="10134601"/>
          <a:ext cx="9478698" cy="10193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17</xdr:col>
      <xdr:colOff>32224</xdr:colOff>
      <xdr:row>59</xdr:row>
      <xdr:rowOff>145900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9F734-BB3F-C065-6CDE-624C6DD76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5543" y="9252857"/>
          <a:ext cx="6639852" cy="21815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574623</xdr:colOff>
      <xdr:row>52</xdr:row>
      <xdr:rowOff>137409</xdr:rowOff>
    </xdr:from>
    <xdr:to>
      <xdr:col>31</xdr:col>
      <xdr:colOff>172305</xdr:colOff>
      <xdr:row>58</xdr:row>
      <xdr:rowOff>32464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827162-865B-EDC1-25C0-4C977F5E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26918" y="10368196"/>
          <a:ext cx="9478698" cy="10193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18</xdr:col>
      <xdr:colOff>368967</xdr:colOff>
      <xdr:row>57</xdr:row>
      <xdr:rowOff>120382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8851D-48E8-3A9A-05B2-3316CFE24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4328" y="9106525"/>
          <a:ext cx="6639852" cy="21815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51</xdr:row>
      <xdr:rowOff>161925</xdr:rowOff>
    </xdr:from>
    <xdr:to>
      <xdr:col>18</xdr:col>
      <xdr:colOff>209550</xdr:colOff>
      <xdr:row>66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104775</xdr:colOff>
      <xdr:row>52</xdr:row>
      <xdr:rowOff>161925</xdr:rowOff>
    </xdr:from>
    <xdr:to>
      <xdr:col>20</xdr:col>
      <xdr:colOff>209550</xdr:colOff>
      <xdr:row>67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590550</xdr:colOff>
      <xdr:row>5</xdr:row>
      <xdr:rowOff>28575</xdr:rowOff>
    </xdr:from>
    <xdr:to>
      <xdr:col>8</xdr:col>
      <xdr:colOff>990600</xdr:colOff>
      <xdr:row>5</xdr:row>
      <xdr:rowOff>30163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CxnSpPr/>
      </xdr:nvCxnSpPr>
      <xdr:spPr>
        <a:xfrm>
          <a:off x="6610350" y="1009650"/>
          <a:ext cx="40005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5</xdr:row>
      <xdr:rowOff>28575</xdr:rowOff>
    </xdr:from>
    <xdr:to>
      <xdr:col>9</xdr:col>
      <xdr:colOff>981075</xdr:colOff>
      <xdr:row>5</xdr:row>
      <xdr:rowOff>30163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CxnSpPr/>
      </xdr:nvCxnSpPr>
      <xdr:spPr>
        <a:xfrm>
          <a:off x="7724775" y="1009650"/>
          <a:ext cx="40005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384362</xdr:colOff>
      <xdr:row>25</xdr:row>
      <xdr:rowOff>138954</xdr:rowOff>
    </xdr:from>
    <xdr:to>
      <xdr:col>5</xdr:col>
      <xdr:colOff>784412</xdr:colOff>
      <xdr:row>25</xdr:row>
      <xdr:rowOff>140542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CxnSpPr/>
      </xdr:nvCxnSpPr>
      <xdr:spPr>
        <a:xfrm>
          <a:off x="3320303" y="4094630"/>
          <a:ext cx="40005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680198</xdr:colOff>
      <xdr:row>26</xdr:row>
      <xdr:rowOff>151841</xdr:rowOff>
    </xdr:from>
    <xdr:to>
      <xdr:col>5</xdr:col>
      <xdr:colOff>1080248</xdr:colOff>
      <xdr:row>26</xdr:row>
      <xdr:rowOff>153429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CxnSpPr/>
      </xdr:nvCxnSpPr>
      <xdr:spPr>
        <a:xfrm>
          <a:off x="3616139" y="4555753"/>
          <a:ext cx="40005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693085</xdr:colOff>
      <xdr:row>28</xdr:row>
      <xdr:rowOff>151841</xdr:rowOff>
    </xdr:from>
    <xdr:to>
      <xdr:col>5</xdr:col>
      <xdr:colOff>1093135</xdr:colOff>
      <xdr:row>28</xdr:row>
      <xdr:rowOff>153429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>
        <a:xfrm>
          <a:off x="3629026" y="5272929"/>
          <a:ext cx="400050" cy="1588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54429</xdr:colOff>
      <xdr:row>23</xdr:row>
      <xdr:rowOff>32657</xdr:rowOff>
    </xdr:from>
    <xdr:to>
      <xdr:col>26</xdr:col>
      <xdr:colOff>24693</xdr:colOff>
      <xdr:row>24</xdr:row>
      <xdr:rowOff>141557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D99FB6-A6F0-5F81-254D-696776D0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34915" y="4920343"/>
          <a:ext cx="1428949" cy="304843"/>
        </a:xfrm>
        <a:prstGeom prst="rect">
          <a:avLst/>
        </a:prstGeom>
      </xdr:spPr>
    </xdr:pic>
    <xdr:clientData/>
  </xdr:twoCellAnchor>
  <xdr:twoCellAnchor editAs="oneCell">
    <xdr:from>
      <xdr:col>23</xdr:col>
      <xdr:colOff>17929</xdr:colOff>
      <xdr:row>62</xdr:row>
      <xdr:rowOff>44824</xdr:rowOff>
    </xdr:from>
    <xdr:to>
      <xdr:col>31</xdr:col>
      <xdr:colOff>56792</xdr:colOff>
      <xdr:row>67</xdr:row>
      <xdr:rowOff>167670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41267E-4B97-7E43-C057-5AE54A225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84988" y="12864353"/>
          <a:ext cx="9478698" cy="1019317"/>
        </a:xfrm>
        <a:prstGeom prst="rect">
          <a:avLst/>
        </a:prstGeom>
      </xdr:spPr>
    </xdr:pic>
    <xdr:clientData/>
  </xdr:twoCellAnchor>
  <xdr:twoCellAnchor editAs="oneCell">
    <xdr:from>
      <xdr:col>13</xdr:col>
      <xdr:colOff>905436</xdr:colOff>
      <xdr:row>70</xdr:row>
      <xdr:rowOff>80682</xdr:rowOff>
    </xdr:from>
    <xdr:to>
      <xdr:col>18</xdr:col>
      <xdr:colOff>1234135</xdr:colOff>
      <xdr:row>82</xdr:row>
      <xdr:rowOff>74823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C59E47-F1D6-A0F3-DAF6-1E3576BD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7554" y="14343529"/>
          <a:ext cx="6639852" cy="21815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385240</xdr:colOff>
      <xdr:row>0</xdr:row>
      <xdr:rowOff>109975</xdr:rowOff>
    </xdr:from>
    <xdr:to>
      <xdr:col>23</xdr:col>
      <xdr:colOff>30574</xdr:colOff>
      <xdr:row>25</xdr:row>
      <xdr:rowOff>90927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472887</xdr:colOff>
      <xdr:row>1</xdr:row>
      <xdr:rowOff>27118</xdr:rowOff>
    </xdr:from>
    <xdr:to>
      <xdr:col>19</xdr:col>
      <xdr:colOff>430305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261256</xdr:colOff>
      <xdr:row>6</xdr:row>
      <xdr:rowOff>103209</xdr:rowOff>
    </xdr:from>
    <xdr:to>
      <xdr:col>33</xdr:col>
      <xdr:colOff>59656</xdr:colOff>
      <xdr:row>16</xdr:row>
      <xdr:rowOff>91680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476105-0BF8-C04B-7AAC-BF31D4B97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0542" y="1398609"/>
          <a:ext cx="7113600" cy="1947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449580</xdr:colOff>
      <xdr:row>1</xdr:row>
      <xdr:rowOff>38100</xdr:rowOff>
    </xdr:from>
    <xdr:to>
      <xdr:col>20</xdr:col>
      <xdr:colOff>153015</xdr:colOff>
      <xdr:row>10</xdr:row>
      <xdr:rowOff>36094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89533-3F00-4CFC-9DCF-EC0665B7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3980" y="220980"/>
          <a:ext cx="3361035" cy="1643914"/>
        </a:xfrm>
        <a:prstGeom prst="rect">
          <a:avLst/>
        </a:prstGeom>
      </xdr:spPr>
    </xdr:pic>
    <xdr:clientData/>
  </xdr:twoCellAnchor>
  <xdr:twoCellAnchor editAs="oneCell">
    <xdr:from>
      <xdr:col>18</xdr:col>
      <xdr:colOff>559385</xdr:colOff>
      <xdr:row>4</xdr:row>
      <xdr:rowOff>152400</xdr:rowOff>
    </xdr:from>
    <xdr:to>
      <xdr:col>25</xdr:col>
      <xdr:colOff>138939</xdr:colOff>
      <xdr:row>21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328532-FE54-3F4E-AC7D-D18F4D9AD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32185" y="883920"/>
          <a:ext cx="3846754" cy="3009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167640</xdr:colOff>
      <xdr:row>1</xdr:row>
      <xdr:rowOff>99060</xdr:rowOff>
    </xdr:from>
    <xdr:to>
      <xdr:col>21</xdr:col>
      <xdr:colOff>121325</xdr:colOff>
      <xdr:row>7</xdr:row>
      <xdr:rowOff>69750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0BEA0-3841-4A2E-BC1A-AC41D3C6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0" y="281940"/>
          <a:ext cx="3611285" cy="2332890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9</xdr:row>
      <xdr:rowOff>99991</xdr:rowOff>
    </xdr:from>
    <xdr:to>
      <xdr:col>21</xdr:col>
      <xdr:colOff>137663</xdr:colOff>
      <xdr:row>24</xdr:row>
      <xdr:rowOff>76565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BA5111-6B3A-CEAB-7B1B-7CCEDD73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07880" y="3010831"/>
          <a:ext cx="3749543" cy="271977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142245</xdr:colOff>
      <xdr:row>2</xdr:row>
      <xdr:rowOff>1</xdr:rowOff>
    </xdr:from>
    <xdr:to>
      <xdr:col>20</xdr:col>
      <xdr:colOff>365761</xdr:colOff>
      <xdr:row>20</xdr:row>
      <xdr:rowOff>106681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6432D-69A5-2018-EDCA-D3B527076B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9216" r="8501" b="25034"/>
        <a:stretch/>
      </xdr:blipFill>
      <xdr:spPr>
        <a:xfrm>
          <a:off x="5605785" y="365761"/>
          <a:ext cx="9367516" cy="35128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99060</xdr:rowOff>
    </xdr:from>
    <xdr:to>
      <xdr:col>3</xdr:col>
      <xdr:colOff>571500</xdr:colOff>
      <xdr:row>42</xdr:row>
      <xdr:rowOff>134725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AA8D90-75F5-49E4-8E7B-D1BEC8FF8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84820"/>
          <a:ext cx="3329940" cy="13158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41</xdr:row>
      <xdr:rowOff>116680</xdr:rowOff>
    </xdr:from>
    <xdr:to>
      <xdr:col>7</xdr:col>
      <xdr:colOff>1400175</xdr:colOff>
      <xdr:row>52</xdr:row>
      <xdr:rowOff>173830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36839E-F7DC-45D4-B167-0E66532F9708}"/>
            </a:ext>
          </a:extLst>
        </xdr:cNvPr>
        <xdr:cNvSpPr/>
      </xdr:nvSpPr>
      <xdr:spPr>
        <a:xfrm>
          <a:off x="5734050" y="8872060"/>
          <a:ext cx="3971925" cy="251841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/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Debit Inlet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=0.785.Cd.D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.(2g)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.((H/D-α))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Where: Cd = coefficient of discharge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α  = a constant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D  = culvert inside diameter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g  = gravity = 9.81 m/sec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H  = Head water depth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Value of Cd &amp; α for H/D </a:t>
          </a:r>
          <a:r>
            <a:rPr lang="en-US" sz="11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1.5, can be obtained from table 2, so Qc can be calculated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Value of α for H/D &lt; 1.5, the value of Q/D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can be seen from the graphic Q/ 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 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(see Fig. 3), then calculate Q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542925</xdr:colOff>
      <xdr:row>54</xdr:row>
      <xdr:rowOff>9525</xdr:rowOff>
    </xdr:from>
    <xdr:to>
      <xdr:col>5</xdr:col>
      <xdr:colOff>640977</xdr:colOff>
      <xdr:row>72</xdr:row>
      <xdr:rowOff>73027</xdr:rowOff>
    </xdr:to>
    <xdr:pic>
      <xdr:nvPicPr>
        <xdr:cNvPr id="3" name="Picture 2" descr="8">
          <a:extLst>
            <a:ext uri="{FF2B5EF4-FFF2-40B4-BE49-F238E27FC236}">
              <a16:creationId xmlns:a16="http://schemas.microsoft.com/office/drawing/2014/main" id="{9000222E-2001-47E3-87ED-3823F52F64B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675745"/>
          <a:ext cx="5248275" cy="33553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495300</xdr:colOff>
      <xdr:row>72</xdr:row>
      <xdr:rowOff>28575</xdr:rowOff>
    </xdr:from>
    <xdr:to>
      <xdr:col>4</xdr:col>
      <xdr:colOff>24234</xdr:colOff>
      <xdr:row>96</xdr:row>
      <xdr:rowOff>51753</xdr:rowOff>
    </xdr:to>
    <xdr:pic>
      <xdr:nvPicPr>
        <xdr:cNvPr id="4" name="Picture 3" descr="yc table">
          <a:extLst>
            <a:ext uri="{FF2B5EF4-FFF2-40B4-BE49-F238E27FC236}">
              <a16:creationId xmlns:a16="http://schemas.microsoft.com/office/drawing/2014/main" id="{80335E4D-B12C-43DA-B170-094E0F69429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5078075"/>
          <a:ext cx="4069557" cy="4412298"/>
        </a:xfrm>
        <a:prstGeom prst="rect">
          <a:avLst/>
        </a:prstGeom>
        <a:noFill/>
      </xdr:spPr>
    </xdr:pic>
    <xdr:clientData/>
  </xdr:twoCellAnchor>
  <xdr:twoCellAnchor>
    <xdr:from>
      <xdr:col>5</xdr:col>
      <xdr:colOff>714375</xdr:colOff>
      <xdr:row>53</xdr:row>
      <xdr:rowOff>152400</xdr:rowOff>
    </xdr:from>
    <xdr:to>
      <xdr:col>7</xdr:col>
      <xdr:colOff>1415143</xdr:colOff>
      <xdr:row>67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B50B72-2B25-461D-B6B2-8635DF3E86E2}"/>
            </a:ext>
          </a:extLst>
        </xdr:cNvPr>
        <xdr:cNvSpPr/>
      </xdr:nvSpPr>
      <xdr:spPr>
        <a:xfrm>
          <a:off x="5667375" y="11574780"/>
          <a:ext cx="4053568" cy="257937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Debit Outlet</a:t>
          </a:r>
          <a:endParaRPr lang="en-US">
            <a:solidFill>
              <a:sysClr val="windowText" lastClr="000000"/>
            </a:solidFill>
            <a:effectLst/>
          </a:endParaRP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 = (2.g. (H + S.L – dt)) /( Ke + Kf + Ko)))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Where: V   = Water flow velocity (m/s)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S   = culvert slope = </a:t>
          </a:r>
          <a:r>
            <a:rPr lang="en-AU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AU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uppervalue 0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L   = culver length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dt  = tailwater depth (use either y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tw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or y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Ke, Kf, Ko; energy loss coefficient due to inlet, storage and outlet respectively 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Kf  = 2.g.n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.L/R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4/3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Ke = see table 3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Ko = 1 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n  = manning’s number, see table 5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  = Hydraulic radius = D/4</a:t>
          </a:r>
        </a:p>
        <a:p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en-AU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culvert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= AV</a:t>
          </a:r>
        </a:p>
        <a:p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27214</xdr:colOff>
      <xdr:row>41</xdr:row>
      <xdr:rowOff>81643</xdr:rowOff>
    </xdr:from>
    <xdr:to>
      <xdr:col>11</xdr:col>
      <xdr:colOff>893989</xdr:colOff>
      <xdr:row>51</xdr:row>
      <xdr:rowOff>209565</xdr:rowOff>
    </xdr:to>
    <xdr:pic>
      <xdr:nvPicPr>
        <xdr:cNvPr id="6" name="Picture 5" descr="2">
          <a:extLst>
            <a:ext uri="{FF2B5EF4-FFF2-40B4-BE49-F238E27FC236}">
              <a16:creationId xmlns:a16="http://schemas.microsoft.com/office/drawing/2014/main" id="{32D75D19-6304-4335-92BA-8C21EFAB6D63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2734" y="8837023"/>
          <a:ext cx="4189095" cy="18132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27215</xdr:colOff>
      <xdr:row>53</xdr:row>
      <xdr:rowOff>176893</xdr:rowOff>
    </xdr:from>
    <xdr:to>
      <xdr:col>10</xdr:col>
      <xdr:colOff>205469</xdr:colOff>
      <xdr:row>63</xdr:row>
      <xdr:rowOff>124824</xdr:rowOff>
    </xdr:to>
    <xdr:pic>
      <xdr:nvPicPr>
        <xdr:cNvPr id="7" name="Picture 6" descr="3">
          <a:extLst>
            <a:ext uri="{FF2B5EF4-FFF2-40B4-BE49-F238E27FC236}">
              <a16:creationId xmlns:a16="http://schemas.microsoft.com/office/drawing/2014/main" id="{6B63BCB6-C6C1-42E3-86FE-ABB3B10ADA46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2735" y="11599273"/>
          <a:ext cx="2563313" cy="177673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816428</xdr:colOff>
      <xdr:row>15</xdr:row>
      <xdr:rowOff>198247</xdr:rowOff>
    </xdr:from>
    <xdr:to>
      <xdr:col>9</xdr:col>
      <xdr:colOff>1183143</xdr:colOff>
      <xdr:row>28</xdr:row>
      <xdr:rowOff>105754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9FEF4FE-E9CA-4828-91C5-6643D9987690}"/>
            </a:ext>
          </a:extLst>
        </xdr:cNvPr>
        <xdr:cNvSpPr/>
      </xdr:nvSpPr>
      <xdr:spPr>
        <a:xfrm>
          <a:off x="7544888" y="3307207"/>
          <a:ext cx="4123375" cy="2597367"/>
        </a:xfrm>
        <a:prstGeom prst="rect">
          <a:avLst/>
        </a:prstGeom>
        <a:ln>
          <a:solidFill>
            <a:srgbClr val="0070C0"/>
          </a:solidFill>
        </a:ln>
      </xdr:spPr>
      <xdr:txBody>
        <a:bodyPr wrap="square" lIns="86585" tIns="43292" rIns="86585" bIns="43292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en-US" sz="1300" b="1">
              <a:latin typeface="Trebuchet MS" pitchFamily="34" charset="0"/>
            </a:rPr>
            <a:t>Parameter Dimensi Channel</a:t>
          </a:r>
          <a:r>
            <a:rPr lang="id-ID" sz="1300" b="1">
              <a:latin typeface="Trebuchet MS" pitchFamily="34" charset="0"/>
            </a:rPr>
            <a:t> :</a:t>
          </a:r>
          <a:endParaRPr lang="en-US" sz="1300" b="1">
            <a:latin typeface="Trebuchet MS" pitchFamily="34" charset="0"/>
          </a:endParaRPr>
        </a:p>
        <a:p>
          <a:pPr lvl="0"/>
          <a:endParaRPr lang="en-US" sz="1300">
            <a:latin typeface="Trebuchet MS" pitchFamily="34" charset="0"/>
          </a:endParaRPr>
        </a:p>
        <a:p>
          <a:pPr lvl="0">
            <a:lnSpc>
              <a:spcPct val="150000"/>
            </a:lnSpc>
          </a:pPr>
          <a:r>
            <a:rPr lang="id-ID" sz="1300">
              <a:latin typeface="Trebuchet MS" pitchFamily="34" charset="0"/>
            </a:rPr>
            <a:t>y</a:t>
          </a:r>
          <a:r>
            <a:rPr lang="en-US" sz="1300">
              <a:latin typeface="Trebuchet MS" pitchFamily="34" charset="0"/>
            </a:rPr>
            <a:t> = Kedalaman Aliran (</a:t>
          </a:r>
          <a:r>
            <a:rPr lang="en-US" sz="1300" i="1">
              <a:latin typeface="Trebuchet MS" pitchFamily="34" charset="0"/>
            </a:rPr>
            <a:t>depth of flow</a:t>
          </a:r>
          <a:r>
            <a:rPr lang="en-US" sz="1300">
              <a:latin typeface="Trebuchet MS" pitchFamily="34" charset="0"/>
            </a:rPr>
            <a:t>) (m)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B = Lebar dasar (</a:t>
          </a:r>
          <a:r>
            <a:rPr lang="en-US" sz="1300" i="1">
              <a:latin typeface="Trebuchet MS" pitchFamily="34" charset="0"/>
            </a:rPr>
            <a:t>bed width</a:t>
          </a:r>
          <a:r>
            <a:rPr lang="en-US" sz="1300">
              <a:latin typeface="Trebuchet MS" pitchFamily="34" charset="0"/>
            </a:rPr>
            <a:t>) (m) </a:t>
          </a:r>
        </a:p>
        <a:p>
          <a:pPr lvl="0">
            <a:lnSpc>
              <a:spcPct val="150000"/>
            </a:lnSpc>
          </a:pPr>
          <a:r>
            <a:rPr lang="id-ID" sz="1300">
              <a:latin typeface="Trebuchet MS" pitchFamily="34" charset="0"/>
            </a:rPr>
            <a:t>m</a:t>
          </a:r>
          <a:r>
            <a:rPr lang="en-US" sz="1300">
              <a:latin typeface="Trebuchet MS" pitchFamily="34" charset="0"/>
            </a:rPr>
            <a:t> = Kemiringan dinding (</a:t>
          </a:r>
          <a:r>
            <a:rPr lang="en-US" sz="1300" i="1">
              <a:latin typeface="Trebuchet MS" pitchFamily="34" charset="0"/>
            </a:rPr>
            <a:t>side slope</a:t>
          </a:r>
          <a:r>
            <a:rPr lang="en-US" sz="1300">
              <a:latin typeface="Trebuchet MS" pitchFamily="34" charset="0"/>
            </a:rPr>
            <a:t>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T = Lebar puncak (</a:t>
          </a:r>
          <a:r>
            <a:rPr lang="en-US" sz="1300" i="1">
              <a:latin typeface="Trebuchet MS" pitchFamily="34" charset="0"/>
            </a:rPr>
            <a:t>top width</a:t>
          </a:r>
          <a:r>
            <a:rPr lang="en-US" sz="1300">
              <a:latin typeface="Trebuchet MS" pitchFamily="34" charset="0"/>
            </a:rPr>
            <a:t>) (m)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A = Luas basah (</a:t>
          </a:r>
          <a:r>
            <a:rPr lang="en-US" sz="1300" i="1">
              <a:latin typeface="Trebuchet MS" pitchFamily="34" charset="0"/>
            </a:rPr>
            <a:t>water area)</a:t>
          </a:r>
          <a:r>
            <a:rPr lang="en-US" sz="1300">
              <a:latin typeface="Trebuchet MS" pitchFamily="34" charset="0"/>
            </a:rPr>
            <a:t> (</a:t>
          </a:r>
          <a:r>
            <a:rPr lang="id-ID" sz="1300">
              <a:latin typeface="Trebuchet MS" pitchFamily="34" charset="0"/>
            </a:rPr>
            <a:t>m</a:t>
          </a:r>
          <a:r>
            <a:rPr lang="id-ID" sz="1300" baseline="30000">
              <a:latin typeface="Trebuchet MS" pitchFamily="34" charset="0"/>
            </a:rPr>
            <a:t>2</a:t>
          </a:r>
          <a:r>
            <a:rPr lang="en-US" sz="1300">
              <a:latin typeface="Trebuchet MS" pitchFamily="34" charset="0"/>
            </a:rPr>
            <a:t>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P = Keliling basah (</a:t>
          </a:r>
          <a:r>
            <a:rPr lang="en-US" sz="1300" i="1">
              <a:latin typeface="Trebuchet MS" pitchFamily="34" charset="0"/>
            </a:rPr>
            <a:t>wetted perimeter</a:t>
          </a:r>
          <a:r>
            <a:rPr lang="en-US" sz="1300">
              <a:latin typeface="Trebuchet MS" pitchFamily="34" charset="0"/>
            </a:rPr>
            <a:t>) (m) </a:t>
          </a:r>
        </a:p>
        <a:p>
          <a:pPr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R = Jari-jari hidraulik (</a:t>
          </a:r>
          <a:r>
            <a:rPr lang="en-US" sz="1300" i="1">
              <a:latin typeface="Trebuchet MS" pitchFamily="34" charset="0"/>
            </a:rPr>
            <a:t>hydraulic radius</a:t>
          </a:r>
          <a:r>
            <a:rPr lang="en-US" sz="1300">
              <a:latin typeface="Trebuchet MS" pitchFamily="34" charset="0"/>
            </a:rPr>
            <a:t>) (m) </a:t>
          </a:r>
        </a:p>
      </xdr:txBody>
    </xdr:sp>
    <xdr:clientData/>
  </xdr:twoCellAnchor>
  <xdr:twoCellAnchor editAs="oneCell">
    <xdr:from>
      <xdr:col>9</xdr:col>
      <xdr:colOff>1308403</xdr:colOff>
      <xdr:row>18</xdr:row>
      <xdr:rowOff>24008</xdr:rowOff>
    </xdr:from>
    <xdr:to>
      <xdr:col>11</xdr:col>
      <xdr:colOff>1594952</xdr:colOff>
      <xdr:row>31</xdr:row>
      <xdr:rowOff>35452</xdr:rowOff>
    </xdr:to>
    <xdr:pic>
      <xdr:nvPicPr>
        <xdr:cNvPr id="9" name="table">
          <a:extLst>
            <a:ext uri="{FF2B5EF4-FFF2-40B4-BE49-F238E27FC236}">
              <a16:creationId xmlns:a16="http://schemas.microsoft.com/office/drawing/2014/main" id="{EB570D12-6F8E-4D59-9861-3A528944E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93523" y="3765428"/>
          <a:ext cx="2999269" cy="2388884"/>
        </a:xfrm>
        <a:prstGeom prst="rect">
          <a:avLst/>
        </a:prstGeom>
      </xdr:spPr>
    </xdr:pic>
    <xdr:clientData/>
  </xdr:twoCellAnchor>
  <xdr:twoCellAnchor>
    <xdr:from>
      <xdr:col>9</xdr:col>
      <xdr:colOff>1429567</xdr:colOff>
      <xdr:row>15</xdr:row>
      <xdr:rowOff>213752</xdr:rowOff>
    </xdr:from>
    <xdr:to>
      <xdr:col>11</xdr:col>
      <xdr:colOff>1570155</xdr:colOff>
      <xdr:row>17</xdr:row>
      <xdr:rowOff>202526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88F7236-A149-4E78-B383-E776843B714D}"/>
            </a:ext>
          </a:extLst>
        </xdr:cNvPr>
        <xdr:cNvSpPr>
          <a:spLocks noChangeArrowheads="1"/>
        </xdr:cNvSpPr>
      </xdr:nvSpPr>
      <xdr:spPr bwMode="auto">
        <a:xfrm>
          <a:off x="11914687" y="3322712"/>
          <a:ext cx="2853308" cy="415494"/>
        </a:xfrm>
        <a:prstGeom prst="rect">
          <a:avLst/>
        </a:prstGeom>
        <a:noFill/>
        <a:ln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vert="horz" wrap="square" lIns="86585" tIns="43292" rIns="86585" bIns="43292" numCol="1" anchor="ctr" anchorCtr="0" compatLnSpc="1">
          <a:prstTxWarp prst="textNoShape">
            <a:avLst/>
          </a:prstTxWarp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865845">
            <a:tabLst>
              <a:tab pos="225481" algn="l"/>
            </a:tabLst>
          </a:pP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Koefisien Ke</a:t>
          </a:r>
          <a:r>
            <a:rPr lang="en-US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kasar</a:t>
          </a: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an Dinding Saluran </a:t>
          </a:r>
          <a:endParaRPr lang="en-US" altLang="en-US" sz="1050" b="1">
            <a:latin typeface="Trebuchet MS" pitchFamily="34" charset="0"/>
            <a:ea typeface="Calibri" pitchFamily="34" charset="0"/>
            <a:cs typeface="Times New Roman" pitchFamily="18" charset="0"/>
          </a:endParaRPr>
        </a:p>
        <a:p>
          <a:pPr algn="ctr" defTabSz="865845">
            <a:tabLst>
              <a:tab pos="225481" algn="l"/>
            </a:tabLst>
          </a:pP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Menurut </a:t>
          </a:r>
          <a:r>
            <a:rPr lang="id-ID" altLang="en-US" sz="1050" b="1" i="1">
              <a:latin typeface="Trebuchet MS" pitchFamily="34" charset="0"/>
              <a:ea typeface="Calibri" pitchFamily="34" charset="0"/>
              <a:cs typeface="Times New Roman" pitchFamily="18" charset="0"/>
            </a:rPr>
            <a:t>Manning</a:t>
          </a:r>
          <a:endParaRPr lang="en-US" altLang="en-US" sz="1050">
            <a:latin typeface="Trebuchet MS" pitchFamily="34" charset="0"/>
          </a:endParaRPr>
        </a:p>
      </xdr:txBody>
    </xdr:sp>
    <xdr:clientData/>
  </xdr:twoCellAnchor>
  <xdr:twoCellAnchor>
    <xdr:from>
      <xdr:col>9</xdr:col>
      <xdr:colOff>1225362</xdr:colOff>
      <xdr:row>2</xdr:row>
      <xdr:rowOff>108857</xdr:rowOff>
    </xdr:from>
    <xdr:to>
      <xdr:col>11</xdr:col>
      <xdr:colOff>1633577</xdr:colOff>
      <xdr:row>15</xdr:row>
      <xdr:rowOff>19359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0601B1F-3F3D-41A9-A788-D4600AF40DF6}"/>
            </a:ext>
          </a:extLst>
        </xdr:cNvPr>
        <xdr:cNvSpPr/>
      </xdr:nvSpPr>
      <xdr:spPr>
        <a:xfrm>
          <a:off x="11710482" y="482237"/>
          <a:ext cx="3120935" cy="2646082"/>
        </a:xfrm>
        <a:prstGeom prst="rect">
          <a:avLst/>
        </a:prstGeom>
        <a:ln>
          <a:solidFill>
            <a:srgbClr val="0070C0"/>
          </a:solidFill>
        </a:ln>
      </xdr:spPr>
      <xdr:txBody>
        <a:bodyPr wrap="square" lIns="86585" tIns="43292" rIns="86585" bIns="43292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Rumus </a:t>
          </a:r>
          <a:r>
            <a:rPr lang="id-ID" sz="1200" i="1">
              <a:latin typeface="Trebuchet MS" pitchFamily="34" charset="0"/>
            </a:rPr>
            <a:t>Manning</a:t>
          </a:r>
          <a:r>
            <a:rPr lang="id-ID" sz="1200">
              <a:latin typeface="Trebuchet MS" pitchFamily="34" charset="0"/>
            </a:rPr>
            <a:t>, yaitu :</a:t>
          </a:r>
        </a:p>
        <a:p>
          <a:pPr>
            <a:lnSpc>
              <a:spcPct val="150000"/>
            </a:lnSpc>
          </a:pPr>
          <a:r>
            <a:rPr lang="id-ID" sz="1400">
              <a:latin typeface="Trebuchet MS" pitchFamily="34" charset="0"/>
            </a:rPr>
            <a:t>Q = 1/n . A . S</a:t>
          </a:r>
          <a:r>
            <a:rPr lang="id-ID" sz="1400" baseline="30000">
              <a:latin typeface="Trebuchet MS" pitchFamily="34" charset="0"/>
            </a:rPr>
            <a:t>1/2</a:t>
          </a:r>
          <a:r>
            <a:rPr lang="id-ID" sz="1400">
              <a:latin typeface="Trebuchet MS" pitchFamily="34" charset="0"/>
            </a:rPr>
            <a:t> . R</a:t>
          </a:r>
          <a:r>
            <a:rPr lang="id-ID" sz="1400" baseline="30000">
              <a:latin typeface="Trebuchet MS" pitchFamily="34" charset="0"/>
            </a:rPr>
            <a:t>2/3</a:t>
          </a:r>
          <a:r>
            <a:rPr lang="id-ID" sz="1400">
              <a:latin typeface="Trebuchet MS" pitchFamily="34" charset="0"/>
            </a:rPr>
            <a:t> </a:t>
          </a:r>
          <a:r>
            <a:rPr lang="en-US" sz="1400">
              <a:latin typeface="Trebuchet MS" pitchFamily="34" charset="0"/>
            </a:rPr>
            <a:t>(m</a:t>
          </a:r>
          <a:r>
            <a:rPr lang="en-US" sz="1400" baseline="30000">
              <a:latin typeface="Trebuchet MS" pitchFamily="34" charset="0"/>
            </a:rPr>
            <a:t>3</a:t>
          </a:r>
          <a:r>
            <a:rPr lang="en-US" sz="1400">
              <a:latin typeface="Trebuchet MS" pitchFamily="34" charset="0"/>
            </a:rPr>
            <a:t>/</a:t>
          </a:r>
          <a:r>
            <a:rPr lang="id-ID" sz="1400">
              <a:latin typeface="Trebuchet MS" pitchFamily="34" charset="0"/>
            </a:rPr>
            <a:t>sec)</a:t>
          </a:r>
        </a:p>
        <a:p>
          <a:pPr>
            <a:lnSpc>
              <a:spcPct val="150000"/>
            </a:lnSpc>
          </a:pPr>
          <a:endParaRPr lang="en-US" sz="14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Keterangan :</a:t>
          </a: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Q = </a:t>
          </a:r>
          <a:r>
            <a:rPr lang="en-US" sz="1200">
              <a:latin typeface="Trebuchet MS" pitchFamily="34" charset="0"/>
            </a:rPr>
            <a:t>D</a:t>
          </a:r>
          <a:r>
            <a:rPr lang="id-ID" sz="1200">
              <a:latin typeface="Trebuchet MS" pitchFamily="34" charset="0"/>
            </a:rPr>
            <a:t>ebit </a:t>
          </a:r>
          <a:r>
            <a:rPr lang="en-US" sz="1200">
              <a:latin typeface="Trebuchet MS" pitchFamily="34" charset="0"/>
            </a:rPr>
            <a:t>saluran</a:t>
          </a:r>
          <a:r>
            <a:rPr lang="id-ID" sz="1200">
              <a:latin typeface="Trebuchet MS" pitchFamily="34" charset="0"/>
            </a:rPr>
            <a:t> maksimum (m</a:t>
          </a:r>
          <a:r>
            <a:rPr lang="id-ID" sz="1200" baseline="30000">
              <a:latin typeface="Trebuchet MS" pitchFamily="34" charset="0"/>
            </a:rPr>
            <a:t>3</a:t>
          </a:r>
          <a:r>
            <a:rPr lang="id-ID" sz="1200">
              <a:latin typeface="Trebuchet MS" pitchFamily="34" charset="0"/>
            </a:rPr>
            <a:t>/detik)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A = </a:t>
          </a:r>
          <a:r>
            <a:rPr lang="en-US" sz="1200">
              <a:latin typeface="Trebuchet MS" pitchFamily="34" charset="0"/>
            </a:rPr>
            <a:t>L</a:t>
          </a:r>
          <a:r>
            <a:rPr lang="id-ID" sz="1200">
              <a:latin typeface="Trebuchet MS" pitchFamily="34" charset="0"/>
            </a:rPr>
            <a:t>uas penampang (m</a:t>
          </a:r>
          <a:r>
            <a:rPr lang="id-ID" sz="1200" baseline="30000">
              <a:latin typeface="Trebuchet MS" pitchFamily="34" charset="0"/>
            </a:rPr>
            <a:t>2</a:t>
          </a:r>
          <a:r>
            <a:rPr lang="id-ID" sz="1200">
              <a:latin typeface="Trebuchet MS" pitchFamily="34" charset="0"/>
            </a:rPr>
            <a:t>) 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S = </a:t>
          </a:r>
          <a:r>
            <a:rPr lang="en-US" sz="1200">
              <a:latin typeface="Trebuchet MS" pitchFamily="34" charset="0"/>
            </a:rPr>
            <a:t>K</a:t>
          </a:r>
          <a:r>
            <a:rPr lang="id-ID" sz="1200">
              <a:latin typeface="Trebuchet MS" pitchFamily="34" charset="0"/>
            </a:rPr>
            <a:t>emiringan dasar saluran (%)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R = </a:t>
          </a:r>
          <a:r>
            <a:rPr lang="en-US" sz="1200">
              <a:latin typeface="Trebuchet MS" pitchFamily="34" charset="0"/>
            </a:rPr>
            <a:t>J</a:t>
          </a:r>
          <a:r>
            <a:rPr lang="id-ID" sz="1200">
              <a:latin typeface="Trebuchet MS" pitchFamily="34" charset="0"/>
            </a:rPr>
            <a:t>ari</a:t>
          </a:r>
          <a:r>
            <a:rPr lang="en-US" sz="1200">
              <a:latin typeface="Trebuchet MS" pitchFamily="34" charset="0"/>
            </a:rPr>
            <a:t> – </a:t>
          </a:r>
          <a:r>
            <a:rPr lang="id-ID" sz="1200">
              <a:latin typeface="Trebuchet MS" pitchFamily="34" charset="0"/>
            </a:rPr>
            <a:t>jari hidrolis (m)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n  </a:t>
          </a:r>
          <a:r>
            <a:rPr lang="id-ID" sz="1200">
              <a:latin typeface="Trebuchet MS" pitchFamily="34" charset="0"/>
            </a:rPr>
            <a:t>= </a:t>
          </a:r>
          <a:r>
            <a:rPr lang="en-US" sz="1200">
              <a:latin typeface="Trebuchet MS" pitchFamily="34" charset="0"/>
            </a:rPr>
            <a:t>K</a:t>
          </a:r>
          <a:r>
            <a:rPr lang="id-ID" sz="1200">
              <a:latin typeface="Trebuchet MS" pitchFamily="34" charset="0"/>
            </a:rPr>
            <a:t>oefisien ke</a:t>
          </a:r>
          <a:r>
            <a:rPr lang="en-US" sz="1200">
              <a:latin typeface="Trebuchet MS" pitchFamily="34" charset="0"/>
            </a:rPr>
            <a:t>kasar</a:t>
          </a:r>
          <a:r>
            <a:rPr lang="id-ID" sz="1200">
              <a:latin typeface="Trebuchet MS" pitchFamily="34" charset="0"/>
            </a:rPr>
            <a:t>an dinding saluran</a:t>
          </a:r>
          <a:endParaRPr lang="en-US" sz="1200">
            <a:latin typeface="Trebuchet MS" pitchFamily="34" charset="0"/>
          </a:endParaRPr>
        </a:p>
      </xdr:txBody>
    </xdr:sp>
    <xdr:clientData/>
  </xdr:twoCellAnchor>
  <xdr:twoCellAnchor editAs="oneCell">
    <xdr:from>
      <xdr:col>5</xdr:col>
      <xdr:colOff>520091</xdr:colOff>
      <xdr:row>3</xdr:row>
      <xdr:rowOff>133482</xdr:rowOff>
    </xdr:from>
    <xdr:to>
      <xdr:col>7</xdr:col>
      <xdr:colOff>1249014</xdr:colOff>
      <xdr:row>15</xdr:row>
      <xdr:rowOff>156565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A3A3B90-4C3C-4976-A231-A3B8311AC99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t="21014"/>
        <a:stretch>
          <a:fillRect/>
        </a:stretch>
      </xdr:blipFill>
      <xdr:spPr bwMode="auto">
        <a:xfrm>
          <a:off x="5473091" y="712602"/>
          <a:ext cx="4081723" cy="2217643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69000</xdr:colOff>
      <xdr:row>16</xdr:row>
      <xdr:rowOff>195143</xdr:rowOff>
    </xdr:from>
    <xdr:to>
      <xdr:col>5</xdr:col>
      <xdr:colOff>1327657</xdr:colOff>
      <xdr:row>24</xdr:row>
      <xdr:rowOff>122464</xdr:rowOff>
    </xdr:to>
    <xdr:cxnSp macro="">
      <xdr:nvCxnSpPr>
        <xdr:cNvPr id="15" name="Elbow Connector 20">
          <a:extLst>
            <a:ext uri="{FF2B5EF4-FFF2-40B4-BE49-F238E27FC236}">
              <a16:creationId xmlns:a16="http://schemas.microsoft.com/office/drawing/2014/main" id="{79CAF7AC-7741-4748-A195-89E746C2181A}"/>
            </a:ext>
          </a:extLst>
        </xdr:cNvPr>
        <xdr:cNvCxnSpPr>
          <a:cxnSpLocks/>
        </xdr:cNvCxnSpPr>
      </xdr:nvCxnSpPr>
      <xdr:spPr>
        <a:xfrm rot="16200000" flipV="1">
          <a:off x="4549151" y="3388781"/>
          <a:ext cx="1585791" cy="1868257"/>
        </a:xfrm>
        <a:prstGeom prst="bentConnector2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80683</xdr:colOff>
      <xdr:row>24</xdr:row>
      <xdr:rowOff>202476</xdr:rowOff>
    </xdr:from>
    <xdr:to>
      <xdr:col>5</xdr:col>
      <xdr:colOff>1333501</xdr:colOff>
      <xdr:row>52</xdr:row>
      <xdr:rowOff>188258</xdr:rowOff>
    </xdr:to>
    <xdr:cxnSp macro="">
      <xdr:nvCxnSpPr>
        <xdr:cNvPr id="16" name="Elbow Connector 20">
          <a:extLst>
            <a:ext uri="{FF2B5EF4-FFF2-40B4-BE49-F238E27FC236}">
              <a16:creationId xmlns:a16="http://schemas.microsoft.com/office/drawing/2014/main" id="{9AA3B371-0676-460A-974E-8AB332BF0AED}"/>
            </a:ext>
          </a:extLst>
        </xdr:cNvPr>
        <xdr:cNvCxnSpPr/>
      </xdr:nvCxnSpPr>
      <xdr:spPr>
        <a:xfrm rot="5400000">
          <a:off x="2242683" y="7372735"/>
          <a:ext cx="6216253" cy="1862418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272527</xdr:colOff>
      <xdr:row>66</xdr:row>
      <xdr:rowOff>51995</xdr:rowOff>
    </xdr:from>
    <xdr:to>
      <xdr:col>1</xdr:col>
      <xdr:colOff>1061421</xdr:colOff>
      <xdr:row>66</xdr:row>
      <xdr:rowOff>51995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CF001F2-E77B-EE3B-5B0B-11D1DC18B7DA}"/>
            </a:ext>
          </a:extLst>
        </xdr:cNvPr>
        <xdr:cNvCxnSpPr/>
      </xdr:nvCxnSpPr>
      <xdr:spPr>
        <a:xfrm>
          <a:off x="882127" y="13790855"/>
          <a:ext cx="7888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1085850</xdr:colOff>
      <xdr:row>66</xdr:row>
      <xdr:rowOff>78834</xdr:rowOff>
    </xdr:from>
    <xdr:to>
      <xdr:col>1</xdr:col>
      <xdr:colOff>1094534</xdr:colOff>
      <xdr:row>70</xdr:row>
      <xdr:rowOff>62865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85A969A-E6E0-46CB-A516-D2A3661C6DDB}"/>
            </a:ext>
          </a:extLst>
        </xdr:cNvPr>
        <xdr:cNvCxnSpPr/>
      </xdr:nvCxnSpPr>
      <xdr:spPr>
        <a:xfrm flipH="1">
          <a:off x="1695450" y="13817694"/>
          <a:ext cx="8684" cy="7155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41</xdr:row>
      <xdr:rowOff>116680</xdr:rowOff>
    </xdr:from>
    <xdr:to>
      <xdr:col>7</xdr:col>
      <xdr:colOff>1400175</xdr:colOff>
      <xdr:row>52</xdr:row>
      <xdr:rowOff>173830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5EA4C7-647D-4D59-844C-3AED670A21C3}"/>
            </a:ext>
          </a:extLst>
        </xdr:cNvPr>
        <xdr:cNvSpPr/>
      </xdr:nvSpPr>
      <xdr:spPr>
        <a:xfrm>
          <a:off x="5924550" y="8780620"/>
          <a:ext cx="3971925" cy="239649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/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Debit Inlet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=0.785.Cd.D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.(2g)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.((H/D-α))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Where: Cd = coefficient of discharge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α  = a constant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D  = culvert inside diameter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g  = gravity = 9.81 m/sec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H  = Head water depth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Value of Cd &amp; α for H/D </a:t>
          </a:r>
          <a:r>
            <a:rPr lang="en-US" sz="11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1.5, can be obtained from table 2, so Qc can be calculated</a:t>
          </a: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Value of α for H/D &lt; 1.5, the value of Q/D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can be seen from the graphic Q/ D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5/2 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(see Fig. 3), then calculate Q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542925</xdr:colOff>
      <xdr:row>54</xdr:row>
      <xdr:rowOff>9525</xdr:rowOff>
    </xdr:from>
    <xdr:to>
      <xdr:col>5</xdr:col>
      <xdr:colOff>640977</xdr:colOff>
      <xdr:row>72</xdr:row>
      <xdr:rowOff>73027</xdr:rowOff>
    </xdr:to>
    <xdr:pic>
      <xdr:nvPicPr>
        <xdr:cNvPr id="3" name="Picture 2" descr="8">
          <a:extLst>
            <a:ext uri="{FF2B5EF4-FFF2-40B4-BE49-F238E27FC236}">
              <a16:creationId xmlns:a16="http://schemas.microsoft.com/office/drawing/2014/main" id="{9377B593-46A9-4BE6-9C0A-5C1BDBBA77C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462385"/>
          <a:ext cx="5241552" cy="34467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495300</xdr:colOff>
      <xdr:row>72</xdr:row>
      <xdr:rowOff>28575</xdr:rowOff>
    </xdr:from>
    <xdr:to>
      <xdr:col>4</xdr:col>
      <xdr:colOff>24234</xdr:colOff>
      <xdr:row>96</xdr:row>
      <xdr:rowOff>51753</xdr:rowOff>
    </xdr:to>
    <xdr:pic>
      <xdr:nvPicPr>
        <xdr:cNvPr id="4" name="Picture 3" descr="yc table">
          <a:extLst>
            <a:ext uri="{FF2B5EF4-FFF2-40B4-BE49-F238E27FC236}">
              <a16:creationId xmlns:a16="http://schemas.microsoft.com/office/drawing/2014/main" id="{1F3F28D5-27D7-4817-8058-6EED35EB6DF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4864715"/>
          <a:ext cx="4062834" cy="4458018"/>
        </a:xfrm>
        <a:prstGeom prst="rect">
          <a:avLst/>
        </a:prstGeom>
        <a:noFill/>
      </xdr:spPr>
    </xdr:pic>
    <xdr:clientData/>
  </xdr:twoCellAnchor>
  <xdr:twoCellAnchor>
    <xdr:from>
      <xdr:col>5</xdr:col>
      <xdr:colOff>714375</xdr:colOff>
      <xdr:row>53</xdr:row>
      <xdr:rowOff>152400</xdr:rowOff>
    </xdr:from>
    <xdr:to>
      <xdr:col>7</xdr:col>
      <xdr:colOff>1415143</xdr:colOff>
      <xdr:row>67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6C59401-186C-41F1-B793-C07C9ADC33D7}"/>
            </a:ext>
          </a:extLst>
        </xdr:cNvPr>
        <xdr:cNvSpPr/>
      </xdr:nvSpPr>
      <xdr:spPr>
        <a:xfrm>
          <a:off x="5857875" y="11361420"/>
          <a:ext cx="4053568" cy="257937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Debit Outlet</a:t>
          </a:r>
          <a:endParaRPr lang="en-US">
            <a:solidFill>
              <a:sysClr val="windowText" lastClr="000000"/>
            </a:solidFill>
            <a:effectLst/>
          </a:endParaRPr>
        </a:p>
        <a:p>
          <a:pPr lvl="0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 = (2.g. (H + S.L – dt)) /( Ke + Kf + Ko)))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1/2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Where: V   = Water flow velocity (m/s)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S   = culvert slope = </a:t>
          </a:r>
          <a:r>
            <a:rPr lang="en-AU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AU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uppervalue 0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L   = culver length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          dt  = tailwater depth (use either y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tw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or y</a:t>
          </a:r>
          <a:r>
            <a:rPr lang="en-US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Ke, Kf, Ko; energy loss coefficient due to inlet, storage and outlet respectively 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Kf  = 2.g.n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.L/R</a:t>
          </a:r>
          <a:r>
            <a:rPr lang="en-US" sz="11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4/3</a:t>
          </a: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Ke = see table 3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Ko = 1 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  n  = manning’s number, see table 5</a:t>
          </a: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  = Hydraulic radius = D/4</a:t>
          </a:r>
        </a:p>
        <a:p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en-AU" sz="1100" baseline="-25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culvert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= AV</a:t>
          </a:r>
        </a:p>
        <a:p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27214</xdr:colOff>
      <xdr:row>41</xdr:row>
      <xdr:rowOff>81643</xdr:rowOff>
    </xdr:from>
    <xdr:to>
      <xdr:col>11</xdr:col>
      <xdr:colOff>893989</xdr:colOff>
      <xdr:row>51</xdr:row>
      <xdr:rowOff>209565</xdr:rowOff>
    </xdr:to>
    <xdr:pic>
      <xdr:nvPicPr>
        <xdr:cNvPr id="6" name="Picture 5" descr="2">
          <a:extLst>
            <a:ext uri="{FF2B5EF4-FFF2-40B4-BE49-F238E27FC236}">
              <a16:creationId xmlns:a16="http://schemas.microsoft.com/office/drawing/2014/main" id="{69CF3181-1B09-4CAF-BAFC-8CCB4F1B6F3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3234" y="8745583"/>
          <a:ext cx="4189095" cy="20253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27215</xdr:colOff>
      <xdr:row>53</xdr:row>
      <xdr:rowOff>176893</xdr:rowOff>
    </xdr:from>
    <xdr:to>
      <xdr:col>10</xdr:col>
      <xdr:colOff>205469</xdr:colOff>
      <xdr:row>63</xdr:row>
      <xdr:rowOff>124824</xdr:rowOff>
    </xdr:to>
    <xdr:pic>
      <xdr:nvPicPr>
        <xdr:cNvPr id="7" name="Picture 6" descr="3">
          <a:extLst>
            <a:ext uri="{FF2B5EF4-FFF2-40B4-BE49-F238E27FC236}">
              <a16:creationId xmlns:a16="http://schemas.microsoft.com/office/drawing/2014/main" id="{B5FA54B9-90B2-4D8C-9325-B1C9AF52624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3235" y="11385913"/>
          <a:ext cx="2563314" cy="192913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816428</xdr:colOff>
      <xdr:row>15</xdr:row>
      <xdr:rowOff>198247</xdr:rowOff>
    </xdr:from>
    <xdr:to>
      <xdr:col>9</xdr:col>
      <xdr:colOff>1183143</xdr:colOff>
      <xdr:row>28</xdr:row>
      <xdr:rowOff>105754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7940B60-F810-4B9E-9807-265EBC4C5F36}"/>
            </a:ext>
          </a:extLst>
        </xdr:cNvPr>
        <xdr:cNvSpPr/>
      </xdr:nvSpPr>
      <xdr:spPr>
        <a:xfrm>
          <a:off x="7735388" y="3307207"/>
          <a:ext cx="4123375" cy="2597367"/>
        </a:xfrm>
        <a:prstGeom prst="rect">
          <a:avLst/>
        </a:prstGeom>
        <a:ln>
          <a:solidFill>
            <a:srgbClr val="0070C0"/>
          </a:solidFill>
        </a:ln>
      </xdr:spPr>
      <xdr:txBody>
        <a:bodyPr wrap="square" lIns="86585" tIns="43292" rIns="86585" bIns="43292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/>
          <a:r>
            <a:rPr lang="en-US" sz="1300" b="1">
              <a:latin typeface="Trebuchet MS" pitchFamily="34" charset="0"/>
            </a:rPr>
            <a:t>Parameter Dimensi Channel</a:t>
          </a:r>
          <a:r>
            <a:rPr lang="id-ID" sz="1300" b="1">
              <a:latin typeface="Trebuchet MS" pitchFamily="34" charset="0"/>
            </a:rPr>
            <a:t> :</a:t>
          </a:r>
          <a:endParaRPr lang="en-US" sz="1300" b="1">
            <a:latin typeface="Trebuchet MS" pitchFamily="34" charset="0"/>
          </a:endParaRPr>
        </a:p>
        <a:p>
          <a:pPr lvl="0"/>
          <a:endParaRPr lang="en-US" sz="1300">
            <a:latin typeface="Trebuchet MS" pitchFamily="34" charset="0"/>
          </a:endParaRPr>
        </a:p>
        <a:p>
          <a:pPr lvl="0">
            <a:lnSpc>
              <a:spcPct val="150000"/>
            </a:lnSpc>
          </a:pPr>
          <a:r>
            <a:rPr lang="id-ID" sz="1300">
              <a:latin typeface="Trebuchet MS" pitchFamily="34" charset="0"/>
            </a:rPr>
            <a:t>y</a:t>
          </a:r>
          <a:r>
            <a:rPr lang="en-US" sz="1300">
              <a:latin typeface="Trebuchet MS" pitchFamily="34" charset="0"/>
            </a:rPr>
            <a:t> = Kedalaman Aliran (</a:t>
          </a:r>
          <a:r>
            <a:rPr lang="en-US" sz="1300" i="1">
              <a:latin typeface="Trebuchet MS" pitchFamily="34" charset="0"/>
            </a:rPr>
            <a:t>depth of flow</a:t>
          </a:r>
          <a:r>
            <a:rPr lang="en-US" sz="1300">
              <a:latin typeface="Trebuchet MS" pitchFamily="34" charset="0"/>
            </a:rPr>
            <a:t>) (m)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B = Lebar dasar (</a:t>
          </a:r>
          <a:r>
            <a:rPr lang="en-US" sz="1300" i="1">
              <a:latin typeface="Trebuchet MS" pitchFamily="34" charset="0"/>
            </a:rPr>
            <a:t>bed width</a:t>
          </a:r>
          <a:r>
            <a:rPr lang="en-US" sz="1300">
              <a:latin typeface="Trebuchet MS" pitchFamily="34" charset="0"/>
            </a:rPr>
            <a:t>) (m) </a:t>
          </a:r>
        </a:p>
        <a:p>
          <a:pPr lvl="0">
            <a:lnSpc>
              <a:spcPct val="150000"/>
            </a:lnSpc>
          </a:pPr>
          <a:r>
            <a:rPr lang="id-ID" sz="1300">
              <a:latin typeface="Trebuchet MS" pitchFamily="34" charset="0"/>
            </a:rPr>
            <a:t>m</a:t>
          </a:r>
          <a:r>
            <a:rPr lang="en-US" sz="1300">
              <a:latin typeface="Trebuchet MS" pitchFamily="34" charset="0"/>
            </a:rPr>
            <a:t> = Kemiringan dinding (</a:t>
          </a:r>
          <a:r>
            <a:rPr lang="en-US" sz="1300" i="1">
              <a:latin typeface="Trebuchet MS" pitchFamily="34" charset="0"/>
            </a:rPr>
            <a:t>side slope</a:t>
          </a:r>
          <a:r>
            <a:rPr lang="en-US" sz="1300">
              <a:latin typeface="Trebuchet MS" pitchFamily="34" charset="0"/>
            </a:rPr>
            <a:t>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T = Lebar puncak (</a:t>
          </a:r>
          <a:r>
            <a:rPr lang="en-US" sz="1300" i="1">
              <a:latin typeface="Trebuchet MS" pitchFamily="34" charset="0"/>
            </a:rPr>
            <a:t>top width</a:t>
          </a:r>
          <a:r>
            <a:rPr lang="en-US" sz="1300">
              <a:latin typeface="Trebuchet MS" pitchFamily="34" charset="0"/>
            </a:rPr>
            <a:t>) (m)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A = Luas basah (</a:t>
          </a:r>
          <a:r>
            <a:rPr lang="en-US" sz="1300" i="1">
              <a:latin typeface="Trebuchet MS" pitchFamily="34" charset="0"/>
            </a:rPr>
            <a:t>water area)</a:t>
          </a:r>
          <a:r>
            <a:rPr lang="en-US" sz="1300">
              <a:latin typeface="Trebuchet MS" pitchFamily="34" charset="0"/>
            </a:rPr>
            <a:t> (</a:t>
          </a:r>
          <a:r>
            <a:rPr lang="id-ID" sz="1300">
              <a:latin typeface="Trebuchet MS" pitchFamily="34" charset="0"/>
            </a:rPr>
            <a:t>m</a:t>
          </a:r>
          <a:r>
            <a:rPr lang="id-ID" sz="1300" baseline="30000">
              <a:latin typeface="Trebuchet MS" pitchFamily="34" charset="0"/>
            </a:rPr>
            <a:t>2</a:t>
          </a:r>
          <a:r>
            <a:rPr lang="en-US" sz="1300">
              <a:latin typeface="Trebuchet MS" pitchFamily="34" charset="0"/>
            </a:rPr>
            <a:t>) </a:t>
          </a:r>
        </a:p>
        <a:p>
          <a:pPr lvl="0"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P = Keliling basah (</a:t>
          </a:r>
          <a:r>
            <a:rPr lang="en-US" sz="1300" i="1">
              <a:latin typeface="Trebuchet MS" pitchFamily="34" charset="0"/>
            </a:rPr>
            <a:t>wetted perimeter</a:t>
          </a:r>
          <a:r>
            <a:rPr lang="en-US" sz="1300">
              <a:latin typeface="Trebuchet MS" pitchFamily="34" charset="0"/>
            </a:rPr>
            <a:t>) (m) </a:t>
          </a:r>
        </a:p>
        <a:p>
          <a:pPr>
            <a:lnSpc>
              <a:spcPct val="150000"/>
            </a:lnSpc>
          </a:pPr>
          <a:r>
            <a:rPr lang="en-US" sz="1300">
              <a:latin typeface="Trebuchet MS" pitchFamily="34" charset="0"/>
            </a:rPr>
            <a:t>R = Jari-jari hidraulik (</a:t>
          </a:r>
          <a:r>
            <a:rPr lang="en-US" sz="1300" i="1">
              <a:latin typeface="Trebuchet MS" pitchFamily="34" charset="0"/>
            </a:rPr>
            <a:t>hydraulic radius</a:t>
          </a:r>
          <a:r>
            <a:rPr lang="en-US" sz="1300">
              <a:latin typeface="Trebuchet MS" pitchFamily="34" charset="0"/>
            </a:rPr>
            <a:t>) (m) </a:t>
          </a:r>
        </a:p>
      </xdr:txBody>
    </xdr:sp>
    <xdr:clientData/>
  </xdr:twoCellAnchor>
  <xdr:twoCellAnchor editAs="oneCell">
    <xdr:from>
      <xdr:col>9</xdr:col>
      <xdr:colOff>1308403</xdr:colOff>
      <xdr:row>18</xdr:row>
      <xdr:rowOff>24008</xdr:rowOff>
    </xdr:from>
    <xdr:to>
      <xdr:col>11</xdr:col>
      <xdr:colOff>1594952</xdr:colOff>
      <xdr:row>31</xdr:row>
      <xdr:rowOff>35452</xdr:rowOff>
    </xdr:to>
    <xdr:pic>
      <xdr:nvPicPr>
        <xdr:cNvPr id="9" name="table">
          <a:extLst>
            <a:ext uri="{FF2B5EF4-FFF2-40B4-BE49-F238E27FC236}">
              <a16:creationId xmlns:a16="http://schemas.microsoft.com/office/drawing/2014/main" id="{5F7FBCCE-8EAB-447F-965B-5D450226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84023" y="3765428"/>
          <a:ext cx="2999269" cy="2701304"/>
        </a:xfrm>
        <a:prstGeom prst="rect">
          <a:avLst/>
        </a:prstGeom>
      </xdr:spPr>
    </xdr:pic>
    <xdr:clientData/>
  </xdr:twoCellAnchor>
  <xdr:twoCellAnchor>
    <xdr:from>
      <xdr:col>9</xdr:col>
      <xdr:colOff>1429567</xdr:colOff>
      <xdr:row>15</xdr:row>
      <xdr:rowOff>213752</xdr:rowOff>
    </xdr:from>
    <xdr:to>
      <xdr:col>11</xdr:col>
      <xdr:colOff>1570155</xdr:colOff>
      <xdr:row>17</xdr:row>
      <xdr:rowOff>202526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238CC48-B33A-4419-A650-0A2B1C624E16}"/>
            </a:ext>
          </a:extLst>
        </xdr:cNvPr>
        <xdr:cNvSpPr>
          <a:spLocks noChangeArrowheads="1"/>
        </xdr:cNvSpPr>
      </xdr:nvSpPr>
      <xdr:spPr bwMode="auto">
        <a:xfrm>
          <a:off x="12105187" y="3322712"/>
          <a:ext cx="2853308" cy="415494"/>
        </a:xfrm>
        <a:prstGeom prst="rect">
          <a:avLst/>
        </a:prstGeom>
        <a:noFill/>
        <a:ln>
          <a:solidFill>
            <a:schemeClr val="tx1"/>
          </a:solidFill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vert="horz" wrap="square" lIns="86585" tIns="43292" rIns="86585" bIns="43292" numCol="1" anchor="ctr" anchorCtr="0" compatLnSpc="1">
          <a:prstTxWarp prst="textNoShape">
            <a:avLst/>
          </a:prstTxWarp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defTabSz="865845">
            <a:tabLst>
              <a:tab pos="225481" algn="l"/>
            </a:tabLst>
          </a:pP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Koefisien Ke</a:t>
          </a:r>
          <a:r>
            <a:rPr lang="en-US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kasar</a:t>
          </a: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an Dinding Saluran </a:t>
          </a:r>
          <a:endParaRPr lang="en-US" altLang="en-US" sz="1050" b="1">
            <a:latin typeface="Trebuchet MS" pitchFamily="34" charset="0"/>
            <a:ea typeface="Calibri" pitchFamily="34" charset="0"/>
            <a:cs typeface="Times New Roman" pitchFamily="18" charset="0"/>
          </a:endParaRPr>
        </a:p>
        <a:p>
          <a:pPr algn="ctr" defTabSz="865845">
            <a:tabLst>
              <a:tab pos="225481" algn="l"/>
            </a:tabLst>
          </a:pPr>
          <a:r>
            <a:rPr lang="id-ID" altLang="en-US" sz="1050" b="1">
              <a:latin typeface="Trebuchet MS" pitchFamily="34" charset="0"/>
              <a:ea typeface="Calibri" pitchFamily="34" charset="0"/>
              <a:cs typeface="Times New Roman" pitchFamily="18" charset="0"/>
            </a:rPr>
            <a:t>Menurut </a:t>
          </a:r>
          <a:r>
            <a:rPr lang="id-ID" altLang="en-US" sz="1050" b="1" i="1">
              <a:latin typeface="Trebuchet MS" pitchFamily="34" charset="0"/>
              <a:ea typeface="Calibri" pitchFamily="34" charset="0"/>
              <a:cs typeface="Times New Roman" pitchFamily="18" charset="0"/>
            </a:rPr>
            <a:t>Manning</a:t>
          </a:r>
          <a:endParaRPr lang="en-US" altLang="en-US" sz="1050">
            <a:latin typeface="Trebuchet MS" pitchFamily="34" charset="0"/>
          </a:endParaRPr>
        </a:p>
      </xdr:txBody>
    </xdr:sp>
    <xdr:clientData/>
  </xdr:twoCellAnchor>
  <xdr:twoCellAnchor>
    <xdr:from>
      <xdr:col>9</xdr:col>
      <xdr:colOff>1225362</xdr:colOff>
      <xdr:row>2</xdr:row>
      <xdr:rowOff>108857</xdr:rowOff>
    </xdr:from>
    <xdr:to>
      <xdr:col>11</xdr:col>
      <xdr:colOff>1633577</xdr:colOff>
      <xdr:row>15</xdr:row>
      <xdr:rowOff>19359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429175E-FFE9-4C88-B9AF-8909C862944D}"/>
            </a:ext>
          </a:extLst>
        </xdr:cNvPr>
        <xdr:cNvSpPr/>
      </xdr:nvSpPr>
      <xdr:spPr>
        <a:xfrm>
          <a:off x="11900982" y="482237"/>
          <a:ext cx="3120935" cy="2646082"/>
        </a:xfrm>
        <a:prstGeom prst="rect">
          <a:avLst/>
        </a:prstGeom>
        <a:ln>
          <a:solidFill>
            <a:srgbClr val="0070C0"/>
          </a:solidFill>
        </a:ln>
      </xdr:spPr>
      <xdr:txBody>
        <a:bodyPr wrap="square" lIns="86585" tIns="43292" rIns="86585" bIns="43292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Rumus </a:t>
          </a:r>
          <a:r>
            <a:rPr lang="id-ID" sz="1200" i="1">
              <a:latin typeface="Trebuchet MS" pitchFamily="34" charset="0"/>
            </a:rPr>
            <a:t>Manning</a:t>
          </a:r>
          <a:r>
            <a:rPr lang="id-ID" sz="1200">
              <a:latin typeface="Trebuchet MS" pitchFamily="34" charset="0"/>
            </a:rPr>
            <a:t>, yaitu :</a:t>
          </a:r>
        </a:p>
        <a:p>
          <a:pPr>
            <a:lnSpc>
              <a:spcPct val="150000"/>
            </a:lnSpc>
          </a:pPr>
          <a:r>
            <a:rPr lang="id-ID" sz="1400">
              <a:latin typeface="Trebuchet MS" pitchFamily="34" charset="0"/>
            </a:rPr>
            <a:t>Q = 1/n . A . S</a:t>
          </a:r>
          <a:r>
            <a:rPr lang="id-ID" sz="1400" baseline="30000">
              <a:latin typeface="Trebuchet MS" pitchFamily="34" charset="0"/>
            </a:rPr>
            <a:t>1/2</a:t>
          </a:r>
          <a:r>
            <a:rPr lang="id-ID" sz="1400">
              <a:latin typeface="Trebuchet MS" pitchFamily="34" charset="0"/>
            </a:rPr>
            <a:t> . R</a:t>
          </a:r>
          <a:r>
            <a:rPr lang="id-ID" sz="1400" baseline="30000">
              <a:latin typeface="Trebuchet MS" pitchFamily="34" charset="0"/>
            </a:rPr>
            <a:t>2/3</a:t>
          </a:r>
          <a:r>
            <a:rPr lang="id-ID" sz="1400">
              <a:latin typeface="Trebuchet MS" pitchFamily="34" charset="0"/>
            </a:rPr>
            <a:t> </a:t>
          </a:r>
          <a:r>
            <a:rPr lang="en-US" sz="1400">
              <a:latin typeface="Trebuchet MS" pitchFamily="34" charset="0"/>
            </a:rPr>
            <a:t>(m</a:t>
          </a:r>
          <a:r>
            <a:rPr lang="en-US" sz="1400" baseline="30000">
              <a:latin typeface="Trebuchet MS" pitchFamily="34" charset="0"/>
            </a:rPr>
            <a:t>3</a:t>
          </a:r>
          <a:r>
            <a:rPr lang="en-US" sz="1400">
              <a:latin typeface="Trebuchet MS" pitchFamily="34" charset="0"/>
            </a:rPr>
            <a:t>/</a:t>
          </a:r>
          <a:r>
            <a:rPr lang="id-ID" sz="1400">
              <a:latin typeface="Trebuchet MS" pitchFamily="34" charset="0"/>
            </a:rPr>
            <a:t>sec)</a:t>
          </a:r>
        </a:p>
        <a:p>
          <a:pPr>
            <a:lnSpc>
              <a:spcPct val="150000"/>
            </a:lnSpc>
          </a:pPr>
          <a:endParaRPr lang="en-US" sz="14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Keterangan :</a:t>
          </a: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Q = </a:t>
          </a:r>
          <a:r>
            <a:rPr lang="en-US" sz="1200">
              <a:latin typeface="Trebuchet MS" pitchFamily="34" charset="0"/>
            </a:rPr>
            <a:t>D</a:t>
          </a:r>
          <a:r>
            <a:rPr lang="id-ID" sz="1200">
              <a:latin typeface="Trebuchet MS" pitchFamily="34" charset="0"/>
            </a:rPr>
            <a:t>ebit </a:t>
          </a:r>
          <a:r>
            <a:rPr lang="en-US" sz="1200">
              <a:latin typeface="Trebuchet MS" pitchFamily="34" charset="0"/>
            </a:rPr>
            <a:t>saluran</a:t>
          </a:r>
          <a:r>
            <a:rPr lang="id-ID" sz="1200">
              <a:latin typeface="Trebuchet MS" pitchFamily="34" charset="0"/>
            </a:rPr>
            <a:t> maksimum (m</a:t>
          </a:r>
          <a:r>
            <a:rPr lang="id-ID" sz="1200" baseline="30000">
              <a:latin typeface="Trebuchet MS" pitchFamily="34" charset="0"/>
            </a:rPr>
            <a:t>3</a:t>
          </a:r>
          <a:r>
            <a:rPr lang="id-ID" sz="1200">
              <a:latin typeface="Trebuchet MS" pitchFamily="34" charset="0"/>
            </a:rPr>
            <a:t>/detik)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A = </a:t>
          </a:r>
          <a:r>
            <a:rPr lang="en-US" sz="1200">
              <a:latin typeface="Trebuchet MS" pitchFamily="34" charset="0"/>
            </a:rPr>
            <a:t>L</a:t>
          </a:r>
          <a:r>
            <a:rPr lang="id-ID" sz="1200">
              <a:latin typeface="Trebuchet MS" pitchFamily="34" charset="0"/>
            </a:rPr>
            <a:t>uas penampang (m</a:t>
          </a:r>
          <a:r>
            <a:rPr lang="id-ID" sz="1200" baseline="30000">
              <a:latin typeface="Trebuchet MS" pitchFamily="34" charset="0"/>
            </a:rPr>
            <a:t>2</a:t>
          </a:r>
          <a:r>
            <a:rPr lang="id-ID" sz="1200">
              <a:latin typeface="Trebuchet MS" pitchFamily="34" charset="0"/>
            </a:rPr>
            <a:t>) 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S = </a:t>
          </a:r>
          <a:r>
            <a:rPr lang="en-US" sz="1200">
              <a:latin typeface="Trebuchet MS" pitchFamily="34" charset="0"/>
            </a:rPr>
            <a:t>K</a:t>
          </a:r>
          <a:r>
            <a:rPr lang="id-ID" sz="1200">
              <a:latin typeface="Trebuchet MS" pitchFamily="34" charset="0"/>
            </a:rPr>
            <a:t>emiringan dasar saluran (%)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id-ID" sz="1200">
              <a:latin typeface="Trebuchet MS" pitchFamily="34" charset="0"/>
            </a:rPr>
            <a:t>R = </a:t>
          </a:r>
          <a:r>
            <a:rPr lang="en-US" sz="1200">
              <a:latin typeface="Trebuchet MS" pitchFamily="34" charset="0"/>
            </a:rPr>
            <a:t>J</a:t>
          </a:r>
          <a:r>
            <a:rPr lang="id-ID" sz="1200">
              <a:latin typeface="Trebuchet MS" pitchFamily="34" charset="0"/>
            </a:rPr>
            <a:t>ari</a:t>
          </a:r>
          <a:r>
            <a:rPr lang="en-US" sz="1200">
              <a:latin typeface="Trebuchet MS" pitchFamily="34" charset="0"/>
            </a:rPr>
            <a:t> – </a:t>
          </a:r>
          <a:r>
            <a:rPr lang="id-ID" sz="1200">
              <a:latin typeface="Trebuchet MS" pitchFamily="34" charset="0"/>
            </a:rPr>
            <a:t>jari hidrolis (m)</a:t>
          </a:r>
          <a:endParaRPr lang="en-US" sz="1200">
            <a:latin typeface="Trebuchet MS" pitchFamily="34" charset="0"/>
          </a:endParaRPr>
        </a:p>
        <a:p>
          <a:pPr>
            <a:lnSpc>
              <a:spcPct val="150000"/>
            </a:lnSpc>
          </a:pPr>
          <a:r>
            <a:rPr lang="en-US" sz="1200">
              <a:latin typeface="Trebuchet MS" pitchFamily="34" charset="0"/>
            </a:rPr>
            <a:t>n  </a:t>
          </a:r>
          <a:r>
            <a:rPr lang="id-ID" sz="1200">
              <a:latin typeface="Trebuchet MS" pitchFamily="34" charset="0"/>
            </a:rPr>
            <a:t>= </a:t>
          </a:r>
          <a:r>
            <a:rPr lang="en-US" sz="1200">
              <a:latin typeface="Trebuchet MS" pitchFamily="34" charset="0"/>
            </a:rPr>
            <a:t>K</a:t>
          </a:r>
          <a:r>
            <a:rPr lang="id-ID" sz="1200">
              <a:latin typeface="Trebuchet MS" pitchFamily="34" charset="0"/>
            </a:rPr>
            <a:t>oefisien ke</a:t>
          </a:r>
          <a:r>
            <a:rPr lang="en-US" sz="1200">
              <a:latin typeface="Trebuchet MS" pitchFamily="34" charset="0"/>
            </a:rPr>
            <a:t>kasar</a:t>
          </a:r>
          <a:r>
            <a:rPr lang="id-ID" sz="1200">
              <a:latin typeface="Trebuchet MS" pitchFamily="34" charset="0"/>
            </a:rPr>
            <a:t>an dinding saluran</a:t>
          </a:r>
          <a:endParaRPr lang="en-US" sz="1200">
            <a:latin typeface="Trebuchet MS" pitchFamily="34" charset="0"/>
          </a:endParaRPr>
        </a:p>
      </xdr:txBody>
    </xdr:sp>
    <xdr:clientData/>
  </xdr:twoCellAnchor>
  <xdr:twoCellAnchor editAs="oneCell">
    <xdr:from>
      <xdr:col>5</xdr:col>
      <xdr:colOff>520091</xdr:colOff>
      <xdr:row>3</xdr:row>
      <xdr:rowOff>133482</xdr:rowOff>
    </xdr:from>
    <xdr:to>
      <xdr:col>7</xdr:col>
      <xdr:colOff>1249014</xdr:colOff>
      <xdr:row>15</xdr:row>
      <xdr:rowOff>156565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03683E-37B1-4F8C-B06B-A2BDB64913D8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t="21014"/>
        <a:stretch>
          <a:fillRect/>
        </a:stretch>
      </xdr:blipFill>
      <xdr:spPr bwMode="auto">
        <a:xfrm>
          <a:off x="5663591" y="712602"/>
          <a:ext cx="4081723" cy="2552923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69000</xdr:colOff>
      <xdr:row>16</xdr:row>
      <xdr:rowOff>195143</xdr:rowOff>
    </xdr:from>
    <xdr:to>
      <xdr:col>5</xdr:col>
      <xdr:colOff>1327657</xdr:colOff>
      <xdr:row>24</xdr:row>
      <xdr:rowOff>122464</xdr:rowOff>
    </xdr:to>
    <xdr:cxnSp macro="">
      <xdr:nvCxnSpPr>
        <xdr:cNvPr id="13" name="Elbow Connector 20">
          <a:extLst>
            <a:ext uri="{FF2B5EF4-FFF2-40B4-BE49-F238E27FC236}">
              <a16:creationId xmlns:a16="http://schemas.microsoft.com/office/drawing/2014/main" id="{07B87846-D673-4D23-959A-4CEF9E51E238}"/>
            </a:ext>
          </a:extLst>
        </xdr:cNvPr>
        <xdr:cNvCxnSpPr>
          <a:cxnSpLocks/>
        </xdr:cNvCxnSpPr>
      </xdr:nvCxnSpPr>
      <xdr:spPr>
        <a:xfrm rot="16200000" flipV="1">
          <a:off x="4746598" y="3373765"/>
          <a:ext cx="1580861" cy="1868257"/>
        </a:xfrm>
        <a:prstGeom prst="bentConnector2">
          <a:avLst/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80683</xdr:colOff>
      <xdr:row>24</xdr:row>
      <xdr:rowOff>202476</xdr:rowOff>
    </xdr:from>
    <xdr:to>
      <xdr:col>5</xdr:col>
      <xdr:colOff>1333501</xdr:colOff>
      <xdr:row>52</xdr:row>
      <xdr:rowOff>188258</xdr:rowOff>
    </xdr:to>
    <xdr:cxnSp macro="">
      <xdr:nvCxnSpPr>
        <xdr:cNvPr id="14" name="Elbow Connector 20">
          <a:extLst>
            <a:ext uri="{FF2B5EF4-FFF2-40B4-BE49-F238E27FC236}">
              <a16:creationId xmlns:a16="http://schemas.microsoft.com/office/drawing/2014/main" id="{D054D430-18B5-4197-8D0C-E705B74685EC}"/>
            </a:ext>
          </a:extLst>
        </xdr:cNvPr>
        <xdr:cNvCxnSpPr/>
      </xdr:nvCxnSpPr>
      <xdr:spPr>
        <a:xfrm rot="5400000">
          <a:off x="2539191" y="7253728"/>
          <a:ext cx="6013202" cy="1862418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272527</xdr:colOff>
      <xdr:row>66</xdr:row>
      <xdr:rowOff>51995</xdr:rowOff>
    </xdr:from>
    <xdr:to>
      <xdr:col>1</xdr:col>
      <xdr:colOff>1061421</xdr:colOff>
      <xdr:row>66</xdr:row>
      <xdr:rowOff>51995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66003D9-F8BB-4FA4-920D-256B27EDAD1C}"/>
            </a:ext>
          </a:extLst>
        </xdr:cNvPr>
        <xdr:cNvCxnSpPr/>
      </xdr:nvCxnSpPr>
      <xdr:spPr>
        <a:xfrm>
          <a:off x="882127" y="13790855"/>
          <a:ext cx="7888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1085850</xdr:colOff>
      <xdr:row>66</xdr:row>
      <xdr:rowOff>78834</xdr:rowOff>
    </xdr:from>
    <xdr:to>
      <xdr:col>1</xdr:col>
      <xdr:colOff>1094534</xdr:colOff>
      <xdr:row>70</xdr:row>
      <xdr:rowOff>62865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4823215-2ACE-449D-95BF-4FE9ACC00440}"/>
            </a:ext>
          </a:extLst>
        </xdr:cNvPr>
        <xdr:cNvCxnSpPr/>
      </xdr:nvCxnSpPr>
      <xdr:spPr>
        <a:xfrm flipH="1">
          <a:off x="1695450" y="13817694"/>
          <a:ext cx="8684" cy="71555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35</xdr:row>
      <xdr:rowOff>28575</xdr:rowOff>
    </xdr:from>
    <xdr:to>
      <xdr:col>4</xdr:col>
      <xdr:colOff>257175</xdr:colOff>
      <xdr:row>40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F4E155-F18D-470B-9DE6-5DA2BD89D8EA}"/>
            </a:ext>
          </a:extLst>
        </xdr:cNvPr>
        <xdr:cNvSpPr txBox="1"/>
      </xdr:nvSpPr>
      <xdr:spPr>
        <a:xfrm>
          <a:off x="600075" y="6193155"/>
          <a:ext cx="3040380" cy="952500"/>
        </a:xfrm>
        <a:prstGeom prst="rect">
          <a:avLst/>
        </a:prstGeom>
        <a:solidFill>
          <a:schemeClr val="lt1"/>
        </a:solidFill>
        <a:ln w="63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Times New Roman" pitchFamily="18" charset="0"/>
              <a:cs typeface="Times New Roman" pitchFamily="18" charset="0"/>
            </a:rPr>
            <a:t>Hs = H2-H1</a:t>
          </a:r>
        </a:p>
        <a:p>
          <a:r>
            <a:rPr lang="en-US" sz="1100" b="1">
              <a:latin typeface="Times New Roman" pitchFamily="18" charset="0"/>
              <a:cs typeface="Times New Roman" pitchFamily="18" charset="0"/>
            </a:rPr>
            <a:t>Hf1 = f x {LV^2/2DG}</a:t>
          </a:r>
        </a:p>
        <a:p>
          <a:r>
            <a:rPr lang="en-US" sz="1100" b="1">
              <a:latin typeface="Times New Roman" pitchFamily="18" charset="0"/>
              <a:cs typeface="Times New Roman" pitchFamily="18" charset="0"/>
            </a:rPr>
            <a:t>Hv= (V^2/2G)</a:t>
          </a:r>
        </a:p>
        <a:p>
          <a:r>
            <a:rPr lang="en-US" sz="1100" b="1">
              <a:latin typeface="Times New Roman" pitchFamily="18" charset="0"/>
              <a:cs typeface="Times New Roman" pitchFamily="18" charset="0"/>
            </a:rPr>
            <a:t>Hf2 = k (V2/2G)</a:t>
          </a:r>
        </a:p>
        <a:p>
          <a:r>
            <a:rPr lang="en-US" sz="1100" b="1">
              <a:latin typeface="Times New Roman" pitchFamily="18" charset="0"/>
              <a:cs typeface="Times New Roman" pitchFamily="18" charset="0"/>
            </a:rPr>
            <a:t>hf3 = f (V^2/2g)</a:t>
          </a:r>
        </a:p>
      </xdr:txBody>
    </xdr:sp>
    <xdr:clientData/>
  </xdr:twoCellAnchor>
  <xdr:twoCellAnchor editAs="oneCell">
    <xdr:from>
      <xdr:col>6</xdr:col>
      <xdr:colOff>318534</xdr:colOff>
      <xdr:row>1</xdr:row>
      <xdr:rowOff>82027</xdr:rowOff>
    </xdr:from>
    <xdr:to>
      <xdr:col>18</xdr:col>
      <xdr:colOff>435594</xdr:colOff>
      <xdr:row>32</xdr:row>
      <xdr:rowOff>143434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662193-3EDB-B67A-44EE-438F06FD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7099" y="261321"/>
          <a:ext cx="7432260" cy="5646419"/>
        </a:xfrm>
        <a:prstGeom prst="rect">
          <a:avLst/>
        </a:prstGeom>
      </xdr:spPr>
    </xdr:pic>
    <xdr:clientData/>
  </xdr:twoCellAnchor>
  <xdr:twoCellAnchor>
    <xdr:from>
      <xdr:col>7</xdr:col>
      <xdr:colOff>573741</xdr:colOff>
      <xdr:row>21</xdr:row>
      <xdr:rowOff>44824</xdr:rowOff>
    </xdr:from>
    <xdr:to>
      <xdr:col>13</xdr:col>
      <xdr:colOff>349623</xdr:colOff>
      <xdr:row>21</xdr:row>
      <xdr:rowOff>62753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FD9832B-4A1B-5417-9C7E-53ABB7232D8F}"/>
            </a:ext>
          </a:extLst>
        </xdr:cNvPr>
        <xdr:cNvCxnSpPr/>
      </xdr:nvCxnSpPr>
      <xdr:spPr>
        <a:xfrm flipV="1">
          <a:off x="5611906" y="3810000"/>
          <a:ext cx="3433482" cy="1792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331694</xdr:colOff>
      <xdr:row>21</xdr:row>
      <xdr:rowOff>53789</xdr:rowOff>
    </xdr:from>
    <xdr:to>
      <xdr:col>13</xdr:col>
      <xdr:colOff>331694</xdr:colOff>
      <xdr:row>30</xdr:row>
      <xdr:rowOff>170330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49D3DC50-7B14-4D9B-8A23-9007061A4B18}"/>
            </a:ext>
          </a:extLst>
        </xdr:cNvPr>
        <xdr:cNvCxnSpPr/>
      </xdr:nvCxnSpPr>
      <xdr:spPr>
        <a:xfrm>
          <a:off x="9027459" y="3818965"/>
          <a:ext cx="0" cy="173915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53340</xdr:colOff>
      <xdr:row>0</xdr:row>
      <xdr:rowOff>83820</xdr:rowOff>
    </xdr:from>
    <xdr:to>
      <xdr:col>16</xdr:col>
      <xdr:colOff>145283</xdr:colOff>
      <xdr:row>15</xdr:row>
      <xdr:rowOff>7054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D98D2-D629-451A-9E3C-0248400A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860" y="83820"/>
          <a:ext cx="3749543" cy="271977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53340</xdr:colOff>
      <xdr:row>0</xdr:row>
      <xdr:rowOff>83820</xdr:rowOff>
    </xdr:from>
    <xdr:to>
      <xdr:col>15</xdr:col>
      <xdr:colOff>594863</xdr:colOff>
      <xdr:row>14</xdr:row>
      <xdr:rowOff>90874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336E9A-C423-4D65-81DB-E0FB91E9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0660" y="83820"/>
          <a:ext cx="3749543" cy="2567374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33</xdr:row>
      <xdr:rowOff>15240</xdr:rowOff>
    </xdr:from>
    <xdr:to>
      <xdr:col>18</xdr:col>
      <xdr:colOff>127635</xdr:colOff>
      <xdr:row>43</xdr:row>
      <xdr:rowOff>120302</xdr:rowOff>
    </xdr:to>
    <xdr:pic>
      <xdr:nvPicPr>
        <xdr:cNvPr id="3" name="Picture 2" descr="2">
          <a:extLst>
            <a:ext uri="{FF2B5EF4-FFF2-40B4-BE49-F238E27FC236}">
              <a16:creationId xmlns:a16="http://schemas.microsoft.com/office/drawing/2014/main" id="{EA34F3FB-7B6E-488A-B4C7-8892E55FC84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5257800"/>
          <a:ext cx="4189095" cy="20253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190501</xdr:colOff>
      <xdr:row>43</xdr:row>
      <xdr:rowOff>148590</xdr:rowOff>
    </xdr:from>
    <xdr:to>
      <xdr:col>15</xdr:col>
      <xdr:colOff>315415</xdr:colOff>
      <xdr:row>52</xdr:row>
      <xdr:rowOff>416561</xdr:rowOff>
    </xdr:to>
    <xdr:pic>
      <xdr:nvPicPr>
        <xdr:cNvPr id="4" name="Picture 3" descr="3">
          <a:extLst>
            <a:ext uri="{FF2B5EF4-FFF2-40B4-BE49-F238E27FC236}">
              <a16:creationId xmlns:a16="http://schemas.microsoft.com/office/drawing/2014/main" id="{E8A7CE79-9681-4006-A9A9-A55F16B2D0E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1" y="7311390"/>
          <a:ext cx="2563314" cy="192913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601980</xdr:colOff>
      <xdr:row>46</xdr:row>
      <xdr:rowOff>68580</xdr:rowOff>
    </xdr:from>
    <xdr:to>
      <xdr:col>6</xdr:col>
      <xdr:colOff>59952</xdr:colOff>
      <xdr:row>62</xdr:row>
      <xdr:rowOff>109222</xdr:rowOff>
    </xdr:to>
    <xdr:pic>
      <xdr:nvPicPr>
        <xdr:cNvPr id="5" name="Picture 4" descr="8">
          <a:extLst>
            <a:ext uri="{FF2B5EF4-FFF2-40B4-BE49-F238E27FC236}">
              <a16:creationId xmlns:a16="http://schemas.microsoft.com/office/drawing/2014/main" id="{9EA5200B-5601-4FC0-8F8A-3C139B3828E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7795260"/>
          <a:ext cx="5241552" cy="34467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245214</xdr:colOff>
      <xdr:row>89</xdr:row>
      <xdr:rowOff>68898</xdr:rowOff>
    </xdr:to>
    <xdr:pic>
      <xdr:nvPicPr>
        <xdr:cNvPr id="6" name="Picture 5" descr="yc table">
          <a:extLst>
            <a:ext uri="{FF2B5EF4-FFF2-40B4-BE49-F238E27FC236}">
              <a16:creationId xmlns:a16="http://schemas.microsoft.com/office/drawing/2014/main" id="{69EFF3EF-9D6A-41C1-896F-FB5CE9C749E4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1460"/>
          <a:ext cx="4062834" cy="4458018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JRBM\2023\Analysis%20Drainage%20Plan\West%20Dump%20Magazine\021223_JRBM%20-%20Mine%20Drainage%20Plan%20-%2084%20Jam%20-%20WD%20-%20Magazine.xlsx" TargetMode="External"/><Relationship Id="rId1" Type="http://schemas.openxmlformats.org/officeDocument/2006/relationships/externalLinkPath" Target="/JRBM/2023/Analysis%20Drainage%20Plan/West%20Dump%20Magazine/021223_JRBM%20-%20Mine%20Drainage%20Plan%20-%2084%20Jam%20-%20WD%20-%20Magazin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JRBM\2023\Analysis%20Drainage%20Plan\Jaltap\111123%20-%20JRBM%20-%20Mine%20Drainage%20Plan%20-%2084%20Jam%20-%20Jaltap%20-%20Ditch%20-%20Durian%20-%20M_Ridge.xlsx" TargetMode="External"/><Relationship Id="rId1" Type="http://schemas.openxmlformats.org/officeDocument/2006/relationships/externalLinkPath" Target="/JRBM/2023/Analysis%20Drainage%20Plan/Jaltap/111123%20-%20JRBM%20-%20Mine%20Drainage%20Plan%20-%2084%20Jam%20-%20Jaltap%20-%20Ditch%20-%20Durian%20-%20M_Ridg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JRBM\2023\Analysis%20Drainage%20Plan\Referensi\150323_Pemompaan_Sump_J05%20-%20Tanpa%20Hujan.xlsx" TargetMode="External"/><Relationship Id="rId1" Type="http://schemas.openxmlformats.org/officeDocument/2006/relationships/externalLinkPath" Target="/JRBM/2023/Analysis%20Drainage%20Plan/Referensi/150323_Pemompaan_Sump_J05%20-%20Tanpa%20Huj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JRBM Rainfall 2014"/>
      <sheetName val="JRBM Rainfall 2015-2017"/>
      <sheetName val="JRBM Rainfall 2018-May 2022"/>
      <sheetName val="JRBM Rainfal June 2022-Oct 2023"/>
      <sheetName val="Rainfall 3,5 Days (84 Hours)"/>
      <sheetName val="Rainfall - Summary - Bakan"/>
      <sheetName val="Rainfall Max"/>
      <sheetName val="Analisis Frekuensi"/>
      <sheetName val="Tabel Ktr Normal"/>
      <sheetName val="Tabel Alfa Chi Square"/>
      <sheetName val="Tabel Do Smirnov-Kolmogorov"/>
      <sheetName val="RTr Normal"/>
      <sheetName val="RTr Log Normal"/>
      <sheetName val="Tabel Yn &amp; Sn Gumbel"/>
      <sheetName val="RTr Gumbel"/>
      <sheetName val="Tabel KTr Pearson"/>
      <sheetName val="RTr Pearson Type III"/>
      <sheetName val="RTr Log Pearson Type III"/>
      <sheetName val="Resume RTr"/>
      <sheetName val="Uji Cocok"/>
      <sheetName val="Gumbell 2 th"/>
      <sheetName val="Gumbell 5 th"/>
      <sheetName val="Gumbell 10 th"/>
      <sheetName val="Gumbell 25 th"/>
      <sheetName val="Summary Intensity (I)"/>
      <sheetName val="Runoff Coeff. (C)"/>
      <sheetName val="Catchment Area (A)"/>
      <sheetName val="Ditch Geometry Reference"/>
      <sheetName val="Ditch Calculation"/>
      <sheetName val="Summary Ditch"/>
      <sheetName val="Culvert"/>
      <sheetName val="Culvert (2)"/>
      <sheetName val="Kapasitas Pond CH Mrs Nancy"/>
      <sheetName val="Kapasitas Pond 84 Jam DRN-MR"/>
      <sheetName val="Kapasitas Pond 84 Jam"/>
      <sheetName val="Rencana Pompa"/>
      <sheetName val="Kapasitas Pompa"/>
      <sheetName val="Curve of Pump"/>
      <sheetName val="Penjadwalan Pemompaan"/>
      <sheetName val="Runoff Discharge to 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6">
          <cell r="B6">
            <v>327.98120972656801</v>
          </cell>
          <cell r="C6">
            <v>540.41038150463146</v>
          </cell>
          <cell r="D6">
            <v>681.05697729384769</v>
          </cell>
          <cell r="E6">
            <v>858.76432392041966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JRBM Rainfall 2014"/>
      <sheetName val="JRBM Rainfall 2015-2017"/>
      <sheetName val="JRBM Rainfall 2018-May 2022"/>
      <sheetName val="JRBM Rainfal June 2022-Oct 2023"/>
      <sheetName val="Rainfall 3,5 Days (84 Hours)"/>
      <sheetName val="Rainfall - Summary - Bakan"/>
      <sheetName val="Rainfall Max"/>
      <sheetName val="Analisis Frekuensi"/>
      <sheetName val="Tabel Ktr Normal"/>
      <sheetName val="Tabel Alfa Chi Square"/>
      <sheetName val="Tabel Do Smirnov-Kolmogorov"/>
      <sheetName val="RTr Normal"/>
      <sheetName val="RTr Log Normal"/>
      <sheetName val="Tabel Yn &amp; Sn Gumbel"/>
      <sheetName val="RTr Gumbel"/>
      <sheetName val="Tabel KTr Pearson"/>
      <sheetName val="RTr Pearson Type III"/>
      <sheetName val="RTr Log Pearson Type III"/>
      <sheetName val="Resume RTr"/>
      <sheetName val="Uji Cocok"/>
      <sheetName val="Gumbell 2 th"/>
      <sheetName val="Gumbell 5 th"/>
      <sheetName val="Gumbell 10 th"/>
      <sheetName val="Gumbell 25 th"/>
      <sheetName val="Gumbell 50 th"/>
      <sheetName val="Gumbell 100 th"/>
      <sheetName val="Summary Intensity (I)"/>
      <sheetName val="Runoff Coeff. (C)"/>
      <sheetName val="Catchment Area (A)"/>
      <sheetName val="Ditch Geometry Reference"/>
      <sheetName val="Ditch Calculation"/>
      <sheetName val="Summary Ditch"/>
      <sheetName val="Sedtrap Calculation"/>
      <sheetName val="Sediment Trap"/>
      <sheetName val="Sedtrap WD"/>
      <sheetName val="Culvert"/>
      <sheetName val="Debit S_Tapagale"/>
      <sheetName val="Rekomendasi Dimensi S_Tapagale"/>
      <sheetName val="Culver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">
          <cell r="F9">
            <v>96.425109196126101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ainfall Data"/>
      <sheetName val="Summary Rainfall"/>
      <sheetName val="CH Max"/>
      <sheetName val="Rainfall Duration"/>
      <sheetName val="Simulation Rainfall 5 th"/>
      <sheetName val="Simulation of Rainfall WQV"/>
      <sheetName val="Simulation Rainfall 100 th"/>
      <sheetName val="Tabel Ktr Normal"/>
      <sheetName val="RTr Normal 25 th"/>
      <sheetName val="Data Curah Hujan"/>
      <sheetName val="RTr Log Normal 25 th"/>
      <sheetName val="RTr Pearson Type III 25 th"/>
      <sheetName val="Tabel KTr Pearson"/>
      <sheetName val="RTr Log Pearson Type III 25 th"/>
      <sheetName val="Gumble 25 th"/>
      <sheetName val="Summary of Rainfall Intensity"/>
      <sheetName val="RTr Normal 10 th"/>
      <sheetName val="RTr Log Normal 10 th"/>
      <sheetName val="Gumble 10 th"/>
      <sheetName val="RTr Pearson Type III 10 th"/>
      <sheetName val="RTr Log Pearson Type III 10 th"/>
      <sheetName val="Catchment Areas"/>
      <sheetName val="Runoff Coeff."/>
      <sheetName val="Rate of Surface Water Days"/>
      <sheetName val="Value for GWD"/>
      <sheetName val="Rate of Groundwater"/>
      <sheetName val="Open Channel &amp; Culvert"/>
      <sheetName val="Pumping"/>
      <sheetName val="Simulation Dry Time"/>
      <sheetName val="Data Pumping Catchment Pit"/>
      <sheetName val="Summary SW+GWD"/>
      <sheetName val="Catchment_CHN"/>
      <sheetName val="Drainage Altrnf 2"/>
      <sheetName val="Drop Structure"/>
      <sheetName val="Head Pumping"/>
      <sheetName val="Kapasitas Tampungan"/>
      <sheetName val="Rencana Pemompaan"/>
      <sheetName val="Pumping Data"/>
      <sheetName val="Curve Of Pump"/>
      <sheetName val="Dimensi Sump - MF360"/>
      <sheetName val="Summary Pump Selected"/>
      <sheetName val="Pumping Data MF360"/>
      <sheetName val="Simulation of Pumping"/>
      <sheetName val="Simulation"/>
      <sheetName val="Simulation No OB"/>
      <sheetName val="Simulation 7 on 1 off"/>
      <sheetName val="Cost Estimation"/>
      <sheetName val="Simulate dry time"/>
      <sheetName val="Simul. Pump MF360"/>
      <sheetName val="Cost"/>
      <sheetName val="Simulate dry time MF360"/>
      <sheetName val="Pipe Length "/>
      <sheetName val="Curve"/>
      <sheetName val="Reference_Bundwall"/>
      <sheetName val="Bundwall"/>
      <sheetName val="Perimeter Channel"/>
      <sheetName val="Inlet &amp; Outlet Sed Pond"/>
      <sheetName val="Reference Vol_SP"/>
      <sheetName val="Summary of SP Dimensions"/>
      <sheetName val="Vol.Sed Pond"/>
      <sheetName val="Data Pond"/>
      <sheetName val="Sediment Full"/>
      <sheetName val="Sedimen full 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7">
          <cell r="C7">
            <v>15.905554855108683</v>
          </cell>
        </row>
        <row r="8">
          <cell r="C8">
            <v>23.555331970667254</v>
          </cell>
        </row>
        <row r="9">
          <cell r="C9">
            <v>20.257209646543583</v>
          </cell>
        </row>
        <row r="10">
          <cell r="C10">
            <v>20.050537391003228</v>
          </cell>
        </row>
        <row r="11">
          <cell r="C11">
            <v>21.78867797409287</v>
          </cell>
        </row>
        <row r="12">
          <cell r="C12">
            <v>21.241518023626799</v>
          </cell>
        </row>
        <row r="13">
          <cell r="C13">
            <v>26.064357254397137</v>
          </cell>
        </row>
        <row r="14">
          <cell r="C14">
            <v>18.645250136971487</v>
          </cell>
        </row>
        <row r="15">
          <cell r="C15">
            <v>23.486736958538877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6">
          <cell r="D6">
            <v>77500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1" xr16:uid="{00000000-0016-0000-05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23"/>
  <sheetViews>
    <sheetView zoomScale="85" zoomScaleNormal="85" workbookViewId="0">
      <selection activeCell="B76" sqref="B76:O122"/>
    </sheetView>
  </sheetViews>
  <sheetFormatPr defaultRowHeight="14.4" x14ac:dyDescent="0.3"/>
  <cols>
    <col min="1" max="1" width="4" customWidth="1"/>
    <col min="2" max="2" width="10.88671875" bestFit="1" customWidth="1"/>
    <col min="15" max="15" width="14.6640625" customWidth="1"/>
    <col min="30" max="30" width="13.5546875" bestFit="1" customWidth="1"/>
  </cols>
  <sheetData>
    <row r="1" spans="1:41" ht="15" thickBot="1" x14ac:dyDescent="0.35"/>
    <row r="2" spans="1:41" ht="15" thickTop="1" x14ac:dyDescent="0.3">
      <c r="A2" s="244"/>
      <c r="B2" s="799" t="s">
        <v>166</v>
      </c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799"/>
      <c r="V2" s="799"/>
      <c r="W2" s="799"/>
      <c r="X2" s="799"/>
      <c r="Y2" s="799"/>
      <c r="Z2" s="799"/>
      <c r="AA2" s="799"/>
      <c r="AB2" s="799"/>
      <c r="AC2" s="245"/>
    </row>
    <row r="3" spans="1:41" x14ac:dyDescent="0.3">
      <c r="A3" s="246"/>
      <c r="B3" s="800"/>
      <c r="C3" s="800"/>
      <c r="D3" s="800"/>
      <c r="E3" s="800"/>
      <c r="F3" s="800"/>
      <c r="G3" s="800"/>
      <c r="H3" s="800"/>
      <c r="I3" s="800"/>
      <c r="J3" s="800"/>
      <c r="K3" s="800"/>
      <c r="L3" s="800"/>
      <c r="M3" s="800"/>
      <c r="N3" s="800"/>
      <c r="O3" s="800"/>
      <c r="P3" s="800"/>
      <c r="Q3" s="800"/>
      <c r="R3" s="800"/>
      <c r="S3" s="800"/>
      <c r="T3" s="800"/>
      <c r="U3" s="800"/>
      <c r="V3" s="800"/>
      <c r="W3" s="800"/>
      <c r="X3" s="800"/>
      <c r="Y3" s="800"/>
      <c r="Z3" s="800"/>
      <c r="AA3" s="800"/>
      <c r="AB3" s="800"/>
      <c r="AC3" s="247"/>
    </row>
    <row r="4" spans="1:41" x14ac:dyDescent="0.3">
      <c r="A4" s="246"/>
      <c r="AC4" s="247"/>
    </row>
    <row r="5" spans="1:41" ht="15" thickBot="1" x14ac:dyDescent="0.35">
      <c r="A5" s="246"/>
      <c r="B5" s="798" t="s">
        <v>170</v>
      </c>
      <c r="C5" s="798"/>
      <c r="D5" s="798"/>
      <c r="E5" s="798"/>
      <c r="F5" s="798"/>
      <c r="G5" s="798"/>
      <c r="H5" s="798"/>
      <c r="I5" s="798"/>
      <c r="J5" s="798"/>
      <c r="K5" s="798"/>
      <c r="L5" s="798"/>
      <c r="M5" s="798"/>
      <c r="P5" s="798" t="s">
        <v>171</v>
      </c>
      <c r="Q5" s="798"/>
      <c r="R5" s="798"/>
      <c r="S5" s="798"/>
      <c r="T5" s="798"/>
      <c r="U5" s="798"/>
      <c r="V5" s="798"/>
      <c r="W5" s="798"/>
      <c r="X5" s="798"/>
      <c r="Y5" s="798"/>
      <c r="Z5" s="798"/>
      <c r="AA5" s="798"/>
      <c r="AC5" s="247"/>
    </row>
    <row r="6" spans="1:41" ht="15.6" thickTop="1" thickBot="1" x14ac:dyDescent="0.35">
      <c r="A6" s="246"/>
      <c r="B6" s="2" t="s">
        <v>167</v>
      </c>
      <c r="C6" s="3" t="s">
        <v>155</v>
      </c>
      <c r="D6" s="3" t="s">
        <v>156</v>
      </c>
      <c r="E6" s="3" t="s">
        <v>157</v>
      </c>
      <c r="F6" s="3" t="s">
        <v>158</v>
      </c>
      <c r="G6" s="3" t="s">
        <v>0</v>
      </c>
      <c r="H6" s="3" t="s">
        <v>159</v>
      </c>
      <c r="I6" s="3" t="s">
        <v>160</v>
      </c>
      <c r="J6" s="3" t="s">
        <v>161</v>
      </c>
      <c r="K6" s="3" t="s">
        <v>162</v>
      </c>
      <c r="L6" s="3" t="s">
        <v>163</v>
      </c>
      <c r="M6" s="3" t="s">
        <v>168</v>
      </c>
      <c r="N6" s="4" t="s">
        <v>164</v>
      </c>
      <c r="P6" s="2" t="s">
        <v>167</v>
      </c>
      <c r="Q6" s="3" t="s">
        <v>155</v>
      </c>
      <c r="R6" s="3" t="s">
        <v>156</v>
      </c>
      <c r="S6" s="3" t="s">
        <v>157</v>
      </c>
      <c r="T6" s="3" t="s">
        <v>158</v>
      </c>
      <c r="U6" s="3" t="s">
        <v>0</v>
      </c>
      <c r="V6" s="3" t="s">
        <v>159</v>
      </c>
      <c r="W6" s="3" t="s">
        <v>160</v>
      </c>
      <c r="X6" s="3" t="s">
        <v>161</v>
      </c>
      <c r="Y6" s="3" t="s">
        <v>162</v>
      </c>
      <c r="Z6" s="3" t="s">
        <v>163</v>
      </c>
      <c r="AA6" s="3" t="s">
        <v>168</v>
      </c>
      <c r="AB6" s="4" t="s">
        <v>164</v>
      </c>
      <c r="AC6" s="247"/>
    </row>
    <row r="7" spans="1:41" ht="15" thickTop="1" x14ac:dyDescent="0.3">
      <c r="A7" s="246"/>
      <c r="B7" s="34">
        <v>2005</v>
      </c>
      <c r="C7" s="35">
        <v>425</v>
      </c>
      <c r="D7" s="38">
        <v>474</v>
      </c>
      <c r="E7" s="38">
        <v>425</v>
      </c>
      <c r="F7" s="38">
        <v>250</v>
      </c>
      <c r="G7" s="38">
        <v>304</v>
      </c>
      <c r="H7" s="38">
        <v>952</v>
      </c>
      <c r="I7" s="38">
        <v>212</v>
      </c>
      <c r="J7" s="38">
        <v>166</v>
      </c>
      <c r="K7" s="38">
        <v>268</v>
      </c>
      <c r="L7" s="38">
        <v>327</v>
      </c>
      <c r="M7" s="38">
        <v>313</v>
      </c>
      <c r="N7" s="45">
        <v>171</v>
      </c>
      <c r="P7" s="34">
        <v>2005</v>
      </c>
      <c r="Q7" s="239">
        <v>17</v>
      </c>
      <c r="R7" s="239">
        <v>18</v>
      </c>
      <c r="S7" s="239">
        <v>19</v>
      </c>
      <c r="T7" s="239">
        <v>16</v>
      </c>
      <c r="U7" s="239">
        <v>11</v>
      </c>
      <c r="V7" s="239">
        <v>19</v>
      </c>
      <c r="W7" s="239">
        <v>10</v>
      </c>
      <c r="X7" s="239">
        <v>15</v>
      </c>
      <c r="Y7" s="239">
        <v>11</v>
      </c>
      <c r="Z7" s="239">
        <v>18</v>
      </c>
      <c r="AA7" s="239">
        <v>18</v>
      </c>
      <c r="AB7" s="240">
        <v>12</v>
      </c>
      <c r="AC7" s="247"/>
    </row>
    <row r="8" spans="1:41" x14ac:dyDescent="0.3">
      <c r="A8" s="246"/>
      <c r="B8" s="37">
        <v>2006</v>
      </c>
      <c r="C8" s="35">
        <v>490</v>
      </c>
      <c r="D8" s="202" t="s">
        <v>165</v>
      </c>
      <c r="E8" s="38">
        <v>85</v>
      </c>
      <c r="F8" s="38">
        <v>98</v>
      </c>
      <c r="G8" s="38">
        <v>170</v>
      </c>
      <c r="H8" s="38">
        <v>108</v>
      </c>
      <c r="I8" s="38">
        <v>0</v>
      </c>
      <c r="J8" s="38">
        <v>86</v>
      </c>
      <c r="K8" s="38">
        <v>24</v>
      </c>
      <c r="L8" s="38">
        <v>134</v>
      </c>
      <c r="M8" s="38">
        <v>241</v>
      </c>
      <c r="N8" s="45">
        <v>439</v>
      </c>
      <c r="P8" s="37">
        <v>2006</v>
      </c>
      <c r="Q8" s="241">
        <v>25</v>
      </c>
      <c r="R8" s="242" t="s">
        <v>169</v>
      </c>
      <c r="S8" s="241">
        <v>11</v>
      </c>
      <c r="T8" s="241">
        <v>16</v>
      </c>
      <c r="U8" s="241">
        <v>11</v>
      </c>
      <c r="V8" s="241">
        <v>12</v>
      </c>
      <c r="W8" s="241">
        <v>0</v>
      </c>
      <c r="X8" s="241">
        <v>7</v>
      </c>
      <c r="Y8" s="241">
        <v>4</v>
      </c>
      <c r="Z8" s="241">
        <v>9</v>
      </c>
      <c r="AA8" s="241">
        <v>20</v>
      </c>
      <c r="AB8" s="243">
        <v>24</v>
      </c>
      <c r="AC8" s="247"/>
    </row>
    <row r="9" spans="1:41" x14ac:dyDescent="0.3">
      <c r="A9" s="246"/>
      <c r="B9" s="37">
        <v>2007</v>
      </c>
      <c r="C9" s="35">
        <v>247</v>
      </c>
      <c r="D9" s="38">
        <v>424</v>
      </c>
      <c r="E9" s="38">
        <v>267</v>
      </c>
      <c r="F9" s="38">
        <v>458</v>
      </c>
      <c r="G9" s="38">
        <v>236</v>
      </c>
      <c r="H9" s="38">
        <v>362</v>
      </c>
      <c r="I9" s="38">
        <v>222</v>
      </c>
      <c r="J9" s="38">
        <v>282</v>
      </c>
      <c r="K9" s="38">
        <v>140</v>
      </c>
      <c r="L9" s="38">
        <v>277</v>
      </c>
      <c r="M9" s="38">
        <v>466</v>
      </c>
      <c r="N9" s="45">
        <v>361</v>
      </c>
      <c r="P9" s="37">
        <v>2007</v>
      </c>
      <c r="Q9" s="241">
        <v>15</v>
      </c>
      <c r="R9" s="241">
        <v>25</v>
      </c>
      <c r="S9" s="241">
        <v>20</v>
      </c>
      <c r="T9" s="241">
        <v>29</v>
      </c>
      <c r="U9" s="241">
        <v>15</v>
      </c>
      <c r="V9" s="241">
        <v>18</v>
      </c>
      <c r="W9" s="241">
        <v>7</v>
      </c>
      <c r="X9" s="241">
        <v>8</v>
      </c>
      <c r="Y9" s="241">
        <v>10</v>
      </c>
      <c r="Z9" s="241">
        <v>19</v>
      </c>
      <c r="AA9" s="241">
        <v>18</v>
      </c>
      <c r="AB9" s="243">
        <v>29</v>
      </c>
      <c r="AC9" s="247"/>
    </row>
    <row r="10" spans="1:41" x14ac:dyDescent="0.3">
      <c r="A10" s="246"/>
      <c r="B10" s="34">
        <v>2008</v>
      </c>
      <c r="C10" s="35">
        <v>313</v>
      </c>
      <c r="D10" s="38">
        <v>424</v>
      </c>
      <c r="E10" s="38">
        <v>671</v>
      </c>
      <c r="F10" s="38">
        <v>579</v>
      </c>
      <c r="G10" s="38">
        <v>266</v>
      </c>
      <c r="H10" s="38">
        <v>82</v>
      </c>
      <c r="I10" s="38">
        <v>224</v>
      </c>
      <c r="J10" s="38">
        <v>250</v>
      </c>
      <c r="K10" s="38">
        <v>378</v>
      </c>
      <c r="L10" s="38">
        <v>334</v>
      </c>
      <c r="M10" s="38">
        <v>325</v>
      </c>
      <c r="N10" s="45">
        <v>334</v>
      </c>
      <c r="P10" s="34">
        <v>2008</v>
      </c>
      <c r="Q10" s="241">
        <v>16</v>
      </c>
      <c r="R10" s="241">
        <v>24</v>
      </c>
      <c r="S10" s="241">
        <v>25</v>
      </c>
      <c r="T10" s="241">
        <v>22</v>
      </c>
      <c r="U10" s="241">
        <v>13</v>
      </c>
      <c r="V10" s="241">
        <v>11</v>
      </c>
      <c r="W10" s="241">
        <v>7</v>
      </c>
      <c r="X10" s="241">
        <v>14</v>
      </c>
      <c r="Y10" s="241">
        <v>16</v>
      </c>
      <c r="Z10" s="241">
        <v>16</v>
      </c>
      <c r="AA10" s="241">
        <v>19</v>
      </c>
      <c r="AB10" s="243">
        <v>28</v>
      </c>
      <c r="AC10" s="247"/>
    </row>
    <row r="11" spans="1:41" x14ac:dyDescent="0.3">
      <c r="A11" s="246"/>
      <c r="B11" s="37">
        <v>2009</v>
      </c>
      <c r="C11" s="35">
        <v>401</v>
      </c>
      <c r="D11" s="38">
        <v>358</v>
      </c>
      <c r="E11" s="38">
        <v>265</v>
      </c>
      <c r="F11" s="38">
        <v>230</v>
      </c>
      <c r="G11" s="38">
        <v>504</v>
      </c>
      <c r="H11" s="38">
        <v>336</v>
      </c>
      <c r="I11" s="38">
        <v>128</v>
      </c>
      <c r="J11" s="38">
        <v>41</v>
      </c>
      <c r="K11" s="38">
        <v>151</v>
      </c>
      <c r="L11" s="38">
        <v>639</v>
      </c>
      <c r="M11" s="38">
        <v>302</v>
      </c>
      <c r="N11" s="45">
        <v>220</v>
      </c>
      <c r="P11" s="37">
        <v>2009</v>
      </c>
      <c r="Q11" s="241">
        <v>23</v>
      </c>
      <c r="R11" s="241">
        <v>22</v>
      </c>
      <c r="S11" s="241">
        <v>16</v>
      </c>
      <c r="T11" s="241">
        <v>15</v>
      </c>
      <c r="U11" s="241">
        <v>20</v>
      </c>
      <c r="V11" s="241">
        <v>14</v>
      </c>
      <c r="W11" s="241">
        <v>10</v>
      </c>
      <c r="X11" s="241">
        <v>6</v>
      </c>
      <c r="Y11" s="241">
        <v>11</v>
      </c>
      <c r="Z11" s="241">
        <v>25</v>
      </c>
      <c r="AA11" s="241">
        <v>17</v>
      </c>
      <c r="AB11" s="243">
        <v>16</v>
      </c>
      <c r="AC11" s="247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spans="1:41" x14ac:dyDescent="0.3">
      <c r="A12" s="246"/>
      <c r="B12" s="37">
        <v>2010</v>
      </c>
      <c r="C12" s="35">
        <v>295</v>
      </c>
      <c r="D12" s="38">
        <v>597</v>
      </c>
      <c r="E12" s="38">
        <v>425</v>
      </c>
      <c r="F12" s="38">
        <v>40</v>
      </c>
      <c r="G12" s="38">
        <v>370</v>
      </c>
      <c r="H12" s="38">
        <v>323</v>
      </c>
      <c r="I12" s="38">
        <v>392</v>
      </c>
      <c r="J12" s="38">
        <v>568</v>
      </c>
      <c r="K12" s="38">
        <v>627</v>
      </c>
      <c r="L12" s="38">
        <v>748</v>
      </c>
      <c r="M12" s="38">
        <v>522</v>
      </c>
      <c r="N12" s="45">
        <v>326</v>
      </c>
      <c r="P12" s="37">
        <v>2010</v>
      </c>
      <c r="Q12" s="241">
        <v>27</v>
      </c>
      <c r="R12" s="241">
        <v>23</v>
      </c>
      <c r="S12" s="241">
        <v>25</v>
      </c>
      <c r="T12" s="241">
        <v>7</v>
      </c>
      <c r="U12" s="241">
        <v>20</v>
      </c>
      <c r="V12" s="241">
        <v>20</v>
      </c>
      <c r="W12" s="241">
        <v>18</v>
      </c>
      <c r="X12" s="241">
        <v>22</v>
      </c>
      <c r="Y12" s="241">
        <v>28</v>
      </c>
      <c r="Z12" s="241">
        <v>24</v>
      </c>
      <c r="AA12" s="241">
        <v>26</v>
      </c>
      <c r="AB12" s="243">
        <v>26</v>
      </c>
      <c r="AC12" s="247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1" x14ac:dyDescent="0.3">
      <c r="A13" s="246"/>
      <c r="B13" s="34">
        <v>2011</v>
      </c>
      <c r="C13" s="35">
        <v>271</v>
      </c>
      <c r="D13" s="38">
        <v>219</v>
      </c>
      <c r="E13" s="38">
        <v>229</v>
      </c>
      <c r="F13" s="38">
        <v>425</v>
      </c>
      <c r="G13" s="38">
        <v>599</v>
      </c>
      <c r="H13" s="38">
        <v>344</v>
      </c>
      <c r="I13" s="38">
        <v>252</v>
      </c>
      <c r="J13" s="38">
        <v>219</v>
      </c>
      <c r="K13" s="38">
        <v>145</v>
      </c>
      <c r="L13" s="38">
        <v>208</v>
      </c>
      <c r="M13" s="38">
        <v>820</v>
      </c>
      <c r="N13" s="45">
        <v>648</v>
      </c>
      <c r="P13" s="34">
        <v>2011</v>
      </c>
      <c r="Q13" s="241">
        <v>19</v>
      </c>
      <c r="R13" s="241">
        <v>15</v>
      </c>
      <c r="S13" s="241">
        <v>21</v>
      </c>
      <c r="T13" s="241">
        <v>21</v>
      </c>
      <c r="U13" s="241">
        <v>23</v>
      </c>
      <c r="V13" s="241">
        <v>12</v>
      </c>
      <c r="W13" s="241">
        <v>14</v>
      </c>
      <c r="X13" s="241">
        <v>6</v>
      </c>
      <c r="Y13" s="241">
        <v>9</v>
      </c>
      <c r="Z13" s="241">
        <v>14</v>
      </c>
      <c r="AA13" s="241">
        <v>15</v>
      </c>
      <c r="AB13" s="243">
        <v>20</v>
      </c>
      <c r="AC13" s="247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1" x14ac:dyDescent="0.3">
      <c r="A14" s="246"/>
      <c r="B14" s="37">
        <v>2012</v>
      </c>
      <c r="C14" s="35">
        <v>537</v>
      </c>
      <c r="D14" s="38">
        <v>1152</v>
      </c>
      <c r="E14" s="38">
        <v>31</v>
      </c>
      <c r="F14" s="38">
        <v>736</v>
      </c>
      <c r="G14" s="38">
        <v>256</v>
      </c>
      <c r="H14" s="38">
        <v>206</v>
      </c>
      <c r="I14" s="38">
        <v>210</v>
      </c>
      <c r="J14" s="38">
        <v>74</v>
      </c>
      <c r="K14" s="38">
        <v>384</v>
      </c>
      <c r="L14" s="38">
        <v>856</v>
      </c>
      <c r="M14" s="38">
        <v>1264</v>
      </c>
      <c r="N14" s="45">
        <v>655</v>
      </c>
      <c r="P14" s="37">
        <v>2012</v>
      </c>
      <c r="Q14" s="241">
        <v>22</v>
      </c>
      <c r="R14" s="241">
        <v>22</v>
      </c>
      <c r="S14" s="241">
        <v>15</v>
      </c>
      <c r="T14" s="241">
        <v>19</v>
      </c>
      <c r="U14" s="241">
        <v>22</v>
      </c>
      <c r="V14" s="241">
        <v>13</v>
      </c>
      <c r="W14" s="241">
        <v>7</v>
      </c>
      <c r="X14" s="241">
        <v>6</v>
      </c>
      <c r="Y14" s="241">
        <v>11</v>
      </c>
      <c r="Z14" s="241">
        <v>19</v>
      </c>
      <c r="AA14" s="241">
        <v>25</v>
      </c>
      <c r="AB14" s="243">
        <v>23</v>
      </c>
      <c r="AC14" s="247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1" x14ac:dyDescent="0.3">
      <c r="A15" s="246"/>
      <c r="B15" s="37">
        <v>2013</v>
      </c>
      <c r="C15" s="35">
        <v>972</v>
      </c>
      <c r="D15" s="38">
        <v>415</v>
      </c>
      <c r="E15" s="38">
        <v>489</v>
      </c>
      <c r="F15" s="38">
        <v>460</v>
      </c>
      <c r="G15" s="38">
        <v>780</v>
      </c>
      <c r="H15" s="38">
        <v>107</v>
      </c>
      <c r="I15" s="38">
        <v>729</v>
      </c>
      <c r="J15" s="38">
        <v>362</v>
      </c>
      <c r="K15" s="38">
        <v>925</v>
      </c>
      <c r="L15" s="38">
        <v>798</v>
      </c>
      <c r="M15" s="38">
        <v>606</v>
      </c>
      <c r="N15" s="45">
        <v>764</v>
      </c>
      <c r="P15" s="37">
        <v>2013</v>
      </c>
      <c r="Q15" s="241">
        <v>27</v>
      </c>
      <c r="R15" s="241">
        <v>23</v>
      </c>
      <c r="S15" s="241">
        <v>23</v>
      </c>
      <c r="T15" s="241">
        <v>22</v>
      </c>
      <c r="U15" s="241">
        <v>17</v>
      </c>
      <c r="V15" s="241">
        <v>9</v>
      </c>
      <c r="W15" s="241">
        <v>22</v>
      </c>
      <c r="X15" s="241">
        <v>13</v>
      </c>
      <c r="Y15" s="241">
        <v>16</v>
      </c>
      <c r="Z15" s="241">
        <v>18</v>
      </c>
      <c r="AA15" s="241">
        <v>15</v>
      </c>
      <c r="AB15" s="243">
        <v>25</v>
      </c>
      <c r="AC15" s="247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1" x14ac:dyDescent="0.3">
      <c r="A16" s="246"/>
      <c r="B16" s="34">
        <v>2014</v>
      </c>
      <c r="C16" s="35">
        <v>924</v>
      </c>
      <c r="D16" s="38">
        <v>618</v>
      </c>
      <c r="E16" s="38">
        <v>689</v>
      </c>
      <c r="F16" s="38">
        <v>677</v>
      </c>
      <c r="G16" s="38">
        <v>598</v>
      </c>
      <c r="H16" s="38">
        <v>164</v>
      </c>
      <c r="I16" s="38">
        <v>687</v>
      </c>
      <c r="J16" s="38">
        <v>691</v>
      </c>
      <c r="K16" s="38">
        <v>152</v>
      </c>
      <c r="L16" s="38">
        <v>236</v>
      </c>
      <c r="M16" s="38">
        <v>1099</v>
      </c>
      <c r="N16" s="45">
        <v>374</v>
      </c>
      <c r="P16" s="34">
        <v>2014</v>
      </c>
      <c r="Q16" s="241">
        <v>26</v>
      </c>
      <c r="R16" s="241">
        <v>16</v>
      </c>
      <c r="S16" s="241">
        <v>20</v>
      </c>
      <c r="T16" s="241">
        <v>22</v>
      </c>
      <c r="U16" s="241">
        <v>20</v>
      </c>
      <c r="V16" s="241">
        <v>9</v>
      </c>
      <c r="W16" s="241">
        <v>16</v>
      </c>
      <c r="X16" s="241">
        <v>12</v>
      </c>
      <c r="Y16" s="241">
        <v>5</v>
      </c>
      <c r="Z16" s="241">
        <v>9</v>
      </c>
      <c r="AA16" s="241">
        <v>23</v>
      </c>
      <c r="AB16" s="243">
        <v>16</v>
      </c>
      <c r="AC16" s="247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 x14ac:dyDescent="0.3">
      <c r="A17" s="246"/>
      <c r="B17" s="37">
        <v>2015</v>
      </c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5"/>
      <c r="P17" s="37">
        <v>2015</v>
      </c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5"/>
      <c r="AC17" s="247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 ht="15" thickBot="1" x14ac:dyDescent="0.35">
      <c r="A18" s="246"/>
      <c r="B18" s="37">
        <v>2016</v>
      </c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7"/>
      <c r="P18" s="37">
        <v>2016</v>
      </c>
      <c r="Q18" s="266"/>
      <c r="R18" s="266"/>
      <c r="S18" s="266"/>
      <c r="T18" s="266"/>
      <c r="U18" s="266"/>
      <c r="V18" s="266"/>
      <c r="W18" s="266"/>
      <c r="X18" s="266"/>
      <c r="Y18" s="266"/>
      <c r="Z18" s="266"/>
      <c r="AA18" s="266"/>
      <c r="AB18" s="267"/>
      <c r="AC18" s="247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 ht="15" thickTop="1" x14ac:dyDescent="0.3">
      <c r="A19" s="246"/>
      <c r="B19" s="46" t="s">
        <v>1</v>
      </c>
      <c r="C19" s="47">
        <f>MIN(C7:C18)</f>
        <v>247</v>
      </c>
      <c r="D19" s="47">
        <f t="shared" ref="D19:N19" si="0">MIN(D7:D18)</f>
        <v>219</v>
      </c>
      <c r="E19" s="47">
        <f t="shared" si="0"/>
        <v>31</v>
      </c>
      <c r="F19" s="47">
        <f t="shared" si="0"/>
        <v>40</v>
      </c>
      <c r="G19" s="47">
        <f t="shared" si="0"/>
        <v>170</v>
      </c>
      <c r="H19" s="47">
        <f t="shared" si="0"/>
        <v>82</v>
      </c>
      <c r="I19" s="47">
        <f t="shared" si="0"/>
        <v>0</v>
      </c>
      <c r="J19" s="47">
        <f t="shared" si="0"/>
        <v>41</v>
      </c>
      <c r="K19" s="47">
        <f t="shared" si="0"/>
        <v>24</v>
      </c>
      <c r="L19" s="47">
        <f t="shared" si="0"/>
        <v>134</v>
      </c>
      <c r="M19" s="47">
        <f t="shared" si="0"/>
        <v>241</v>
      </c>
      <c r="N19" s="236">
        <f t="shared" si="0"/>
        <v>171</v>
      </c>
      <c r="P19" s="46" t="s">
        <v>1</v>
      </c>
      <c r="Q19" s="47">
        <f>MIN(Q7:Q18)</f>
        <v>15</v>
      </c>
      <c r="R19" s="47">
        <f t="shared" ref="R19:AB19" si="1">MIN(R7:R18)</f>
        <v>15</v>
      </c>
      <c r="S19" s="47">
        <f t="shared" si="1"/>
        <v>11</v>
      </c>
      <c r="T19" s="47">
        <f t="shared" si="1"/>
        <v>7</v>
      </c>
      <c r="U19" s="47">
        <f t="shared" si="1"/>
        <v>11</v>
      </c>
      <c r="V19" s="47">
        <f t="shared" si="1"/>
        <v>9</v>
      </c>
      <c r="W19" s="47">
        <f t="shared" si="1"/>
        <v>0</v>
      </c>
      <c r="X19" s="47">
        <f t="shared" si="1"/>
        <v>6</v>
      </c>
      <c r="Y19" s="47">
        <f t="shared" si="1"/>
        <v>4</v>
      </c>
      <c r="Z19" s="47">
        <f t="shared" si="1"/>
        <v>9</v>
      </c>
      <c r="AA19" s="47">
        <f t="shared" si="1"/>
        <v>15</v>
      </c>
      <c r="AB19" s="236">
        <f t="shared" si="1"/>
        <v>12</v>
      </c>
      <c r="AC19" s="247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 x14ac:dyDescent="0.3">
      <c r="A20" s="246"/>
      <c r="B20" s="48" t="s">
        <v>2</v>
      </c>
      <c r="C20" s="49">
        <f>MAX(C7:C18)</f>
        <v>972</v>
      </c>
      <c r="D20" s="49">
        <f t="shared" ref="D20:N20" si="2">MAX(D7:D18)</f>
        <v>1152</v>
      </c>
      <c r="E20" s="49">
        <f t="shared" si="2"/>
        <v>689</v>
      </c>
      <c r="F20" s="49">
        <f t="shared" si="2"/>
        <v>736</v>
      </c>
      <c r="G20" s="49">
        <f t="shared" si="2"/>
        <v>780</v>
      </c>
      <c r="H20" s="49">
        <f t="shared" si="2"/>
        <v>952</v>
      </c>
      <c r="I20" s="49">
        <f t="shared" si="2"/>
        <v>729</v>
      </c>
      <c r="J20" s="49">
        <f t="shared" si="2"/>
        <v>691</v>
      </c>
      <c r="K20" s="49">
        <f t="shared" si="2"/>
        <v>925</v>
      </c>
      <c r="L20" s="49">
        <f t="shared" si="2"/>
        <v>856</v>
      </c>
      <c r="M20" s="49">
        <f t="shared" si="2"/>
        <v>1264</v>
      </c>
      <c r="N20" s="237">
        <f t="shared" si="2"/>
        <v>764</v>
      </c>
      <c r="P20" s="48" t="s">
        <v>2</v>
      </c>
      <c r="Q20" s="49">
        <f>MAX(Q7:Q18)</f>
        <v>27</v>
      </c>
      <c r="R20" s="49">
        <f t="shared" ref="R20:AB20" si="3">MAX(R7:R18)</f>
        <v>25</v>
      </c>
      <c r="S20" s="49">
        <f t="shared" si="3"/>
        <v>25</v>
      </c>
      <c r="T20" s="49">
        <f t="shared" si="3"/>
        <v>29</v>
      </c>
      <c r="U20" s="49">
        <f t="shared" si="3"/>
        <v>23</v>
      </c>
      <c r="V20" s="49">
        <f t="shared" si="3"/>
        <v>20</v>
      </c>
      <c r="W20" s="49">
        <f t="shared" si="3"/>
        <v>22</v>
      </c>
      <c r="X20" s="49">
        <f t="shared" si="3"/>
        <v>22</v>
      </c>
      <c r="Y20" s="49">
        <f t="shared" si="3"/>
        <v>28</v>
      </c>
      <c r="Z20" s="49">
        <f t="shared" si="3"/>
        <v>25</v>
      </c>
      <c r="AA20" s="49">
        <f t="shared" si="3"/>
        <v>26</v>
      </c>
      <c r="AB20" s="237">
        <f t="shared" si="3"/>
        <v>29</v>
      </c>
      <c r="AC20" s="247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 ht="15" thickBot="1" x14ac:dyDescent="0.35">
      <c r="A21" s="246"/>
      <c r="B21" s="50" t="s">
        <v>3</v>
      </c>
      <c r="C21" s="51">
        <f>AVERAGE(C7:C18)</f>
        <v>487.5</v>
      </c>
      <c r="D21" s="51">
        <f t="shared" ref="D21:N21" si="4">AVERAGE(D7:D18)</f>
        <v>520.11111111111109</v>
      </c>
      <c r="E21" s="51">
        <f t="shared" si="4"/>
        <v>357.6</v>
      </c>
      <c r="F21" s="51">
        <f t="shared" si="4"/>
        <v>395.3</v>
      </c>
      <c r="G21" s="51">
        <f t="shared" si="4"/>
        <v>408.3</v>
      </c>
      <c r="H21" s="51">
        <f t="shared" si="4"/>
        <v>298.39999999999998</v>
      </c>
      <c r="I21" s="51">
        <f t="shared" si="4"/>
        <v>305.60000000000002</v>
      </c>
      <c r="J21" s="51">
        <f t="shared" si="4"/>
        <v>273.89999999999998</v>
      </c>
      <c r="K21" s="51">
        <f t="shared" si="4"/>
        <v>319.39999999999998</v>
      </c>
      <c r="L21" s="51">
        <f t="shared" si="4"/>
        <v>455.7</v>
      </c>
      <c r="M21" s="51">
        <f t="shared" si="4"/>
        <v>595.79999999999995</v>
      </c>
      <c r="N21" s="238">
        <f t="shared" si="4"/>
        <v>429.2</v>
      </c>
      <c r="P21" s="50" t="s">
        <v>3</v>
      </c>
      <c r="Q21" s="51">
        <f>AVERAGE(Q7:Q18)</f>
        <v>21.7</v>
      </c>
      <c r="R21" s="51">
        <f t="shared" ref="R21:AB21" si="5">AVERAGE(R7:R18)</f>
        <v>20.888888888888889</v>
      </c>
      <c r="S21" s="51">
        <f t="shared" si="5"/>
        <v>19.5</v>
      </c>
      <c r="T21" s="51">
        <f t="shared" si="5"/>
        <v>18.899999999999999</v>
      </c>
      <c r="U21" s="51">
        <f t="shared" si="5"/>
        <v>17.2</v>
      </c>
      <c r="V21" s="51">
        <f t="shared" si="5"/>
        <v>13.7</v>
      </c>
      <c r="W21" s="51">
        <f t="shared" si="5"/>
        <v>11.1</v>
      </c>
      <c r="X21" s="51">
        <f t="shared" si="5"/>
        <v>10.9</v>
      </c>
      <c r="Y21" s="51">
        <f t="shared" si="5"/>
        <v>12.1</v>
      </c>
      <c r="Z21" s="51">
        <f t="shared" si="5"/>
        <v>17.100000000000001</v>
      </c>
      <c r="AA21" s="51">
        <f t="shared" si="5"/>
        <v>19.600000000000001</v>
      </c>
      <c r="AB21" s="238">
        <f t="shared" si="5"/>
        <v>21.9</v>
      </c>
      <c r="AC21" s="247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 ht="15" thickTop="1" x14ac:dyDescent="0.3">
      <c r="A22" s="24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AC22" s="247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 ht="15" thickBot="1" x14ac:dyDescent="0.35">
      <c r="A23" s="246"/>
      <c r="B23" s="798" t="s">
        <v>172</v>
      </c>
      <c r="C23" s="798"/>
      <c r="D23" s="798"/>
      <c r="E23" s="798"/>
      <c r="F23" s="798"/>
      <c r="G23" s="798"/>
      <c r="H23" s="798"/>
      <c r="I23" s="798"/>
      <c r="J23" s="798"/>
      <c r="K23" s="798"/>
      <c r="L23" s="798"/>
      <c r="M23" s="798"/>
      <c r="P23" s="798" t="s">
        <v>173</v>
      </c>
      <c r="Q23" s="798"/>
      <c r="R23" s="798"/>
      <c r="S23" s="798"/>
      <c r="T23" s="798"/>
      <c r="U23" s="798"/>
      <c r="V23" s="798"/>
      <c r="W23" s="798"/>
      <c r="X23" s="798"/>
      <c r="Y23" s="798"/>
      <c r="Z23" s="798"/>
      <c r="AA23" s="798"/>
      <c r="AC23" s="247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 ht="15.6" thickTop="1" thickBot="1" x14ac:dyDescent="0.35">
      <c r="A24" s="246"/>
      <c r="B24" s="2" t="s">
        <v>167</v>
      </c>
      <c r="C24" s="3" t="s">
        <v>155</v>
      </c>
      <c r="D24" s="3" t="s">
        <v>156</v>
      </c>
      <c r="E24" s="3" t="s">
        <v>157</v>
      </c>
      <c r="F24" s="3" t="s">
        <v>158</v>
      </c>
      <c r="G24" s="3" t="s">
        <v>0</v>
      </c>
      <c r="H24" s="3" t="s">
        <v>159</v>
      </c>
      <c r="I24" s="3" t="s">
        <v>160</v>
      </c>
      <c r="J24" s="3" t="s">
        <v>161</v>
      </c>
      <c r="K24" s="3" t="s">
        <v>162</v>
      </c>
      <c r="L24" s="3" t="s">
        <v>163</v>
      </c>
      <c r="M24" s="3" t="s">
        <v>168</v>
      </c>
      <c r="N24" s="4" t="s">
        <v>164</v>
      </c>
      <c r="P24" s="2" t="s">
        <v>167</v>
      </c>
      <c r="Q24" s="3" t="s">
        <v>155</v>
      </c>
      <c r="R24" s="3" t="s">
        <v>156</v>
      </c>
      <c r="S24" s="3" t="s">
        <v>157</v>
      </c>
      <c r="T24" s="3" t="s">
        <v>158</v>
      </c>
      <c r="U24" s="3" t="s">
        <v>0</v>
      </c>
      <c r="V24" s="3" t="s">
        <v>159</v>
      </c>
      <c r="W24" s="3" t="s">
        <v>160</v>
      </c>
      <c r="X24" s="3" t="s">
        <v>161</v>
      </c>
      <c r="Y24" s="3" t="s">
        <v>162</v>
      </c>
      <c r="Z24" s="3" t="s">
        <v>163</v>
      </c>
      <c r="AA24" s="3" t="s">
        <v>168</v>
      </c>
      <c r="AB24" s="3" t="s">
        <v>164</v>
      </c>
      <c r="AC24" s="247"/>
    </row>
    <row r="25" spans="1:40" ht="15" thickTop="1" x14ac:dyDescent="0.3">
      <c r="A25" s="246"/>
      <c r="B25" s="34">
        <v>2005</v>
      </c>
      <c r="C25" s="35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45"/>
      <c r="P25" s="34">
        <v>2005</v>
      </c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39"/>
      <c r="AB25" s="239"/>
      <c r="AC25" s="247"/>
    </row>
    <row r="26" spans="1:40" x14ac:dyDescent="0.3">
      <c r="A26" s="246"/>
      <c r="B26" s="37">
        <v>2006</v>
      </c>
      <c r="C26" s="35">
        <v>294</v>
      </c>
      <c r="D26" s="38">
        <v>348</v>
      </c>
      <c r="E26" s="38">
        <v>381</v>
      </c>
      <c r="F26" s="38">
        <v>322</v>
      </c>
      <c r="G26" s="38">
        <v>272</v>
      </c>
      <c r="H26" s="38">
        <v>54</v>
      </c>
      <c r="I26" s="38">
        <v>45</v>
      </c>
      <c r="J26" s="38">
        <v>0</v>
      </c>
      <c r="K26" s="38">
        <v>1</v>
      </c>
      <c r="L26" s="38">
        <v>12</v>
      </c>
      <c r="M26" s="38">
        <v>46</v>
      </c>
      <c r="N26" s="45">
        <v>336</v>
      </c>
      <c r="P26" s="37">
        <v>2006</v>
      </c>
      <c r="Q26" s="241">
        <v>20</v>
      </c>
      <c r="R26" s="241">
        <v>21</v>
      </c>
      <c r="S26" s="241">
        <v>23</v>
      </c>
      <c r="T26" s="241">
        <v>17</v>
      </c>
      <c r="U26" s="241">
        <v>14</v>
      </c>
      <c r="V26" s="241">
        <v>5</v>
      </c>
      <c r="W26" s="241">
        <v>2</v>
      </c>
      <c r="X26" s="241">
        <v>0</v>
      </c>
      <c r="Y26" s="241">
        <v>1</v>
      </c>
      <c r="Z26" s="241">
        <v>2</v>
      </c>
      <c r="AA26" s="241">
        <v>7</v>
      </c>
      <c r="AB26" s="241">
        <v>23</v>
      </c>
      <c r="AC26" s="247"/>
    </row>
    <row r="27" spans="1:40" x14ac:dyDescent="0.3">
      <c r="A27" s="246"/>
      <c r="B27" s="37">
        <v>2007</v>
      </c>
      <c r="C27" s="35">
        <v>275</v>
      </c>
      <c r="D27" s="38">
        <v>1081</v>
      </c>
      <c r="E27" s="38">
        <v>51</v>
      </c>
      <c r="F27" s="38">
        <v>311</v>
      </c>
      <c r="G27" s="38">
        <v>53</v>
      </c>
      <c r="H27" s="38">
        <v>1</v>
      </c>
      <c r="I27" s="38">
        <v>322</v>
      </c>
      <c r="J27" s="38">
        <v>65</v>
      </c>
      <c r="K27" s="38">
        <v>27</v>
      </c>
      <c r="L27" s="38">
        <v>168</v>
      </c>
      <c r="M27" s="38">
        <v>126</v>
      </c>
      <c r="N27" s="45">
        <v>534</v>
      </c>
      <c r="P27" s="37">
        <v>2007</v>
      </c>
      <c r="Q27" s="241">
        <v>14</v>
      </c>
      <c r="R27" s="241">
        <v>24</v>
      </c>
      <c r="S27" s="241">
        <v>8</v>
      </c>
      <c r="T27" s="241">
        <v>18</v>
      </c>
      <c r="U27" s="241">
        <v>11</v>
      </c>
      <c r="V27" s="241">
        <v>1</v>
      </c>
      <c r="W27" s="241">
        <v>17</v>
      </c>
      <c r="X27" s="241">
        <v>5</v>
      </c>
      <c r="Y27" s="241">
        <v>4</v>
      </c>
      <c r="Z27" s="241">
        <v>13</v>
      </c>
      <c r="AA27" s="241">
        <v>13</v>
      </c>
      <c r="AB27" s="241">
        <v>21</v>
      </c>
      <c r="AC27" s="248"/>
    </row>
    <row r="28" spans="1:40" x14ac:dyDescent="0.3">
      <c r="A28" s="246"/>
      <c r="B28" s="34">
        <v>2008</v>
      </c>
      <c r="C28" s="35">
        <v>273</v>
      </c>
      <c r="D28" s="38">
        <v>547</v>
      </c>
      <c r="E28" s="38">
        <v>264</v>
      </c>
      <c r="F28" s="38">
        <v>386</v>
      </c>
      <c r="G28" s="38">
        <v>107</v>
      </c>
      <c r="H28" s="38">
        <v>108</v>
      </c>
      <c r="I28" s="38">
        <v>45</v>
      </c>
      <c r="J28" s="38">
        <v>68</v>
      </c>
      <c r="K28" s="38">
        <v>61</v>
      </c>
      <c r="L28" s="38">
        <v>79</v>
      </c>
      <c r="M28" s="38">
        <v>228</v>
      </c>
      <c r="N28" s="45">
        <v>149</v>
      </c>
      <c r="P28" s="34">
        <v>2008</v>
      </c>
      <c r="Q28" s="241">
        <v>14</v>
      </c>
      <c r="R28" s="241">
        <v>29</v>
      </c>
      <c r="S28" s="241">
        <v>25</v>
      </c>
      <c r="T28" s="241">
        <v>18</v>
      </c>
      <c r="U28" s="241">
        <v>8</v>
      </c>
      <c r="V28" s="241">
        <v>8</v>
      </c>
      <c r="W28" s="241">
        <v>2</v>
      </c>
      <c r="X28" s="241">
        <v>8</v>
      </c>
      <c r="Y28" s="241">
        <v>6</v>
      </c>
      <c r="Z28" s="241">
        <v>12</v>
      </c>
      <c r="AA28" s="241">
        <v>21</v>
      </c>
      <c r="AB28" s="241">
        <v>19</v>
      </c>
      <c r="AC28" s="248"/>
    </row>
    <row r="29" spans="1:40" x14ac:dyDescent="0.3">
      <c r="A29" s="246"/>
      <c r="B29" s="37">
        <v>2009</v>
      </c>
      <c r="C29" s="35">
        <v>389</v>
      </c>
      <c r="D29" s="38">
        <v>382</v>
      </c>
      <c r="E29" s="38">
        <v>193</v>
      </c>
      <c r="F29" s="38">
        <v>272</v>
      </c>
      <c r="G29" s="38">
        <v>280</v>
      </c>
      <c r="H29" s="38">
        <v>58</v>
      </c>
      <c r="I29" s="38">
        <v>46</v>
      </c>
      <c r="J29" s="38">
        <v>226</v>
      </c>
      <c r="K29" s="38">
        <v>42</v>
      </c>
      <c r="L29" s="38">
        <v>64</v>
      </c>
      <c r="M29" s="38">
        <v>263</v>
      </c>
      <c r="N29" s="45">
        <v>294</v>
      </c>
      <c r="P29" s="37">
        <v>2009</v>
      </c>
      <c r="Q29" s="241">
        <v>22</v>
      </c>
      <c r="R29" s="241">
        <v>17</v>
      </c>
      <c r="S29" s="241">
        <v>17</v>
      </c>
      <c r="T29" s="241">
        <v>12</v>
      </c>
      <c r="U29" s="241">
        <v>9</v>
      </c>
      <c r="V29" s="241">
        <v>4</v>
      </c>
      <c r="W29" s="241">
        <v>3</v>
      </c>
      <c r="X29" s="241">
        <v>2</v>
      </c>
      <c r="Y29" s="241">
        <v>3</v>
      </c>
      <c r="Z29" s="241">
        <v>7</v>
      </c>
      <c r="AA29" s="241">
        <v>15</v>
      </c>
      <c r="AB29" s="241">
        <v>13</v>
      </c>
      <c r="AC29" s="248"/>
    </row>
    <row r="30" spans="1:40" x14ac:dyDescent="0.3">
      <c r="A30" s="246"/>
      <c r="B30" s="37">
        <v>2010</v>
      </c>
      <c r="C30" s="35">
        <v>403</v>
      </c>
      <c r="D30" s="38">
        <v>270</v>
      </c>
      <c r="E30" s="38">
        <v>151</v>
      </c>
      <c r="F30" s="38">
        <v>109</v>
      </c>
      <c r="G30" s="38">
        <v>275</v>
      </c>
      <c r="H30" s="38">
        <v>142</v>
      </c>
      <c r="I30" s="38">
        <v>84</v>
      </c>
      <c r="J30" s="38">
        <v>137</v>
      </c>
      <c r="K30" s="38">
        <v>347</v>
      </c>
      <c r="L30" s="38">
        <v>519</v>
      </c>
      <c r="M30" s="38">
        <v>245</v>
      </c>
      <c r="N30" s="45">
        <v>177</v>
      </c>
      <c r="P30" s="37">
        <v>2010</v>
      </c>
      <c r="Q30" s="241">
        <v>21</v>
      </c>
      <c r="R30" s="241">
        <v>17</v>
      </c>
      <c r="S30" s="241">
        <v>13</v>
      </c>
      <c r="T30" s="241">
        <v>9</v>
      </c>
      <c r="U30" s="241">
        <v>14</v>
      </c>
      <c r="V30" s="241">
        <v>13</v>
      </c>
      <c r="W30" s="241">
        <v>11</v>
      </c>
      <c r="X30" s="241">
        <v>10</v>
      </c>
      <c r="Y30" s="241">
        <v>19</v>
      </c>
      <c r="Z30" s="241">
        <v>21</v>
      </c>
      <c r="AA30" s="241">
        <v>18</v>
      </c>
      <c r="AB30" s="241">
        <v>20</v>
      </c>
      <c r="AC30" s="248"/>
    </row>
    <row r="31" spans="1:40" x14ac:dyDescent="0.3">
      <c r="A31" s="246"/>
      <c r="B31" s="34">
        <v>2011</v>
      </c>
      <c r="C31" s="35">
        <v>130</v>
      </c>
      <c r="D31" s="38">
        <v>614</v>
      </c>
      <c r="E31" s="38">
        <v>97</v>
      </c>
      <c r="F31" s="38">
        <v>73</v>
      </c>
      <c r="G31" s="38">
        <v>227</v>
      </c>
      <c r="H31" s="38">
        <v>48</v>
      </c>
      <c r="I31" s="38">
        <v>12</v>
      </c>
      <c r="J31" s="38">
        <v>0</v>
      </c>
      <c r="K31" s="38">
        <v>10</v>
      </c>
      <c r="L31" s="38">
        <v>73</v>
      </c>
      <c r="M31" s="38">
        <v>263</v>
      </c>
      <c r="N31" s="45">
        <v>110</v>
      </c>
      <c r="P31" s="34">
        <v>2011</v>
      </c>
      <c r="Q31" s="241">
        <v>19</v>
      </c>
      <c r="R31" s="241">
        <v>26</v>
      </c>
      <c r="S31" s="241">
        <v>14</v>
      </c>
      <c r="T31" s="241">
        <v>13</v>
      </c>
      <c r="U31" s="241">
        <v>17</v>
      </c>
      <c r="V31" s="241">
        <v>6</v>
      </c>
      <c r="W31" s="241">
        <v>1</v>
      </c>
      <c r="X31" s="241">
        <v>0</v>
      </c>
      <c r="Y31" s="241">
        <v>4</v>
      </c>
      <c r="Z31" s="241">
        <v>8</v>
      </c>
      <c r="AA31" s="241">
        <v>16</v>
      </c>
      <c r="AB31" s="241">
        <v>18</v>
      </c>
      <c r="AC31" s="248"/>
    </row>
    <row r="32" spans="1:40" x14ac:dyDescent="0.3">
      <c r="A32" s="246"/>
      <c r="B32" s="37">
        <v>2012</v>
      </c>
      <c r="C32" s="35">
        <v>561</v>
      </c>
      <c r="D32" s="38">
        <v>250</v>
      </c>
      <c r="E32" s="38">
        <v>254</v>
      </c>
      <c r="F32" s="38">
        <v>156</v>
      </c>
      <c r="G32" s="38">
        <v>98</v>
      </c>
      <c r="H32" s="38">
        <v>93</v>
      </c>
      <c r="I32" s="38">
        <v>1</v>
      </c>
      <c r="J32" s="38">
        <v>0</v>
      </c>
      <c r="K32" s="38">
        <v>0</v>
      </c>
      <c r="L32" s="38">
        <v>99</v>
      </c>
      <c r="M32" s="38">
        <v>269</v>
      </c>
      <c r="N32" s="45">
        <v>364</v>
      </c>
      <c r="P32" s="37">
        <v>2012</v>
      </c>
      <c r="Q32" s="241">
        <v>25</v>
      </c>
      <c r="R32" s="241">
        <v>16</v>
      </c>
      <c r="S32" s="241">
        <v>19</v>
      </c>
      <c r="T32" s="241">
        <v>12</v>
      </c>
      <c r="U32" s="241">
        <v>10</v>
      </c>
      <c r="V32" s="241">
        <v>2</v>
      </c>
      <c r="W32" s="241">
        <v>2</v>
      </c>
      <c r="X32" s="241">
        <v>0</v>
      </c>
      <c r="Y32" s="241">
        <v>0</v>
      </c>
      <c r="Z32" s="241">
        <v>8</v>
      </c>
      <c r="AA32" s="241">
        <v>24</v>
      </c>
      <c r="AB32" s="241">
        <v>20</v>
      </c>
      <c r="AC32" s="248"/>
    </row>
    <row r="33" spans="1:29" x14ac:dyDescent="0.3">
      <c r="A33" s="246"/>
      <c r="B33" s="37">
        <v>2013</v>
      </c>
      <c r="C33" s="35">
        <v>678</v>
      </c>
      <c r="D33" s="38">
        <v>283</v>
      </c>
      <c r="E33" s="38">
        <v>228</v>
      </c>
      <c r="F33" s="38">
        <v>260</v>
      </c>
      <c r="G33" s="38">
        <v>271</v>
      </c>
      <c r="H33" s="38">
        <v>119</v>
      </c>
      <c r="I33" s="38">
        <v>166</v>
      </c>
      <c r="J33" s="38">
        <v>28</v>
      </c>
      <c r="K33" s="38">
        <v>28</v>
      </c>
      <c r="L33" s="38">
        <v>85</v>
      </c>
      <c r="M33" s="38">
        <v>387</v>
      </c>
      <c r="N33" s="45">
        <v>456</v>
      </c>
      <c r="P33" s="37">
        <v>2013</v>
      </c>
      <c r="Q33" s="241">
        <v>27</v>
      </c>
      <c r="R33" s="241">
        <v>22</v>
      </c>
      <c r="S33" s="241">
        <v>22</v>
      </c>
      <c r="T33" s="241">
        <v>18</v>
      </c>
      <c r="U33" s="241">
        <v>13</v>
      </c>
      <c r="V33" s="241">
        <v>14</v>
      </c>
      <c r="W33" s="241">
        <v>17</v>
      </c>
      <c r="X33" s="241">
        <v>9</v>
      </c>
      <c r="Y33" s="241">
        <v>9</v>
      </c>
      <c r="Z33" s="241">
        <v>12</v>
      </c>
      <c r="AA33" s="241">
        <v>17</v>
      </c>
      <c r="AB33" s="241">
        <v>24</v>
      </c>
      <c r="AC33" s="248"/>
    </row>
    <row r="34" spans="1:29" x14ac:dyDescent="0.3">
      <c r="A34" s="246"/>
      <c r="B34" s="34">
        <v>2014</v>
      </c>
      <c r="C34" s="35">
        <v>855</v>
      </c>
      <c r="D34" s="38">
        <v>456</v>
      </c>
      <c r="E34" s="38">
        <v>348</v>
      </c>
      <c r="F34" s="38">
        <v>232</v>
      </c>
      <c r="G34" s="38">
        <v>182</v>
      </c>
      <c r="H34" s="38">
        <v>158</v>
      </c>
      <c r="I34" s="38">
        <v>203</v>
      </c>
      <c r="J34" s="38">
        <v>95</v>
      </c>
      <c r="K34" s="38">
        <v>24</v>
      </c>
      <c r="L34" s="38">
        <v>0</v>
      </c>
      <c r="M34" s="38">
        <v>340</v>
      </c>
      <c r="N34" s="45">
        <v>344</v>
      </c>
      <c r="P34" s="34">
        <v>2014</v>
      </c>
      <c r="Q34" s="241">
        <v>25</v>
      </c>
      <c r="R34" s="241">
        <v>23</v>
      </c>
      <c r="S34" s="241">
        <v>19</v>
      </c>
      <c r="T34" s="241">
        <v>20</v>
      </c>
      <c r="U34" s="241">
        <v>19</v>
      </c>
      <c r="V34" s="241">
        <v>14</v>
      </c>
      <c r="W34" s="241">
        <v>19</v>
      </c>
      <c r="X34" s="241">
        <v>4</v>
      </c>
      <c r="Y34" s="241">
        <v>2</v>
      </c>
      <c r="Z34" s="241">
        <v>0</v>
      </c>
      <c r="AA34" s="241">
        <v>16</v>
      </c>
      <c r="AB34" s="241">
        <v>16</v>
      </c>
      <c r="AC34" s="248"/>
    </row>
    <row r="35" spans="1:29" x14ac:dyDescent="0.3">
      <c r="A35" s="246"/>
      <c r="B35" s="37">
        <v>2015</v>
      </c>
      <c r="C35" s="38">
        <v>357</v>
      </c>
      <c r="D35" s="38">
        <v>256</v>
      </c>
      <c r="E35" s="38">
        <v>319</v>
      </c>
      <c r="F35" s="38">
        <v>101</v>
      </c>
      <c r="G35" s="38">
        <v>150</v>
      </c>
      <c r="H35" s="38">
        <v>244</v>
      </c>
      <c r="I35" s="38">
        <v>182</v>
      </c>
      <c r="J35" s="38">
        <v>66</v>
      </c>
      <c r="K35" s="38">
        <v>218</v>
      </c>
      <c r="L35" s="38">
        <v>85</v>
      </c>
      <c r="M35" s="38">
        <v>116</v>
      </c>
      <c r="N35" s="39">
        <v>231</v>
      </c>
      <c r="P35" s="37">
        <v>2015</v>
      </c>
      <c r="Q35" s="38">
        <v>18</v>
      </c>
      <c r="R35" s="38">
        <v>21</v>
      </c>
      <c r="S35" s="38">
        <v>20</v>
      </c>
      <c r="T35" s="38">
        <v>14</v>
      </c>
      <c r="U35" s="38">
        <v>8</v>
      </c>
      <c r="V35" s="38">
        <v>15</v>
      </c>
      <c r="W35" s="38">
        <v>5</v>
      </c>
      <c r="X35" s="38">
        <v>9</v>
      </c>
      <c r="Y35" s="38">
        <v>8</v>
      </c>
      <c r="Z35" s="38">
        <v>15</v>
      </c>
      <c r="AA35" s="38">
        <v>18</v>
      </c>
      <c r="AB35" s="38">
        <v>15</v>
      </c>
      <c r="AC35" s="248"/>
    </row>
    <row r="36" spans="1:29" ht="15" thickBot="1" x14ac:dyDescent="0.35">
      <c r="A36" s="246"/>
      <c r="B36" s="37">
        <v>2016</v>
      </c>
      <c r="C36" s="266">
        <v>233.5</v>
      </c>
      <c r="D36" s="266">
        <v>516.19999999999993</v>
      </c>
      <c r="E36" s="266">
        <v>201.8</v>
      </c>
      <c r="F36" s="266">
        <v>225.6</v>
      </c>
      <c r="G36" s="266">
        <v>211.6</v>
      </c>
      <c r="H36" s="266">
        <v>245.99999999999994</v>
      </c>
      <c r="I36" s="266">
        <v>152.6</v>
      </c>
      <c r="J36" s="266">
        <v>171.40000000000006</v>
      </c>
      <c r="K36" s="266">
        <v>339.8</v>
      </c>
      <c r="L36" s="266">
        <v>324.2</v>
      </c>
      <c r="M36" s="266">
        <v>126.59999999999997</v>
      </c>
      <c r="N36" s="267">
        <v>299.8</v>
      </c>
      <c r="P36" s="37">
        <v>2016</v>
      </c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48"/>
    </row>
    <row r="37" spans="1:29" ht="15" thickTop="1" x14ac:dyDescent="0.3">
      <c r="A37" s="246"/>
      <c r="B37" s="46" t="s">
        <v>1</v>
      </c>
      <c r="C37" s="47">
        <f>MIN(C25:C36)</f>
        <v>130</v>
      </c>
      <c r="D37" s="47">
        <f t="shared" ref="D37:N37" si="6">MIN(D25:D36)</f>
        <v>250</v>
      </c>
      <c r="E37" s="47">
        <f t="shared" si="6"/>
        <v>51</v>
      </c>
      <c r="F37" s="47">
        <f t="shared" si="6"/>
        <v>73</v>
      </c>
      <c r="G37" s="47">
        <f t="shared" si="6"/>
        <v>53</v>
      </c>
      <c r="H37" s="47">
        <f t="shared" si="6"/>
        <v>1</v>
      </c>
      <c r="I37" s="47">
        <f t="shared" si="6"/>
        <v>1</v>
      </c>
      <c r="J37" s="47">
        <f t="shared" si="6"/>
        <v>0</v>
      </c>
      <c r="K37" s="47">
        <f t="shared" si="6"/>
        <v>0</v>
      </c>
      <c r="L37" s="47">
        <f t="shared" si="6"/>
        <v>0</v>
      </c>
      <c r="M37" s="47">
        <f t="shared" si="6"/>
        <v>46</v>
      </c>
      <c r="N37" s="236">
        <f t="shared" si="6"/>
        <v>110</v>
      </c>
      <c r="P37" s="46" t="s">
        <v>1</v>
      </c>
      <c r="Q37" s="47">
        <f>MIN(Q25:Q36)</f>
        <v>14</v>
      </c>
      <c r="R37" s="47">
        <f t="shared" ref="R37:AB37" si="7">MIN(R25:R36)</f>
        <v>16</v>
      </c>
      <c r="S37" s="47">
        <f t="shared" si="7"/>
        <v>8</v>
      </c>
      <c r="T37" s="47">
        <f t="shared" si="7"/>
        <v>9</v>
      </c>
      <c r="U37" s="47">
        <f t="shared" si="7"/>
        <v>8</v>
      </c>
      <c r="V37" s="47">
        <f t="shared" si="7"/>
        <v>1</v>
      </c>
      <c r="W37" s="47">
        <f t="shared" si="7"/>
        <v>1</v>
      </c>
      <c r="X37" s="47">
        <f t="shared" si="7"/>
        <v>0</v>
      </c>
      <c r="Y37" s="47">
        <f t="shared" si="7"/>
        <v>0</v>
      </c>
      <c r="Z37" s="47">
        <f t="shared" si="7"/>
        <v>0</v>
      </c>
      <c r="AA37" s="47">
        <f t="shared" si="7"/>
        <v>7</v>
      </c>
      <c r="AB37" s="47">
        <f t="shared" si="7"/>
        <v>13</v>
      </c>
      <c r="AC37" s="248"/>
    </row>
    <row r="38" spans="1:29" x14ac:dyDescent="0.3">
      <c r="A38" s="246"/>
      <c r="B38" s="48" t="s">
        <v>2</v>
      </c>
      <c r="C38" s="49">
        <f>MAX(C25:C36)</f>
        <v>855</v>
      </c>
      <c r="D38" s="49">
        <f t="shared" ref="D38:N38" si="8">MAX(D25:D36)</f>
        <v>1081</v>
      </c>
      <c r="E38" s="49">
        <f t="shared" si="8"/>
        <v>381</v>
      </c>
      <c r="F38" s="49">
        <f t="shared" si="8"/>
        <v>386</v>
      </c>
      <c r="G38" s="49">
        <f t="shared" si="8"/>
        <v>280</v>
      </c>
      <c r="H38" s="49">
        <f t="shared" si="8"/>
        <v>245.99999999999994</v>
      </c>
      <c r="I38" s="49">
        <f t="shared" si="8"/>
        <v>322</v>
      </c>
      <c r="J38" s="49">
        <f t="shared" si="8"/>
        <v>226</v>
      </c>
      <c r="K38" s="49">
        <f t="shared" si="8"/>
        <v>347</v>
      </c>
      <c r="L38" s="49">
        <f t="shared" si="8"/>
        <v>519</v>
      </c>
      <c r="M38" s="49">
        <f t="shared" si="8"/>
        <v>387</v>
      </c>
      <c r="N38" s="237">
        <f t="shared" si="8"/>
        <v>534</v>
      </c>
      <c r="P38" s="48" t="s">
        <v>2</v>
      </c>
      <c r="Q38" s="49">
        <f>MAX(Q25:Q36)</f>
        <v>27</v>
      </c>
      <c r="R38" s="49">
        <f t="shared" ref="R38:AB38" si="9">MAX(R25:R36)</f>
        <v>29</v>
      </c>
      <c r="S38" s="49">
        <f t="shared" si="9"/>
        <v>25</v>
      </c>
      <c r="T38" s="49">
        <f t="shared" si="9"/>
        <v>20</v>
      </c>
      <c r="U38" s="49">
        <f t="shared" si="9"/>
        <v>19</v>
      </c>
      <c r="V38" s="49">
        <f t="shared" si="9"/>
        <v>15</v>
      </c>
      <c r="W38" s="49">
        <f t="shared" si="9"/>
        <v>19</v>
      </c>
      <c r="X38" s="49">
        <f t="shared" si="9"/>
        <v>10</v>
      </c>
      <c r="Y38" s="49">
        <f t="shared" si="9"/>
        <v>19</v>
      </c>
      <c r="Z38" s="49">
        <f t="shared" si="9"/>
        <v>21</v>
      </c>
      <c r="AA38" s="49">
        <f t="shared" si="9"/>
        <v>24</v>
      </c>
      <c r="AB38" s="49">
        <f t="shared" si="9"/>
        <v>24</v>
      </c>
      <c r="AC38" s="248"/>
    </row>
    <row r="39" spans="1:29" ht="15" thickBot="1" x14ac:dyDescent="0.35">
      <c r="A39" s="246"/>
      <c r="B39" s="50" t="s">
        <v>3</v>
      </c>
      <c r="C39" s="51">
        <f>AVERAGE(C25:C36)</f>
        <v>404.40909090909093</v>
      </c>
      <c r="D39" s="51">
        <f t="shared" ref="D39:N39" si="10">AVERAGE(D25:D36)</f>
        <v>454.83636363636361</v>
      </c>
      <c r="E39" s="51">
        <f t="shared" si="10"/>
        <v>226.16363636363639</v>
      </c>
      <c r="F39" s="51">
        <f t="shared" si="10"/>
        <v>222.5090909090909</v>
      </c>
      <c r="G39" s="51">
        <f t="shared" si="10"/>
        <v>193.32727272727271</v>
      </c>
      <c r="H39" s="51">
        <f t="shared" si="10"/>
        <v>115.54545454545455</v>
      </c>
      <c r="I39" s="51">
        <f t="shared" si="10"/>
        <v>114.41818181818181</v>
      </c>
      <c r="J39" s="51">
        <f t="shared" si="10"/>
        <v>77.854545454545459</v>
      </c>
      <c r="K39" s="51">
        <f t="shared" si="10"/>
        <v>99.8</v>
      </c>
      <c r="L39" s="51">
        <f t="shared" si="10"/>
        <v>137.10909090909092</v>
      </c>
      <c r="M39" s="51">
        <f t="shared" si="10"/>
        <v>219.05454545454543</v>
      </c>
      <c r="N39" s="238">
        <f t="shared" si="10"/>
        <v>299.52727272727276</v>
      </c>
      <c r="P39" s="50" t="s">
        <v>3</v>
      </c>
      <c r="Q39" s="51">
        <f>AVERAGE(Q25:Q36)</f>
        <v>20.5</v>
      </c>
      <c r="R39" s="51">
        <f t="shared" ref="R39:AB39" si="11">AVERAGE(R25:R36)</f>
        <v>21.6</v>
      </c>
      <c r="S39" s="51">
        <f t="shared" si="11"/>
        <v>18</v>
      </c>
      <c r="T39" s="51">
        <f t="shared" si="11"/>
        <v>15.1</v>
      </c>
      <c r="U39" s="51">
        <f t="shared" si="11"/>
        <v>12.3</v>
      </c>
      <c r="V39" s="51">
        <f t="shared" si="11"/>
        <v>8.1999999999999993</v>
      </c>
      <c r="W39" s="51">
        <f t="shared" si="11"/>
        <v>7.9</v>
      </c>
      <c r="X39" s="51">
        <f t="shared" si="11"/>
        <v>4.7</v>
      </c>
      <c r="Y39" s="51">
        <f t="shared" si="11"/>
        <v>5.6</v>
      </c>
      <c r="Z39" s="51">
        <f t="shared" si="11"/>
        <v>9.8000000000000007</v>
      </c>
      <c r="AA39" s="51">
        <f t="shared" si="11"/>
        <v>16.5</v>
      </c>
      <c r="AB39" s="51">
        <f t="shared" si="11"/>
        <v>18.899999999999999</v>
      </c>
      <c r="AC39" s="248"/>
    </row>
    <row r="40" spans="1:29" ht="15.6" thickTop="1" thickBot="1" x14ac:dyDescent="0.35">
      <c r="A40" s="249"/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250"/>
      <c r="N40" s="250"/>
      <c r="O40" s="251"/>
      <c r="P40" s="251"/>
      <c r="Q40" s="251"/>
      <c r="R40" s="251"/>
      <c r="S40" s="251"/>
      <c r="T40" s="251"/>
      <c r="U40" s="251"/>
      <c r="V40" s="251"/>
      <c r="W40" s="251"/>
      <c r="X40" s="251"/>
      <c r="Y40" s="251"/>
      <c r="Z40" s="251"/>
      <c r="AA40" s="251"/>
      <c r="AB40" s="251"/>
      <c r="AC40" s="252"/>
    </row>
    <row r="41" spans="1:29" ht="15" thickTop="1" x14ac:dyDescent="0.3"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</row>
    <row r="42" spans="1:29" x14ac:dyDescent="0.3"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</row>
    <row r="43" spans="1:29" x14ac:dyDescent="0.3">
      <c r="B43" s="800" t="s">
        <v>174</v>
      </c>
      <c r="C43" s="800"/>
      <c r="D43" s="800"/>
      <c r="E43" s="800"/>
      <c r="F43" s="800"/>
      <c r="G43" s="800"/>
      <c r="H43" s="800"/>
      <c r="I43" s="800"/>
      <c r="J43" s="800"/>
      <c r="K43" s="800"/>
      <c r="L43" s="800"/>
      <c r="M43" s="800"/>
      <c r="N43" s="800"/>
      <c r="O43" s="800"/>
      <c r="P43" s="800"/>
      <c r="Q43" s="800"/>
      <c r="R43" s="800"/>
      <c r="S43" s="800"/>
      <c r="T43" s="800"/>
      <c r="U43" s="800"/>
      <c r="V43" s="800"/>
      <c r="W43" s="800"/>
      <c r="X43" s="800"/>
      <c r="Y43" s="800"/>
      <c r="Z43" s="800"/>
      <c r="AA43" s="800"/>
      <c r="AB43" s="800"/>
    </row>
    <row r="44" spans="1:29" x14ac:dyDescent="0.3">
      <c r="B44" s="800"/>
      <c r="C44" s="800"/>
      <c r="D44" s="800"/>
      <c r="E44" s="800"/>
      <c r="F44" s="800"/>
      <c r="G44" s="800"/>
      <c r="H44" s="800"/>
      <c r="I44" s="800"/>
      <c r="J44" s="800"/>
      <c r="K44" s="800"/>
      <c r="L44" s="800"/>
      <c r="M44" s="800"/>
      <c r="N44" s="800"/>
      <c r="O44" s="800"/>
      <c r="P44" s="800"/>
      <c r="Q44" s="800"/>
      <c r="R44" s="800"/>
      <c r="S44" s="800"/>
      <c r="T44" s="800"/>
      <c r="U44" s="800"/>
      <c r="V44" s="800"/>
      <c r="W44" s="800"/>
      <c r="X44" s="800"/>
      <c r="Y44" s="800"/>
      <c r="Z44" s="800"/>
      <c r="AA44" s="800"/>
      <c r="AB44" s="800"/>
    </row>
    <row r="46" spans="1:29" ht="15" thickBot="1" x14ac:dyDescent="0.35">
      <c r="B46" s="797" t="s">
        <v>175</v>
      </c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</row>
    <row r="47" spans="1:29" ht="15.6" thickTop="1" thickBot="1" x14ac:dyDescent="0.35">
      <c r="B47" s="2" t="s">
        <v>167</v>
      </c>
      <c r="C47" s="3" t="s">
        <v>155</v>
      </c>
      <c r="D47" s="3" t="s">
        <v>156</v>
      </c>
      <c r="E47" s="3" t="s">
        <v>157</v>
      </c>
      <c r="F47" s="3" t="s">
        <v>158</v>
      </c>
      <c r="G47" s="3" t="s">
        <v>0</v>
      </c>
      <c r="H47" s="3" t="s">
        <v>159</v>
      </c>
      <c r="I47" s="3" t="s">
        <v>160</v>
      </c>
      <c r="J47" s="3" t="s">
        <v>161</v>
      </c>
      <c r="K47" s="3" t="s">
        <v>162</v>
      </c>
      <c r="L47" s="3" t="s">
        <v>163</v>
      </c>
      <c r="M47" s="3" t="s">
        <v>168</v>
      </c>
      <c r="N47" s="257" t="s">
        <v>164</v>
      </c>
      <c r="O47" s="261" t="s">
        <v>176</v>
      </c>
    </row>
    <row r="48" spans="1:29" ht="15" thickTop="1" x14ac:dyDescent="0.3">
      <c r="B48" s="253">
        <v>1993</v>
      </c>
      <c r="C48" s="254"/>
      <c r="D48" s="254"/>
      <c r="E48" s="254"/>
      <c r="F48" s="254"/>
      <c r="G48" s="254"/>
      <c r="H48" s="254"/>
      <c r="I48" s="254"/>
      <c r="J48" s="254"/>
      <c r="K48" s="254"/>
      <c r="L48" s="254"/>
      <c r="M48" s="254"/>
      <c r="N48" s="258"/>
      <c r="O48" s="262">
        <v>60</v>
      </c>
    </row>
    <row r="49" spans="2:15" x14ac:dyDescent="0.3">
      <c r="B49" s="37">
        <v>1994</v>
      </c>
      <c r="C49" s="255"/>
      <c r="D49" s="255"/>
      <c r="E49" s="255"/>
      <c r="F49" s="255"/>
      <c r="G49" s="255"/>
      <c r="H49" s="255"/>
      <c r="I49" s="255"/>
      <c r="J49" s="255"/>
      <c r="K49" s="255"/>
      <c r="L49" s="255"/>
      <c r="M49" s="255"/>
      <c r="N49" s="259"/>
      <c r="O49" s="262">
        <v>94</v>
      </c>
    </row>
    <row r="50" spans="2:15" x14ac:dyDescent="0.3">
      <c r="B50" s="37">
        <v>1995</v>
      </c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9"/>
      <c r="O50" s="262">
        <v>91</v>
      </c>
    </row>
    <row r="51" spans="2:15" x14ac:dyDescent="0.3">
      <c r="B51" s="37">
        <v>1996</v>
      </c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9"/>
      <c r="O51" s="262">
        <v>97</v>
      </c>
    </row>
    <row r="52" spans="2:15" x14ac:dyDescent="0.3">
      <c r="B52" s="37">
        <v>1997</v>
      </c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9"/>
      <c r="O52" s="262">
        <v>165</v>
      </c>
    </row>
    <row r="53" spans="2:15" x14ac:dyDescent="0.3">
      <c r="B53" s="37">
        <v>1998</v>
      </c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9"/>
      <c r="O53" s="262">
        <v>76</v>
      </c>
    </row>
    <row r="54" spans="2:15" x14ac:dyDescent="0.3">
      <c r="B54" s="37">
        <v>1999</v>
      </c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9"/>
      <c r="O54" s="262">
        <v>74</v>
      </c>
    </row>
    <row r="55" spans="2:15" x14ac:dyDescent="0.3">
      <c r="B55" s="37">
        <v>2000</v>
      </c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9"/>
      <c r="O55" s="262">
        <v>114</v>
      </c>
    </row>
    <row r="56" spans="2:15" x14ac:dyDescent="0.3">
      <c r="B56" s="37">
        <v>2001</v>
      </c>
      <c r="C56" s="255"/>
      <c r="D56" s="255"/>
      <c r="E56" s="255"/>
      <c r="F56" s="255"/>
      <c r="G56" s="255"/>
      <c r="H56" s="255"/>
      <c r="I56" s="255"/>
      <c r="J56" s="255"/>
      <c r="K56" s="255"/>
      <c r="L56" s="255"/>
      <c r="M56" s="255"/>
      <c r="N56" s="259"/>
      <c r="O56" s="262">
        <v>97</v>
      </c>
    </row>
    <row r="57" spans="2:15" x14ac:dyDescent="0.3">
      <c r="B57" s="37">
        <v>2002</v>
      </c>
      <c r="C57" s="255"/>
      <c r="D57" s="255"/>
      <c r="E57" s="255"/>
      <c r="F57" s="255"/>
      <c r="G57" s="255"/>
      <c r="H57" s="255"/>
      <c r="I57" s="255"/>
      <c r="J57" s="255"/>
      <c r="K57" s="255"/>
      <c r="L57" s="255"/>
      <c r="M57" s="255"/>
      <c r="N57" s="259"/>
      <c r="O57" s="262">
        <v>108</v>
      </c>
    </row>
    <row r="58" spans="2:15" x14ac:dyDescent="0.3">
      <c r="B58" s="37">
        <v>2003</v>
      </c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60"/>
      <c r="O58" s="262">
        <v>81</v>
      </c>
    </row>
    <row r="59" spans="2:15" x14ac:dyDescent="0.3">
      <c r="B59" s="34">
        <v>2004</v>
      </c>
      <c r="C59" s="38">
        <v>29</v>
      </c>
      <c r="D59" s="38">
        <v>97</v>
      </c>
      <c r="E59" s="38">
        <v>60</v>
      </c>
      <c r="F59" s="38">
        <v>60</v>
      </c>
      <c r="G59" s="38">
        <v>41</v>
      </c>
      <c r="H59" s="38">
        <v>76</v>
      </c>
      <c r="I59" s="38">
        <v>86</v>
      </c>
      <c r="J59" s="38">
        <v>21</v>
      </c>
      <c r="K59" s="38">
        <v>10</v>
      </c>
      <c r="L59" s="38">
        <v>148</v>
      </c>
      <c r="M59" s="38">
        <v>121</v>
      </c>
      <c r="N59" s="234">
        <v>67</v>
      </c>
      <c r="O59" s="263">
        <f>MAX(C59:N59)</f>
        <v>148</v>
      </c>
    </row>
    <row r="60" spans="2:15" x14ac:dyDescent="0.3">
      <c r="B60" s="37">
        <v>2005</v>
      </c>
      <c r="C60" s="35">
        <v>75</v>
      </c>
      <c r="D60" s="38">
        <v>52</v>
      </c>
      <c r="E60" s="38">
        <v>94</v>
      </c>
      <c r="F60" s="38">
        <v>94</v>
      </c>
      <c r="G60" s="38">
        <v>136</v>
      </c>
      <c r="H60" s="38">
        <v>45</v>
      </c>
      <c r="I60" s="38" t="s">
        <v>165</v>
      </c>
      <c r="J60" s="38">
        <v>38</v>
      </c>
      <c r="K60" s="38">
        <v>91</v>
      </c>
      <c r="L60" s="38">
        <v>146</v>
      </c>
      <c r="M60" s="38">
        <v>143</v>
      </c>
      <c r="N60" s="234">
        <v>125</v>
      </c>
      <c r="O60" s="263">
        <f t="shared" ref="O60:O70" si="12">MAX(C60:N60)</f>
        <v>146</v>
      </c>
    </row>
    <row r="61" spans="2:15" x14ac:dyDescent="0.3">
      <c r="B61" s="34">
        <v>2006</v>
      </c>
      <c r="C61" s="35">
        <v>51</v>
      </c>
      <c r="D61" s="38">
        <v>62</v>
      </c>
      <c r="E61" s="38">
        <v>89</v>
      </c>
      <c r="F61" s="38">
        <v>89</v>
      </c>
      <c r="G61" s="38">
        <v>39</v>
      </c>
      <c r="H61" s="38">
        <v>31</v>
      </c>
      <c r="I61" s="38">
        <v>32</v>
      </c>
      <c r="J61" s="38">
        <v>24</v>
      </c>
      <c r="K61" s="38">
        <v>57</v>
      </c>
      <c r="L61" s="38">
        <v>88</v>
      </c>
      <c r="M61" s="38">
        <v>101</v>
      </c>
      <c r="N61" s="234">
        <v>125</v>
      </c>
      <c r="O61" s="263">
        <f t="shared" si="12"/>
        <v>125</v>
      </c>
    </row>
    <row r="62" spans="2:15" x14ac:dyDescent="0.3">
      <c r="B62" s="37">
        <v>2007</v>
      </c>
      <c r="C62" s="35">
        <v>92</v>
      </c>
      <c r="D62" s="38">
        <v>27</v>
      </c>
      <c r="E62" s="38">
        <v>57</v>
      </c>
      <c r="F62" s="38">
        <v>57</v>
      </c>
      <c r="G62" s="38">
        <v>102</v>
      </c>
      <c r="H62" s="38">
        <v>71</v>
      </c>
      <c r="I62" s="38">
        <v>40</v>
      </c>
      <c r="J62" s="38">
        <v>22</v>
      </c>
      <c r="K62" s="38">
        <v>42</v>
      </c>
      <c r="L62" s="38">
        <v>74</v>
      </c>
      <c r="M62" s="38">
        <v>37</v>
      </c>
      <c r="N62" s="234">
        <v>92</v>
      </c>
      <c r="O62" s="263">
        <f t="shared" si="12"/>
        <v>102</v>
      </c>
    </row>
    <row r="63" spans="2:15" x14ac:dyDescent="0.3">
      <c r="B63" s="34">
        <v>2008</v>
      </c>
      <c r="C63" s="35">
        <v>54</v>
      </c>
      <c r="D63" s="38">
        <v>32</v>
      </c>
      <c r="E63" s="38">
        <v>7</v>
      </c>
      <c r="F63" s="38">
        <v>67</v>
      </c>
      <c r="G63" s="38">
        <v>35</v>
      </c>
      <c r="H63" s="38">
        <v>58</v>
      </c>
      <c r="I63" s="38">
        <v>83</v>
      </c>
      <c r="J63" s="38">
        <v>20</v>
      </c>
      <c r="K63" s="38">
        <v>27</v>
      </c>
      <c r="L63" s="38">
        <v>66</v>
      </c>
      <c r="M63" s="38">
        <v>48</v>
      </c>
      <c r="N63" s="234">
        <v>27</v>
      </c>
      <c r="O63" s="263">
        <f t="shared" si="12"/>
        <v>83</v>
      </c>
    </row>
    <row r="64" spans="2:15" x14ac:dyDescent="0.3">
      <c r="B64" s="37">
        <v>2009</v>
      </c>
      <c r="C64" s="35">
        <v>18</v>
      </c>
      <c r="D64" s="38">
        <v>78</v>
      </c>
      <c r="E64" s="38">
        <v>42</v>
      </c>
      <c r="F64" s="38">
        <v>42</v>
      </c>
      <c r="G64" s="38">
        <v>33</v>
      </c>
      <c r="H64" s="38">
        <v>30</v>
      </c>
      <c r="I64" s="38">
        <v>35</v>
      </c>
      <c r="J64" s="38">
        <v>8</v>
      </c>
      <c r="K64" s="38">
        <v>49</v>
      </c>
      <c r="L64" s="38">
        <v>19</v>
      </c>
      <c r="M64" s="38">
        <v>55</v>
      </c>
      <c r="N64" s="234">
        <v>28</v>
      </c>
      <c r="O64" s="263">
        <f t="shared" si="12"/>
        <v>78</v>
      </c>
    </row>
    <row r="65" spans="2:15" x14ac:dyDescent="0.3">
      <c r="B65" s="34">
        <v>2010</v>
      </c>
      <c r="C65" s="35">
        <v>123</v>
      </c>
      <c r="D65" s="38">
        <v>157</v>
      </c>
      <c r="E65" s="38">
        <v>33</v>
      </c>
      <c r="F65" s="38">
        <v>33</v>
      </c>
      <c r="G65" s="38">
        <v>0</v>
      </c>
      <c r="H65" s="38">
        <v>37</v>
      </c>
      <c r="I65" s="38">
        <v>45</v>
      </c>
      <c r="J65" s="38">
        <v>5</v>
      </c>
      <c r="K65" s="38">
        <v>1</v>
      </c>
      <c r="L65" s="38">
        <v>67</v>
      </c>
      <c r="M65" s="38">
        <v>61</v>
      </c>
      <c r="N65" s="234">
        <v>0</v>
      </c>
      <c r="O65" s="262">
        <f t="shared" si="12"/>
        <v>157</v>
      </c>
    </row>
    <row r="66" spans="2:15" x14ac:dyDescent="0.3">
      <c r="B66" s="37">
        <v>2011</v>
      </c>
      <c r="C66" s="35">
        <v>0</v>
      </c>
      <c r="D66" s="38">
        <v>19</v>
      </c>
      <c r="E66" s="38">
        <v>2</v>
      </c>
      <c r="F66" s="38">
        <v>2</v>
      </c>
      <c r="G66" s="38">
        <v>22</v>
      </c>
      <c r="H66" s="38">
        <v>5</v>
      </c>
      <c r="I66" s="38">
        <v>38</v>
      </c>
      <c r="J66" s="38">
        <v>0</v>
      </c>
      <c r="K66" s="38">
        <v>0</v>
      </c>
      <c r="L66" s="38">
        <v>15</v>
      </c>
      <c r="M66" s="38">
        <v>43</v>
      </c>
      <c r="N66" s="45">
        <v>2</v>
      </c>
      <c r="O66" s="45">
        <f t="shared" si="12"/>
        <v>43</v>
      </c>
    </row>
    <row r="67" spans="2:15" x14ac:dyDescent="0.3">
      <c r="B67" s="34">
        <v>2012</v>
      </c>
      <c r="C67" s="35">
        <v>10</v>
      </c>
      <c r="D67" s="38">
        <v>91</v>
      </c>
      <c r="E67" s="38">
        <v>1</v>
      </c>
      <c r="F67" s="38">
        <v>1</v>
      </c>
      <c r="G67" s="38">
        <v>23</v>
      </c>
      <c r="H67" s="38">
        <v>131</v>
      </c>
      <c r="I67" s="38">
        <v>198</v>
      </c>
      <c r="J67" s="38">
        <v>2</v>
      </c>
      <c r="K67" s="38">
        <v>0</v>
      </c>
      <c r="L67" s="38">
        <v>4</v>
      </c>
      <c r="M67" s="38">
        <v>19</v>
      </c>
      <c r="N67" s="45">
        <v>2</v>
      </c>
      <c r="O67" s="45">
        <f t="shared" si="12"/>
        <v>198</v>
      </c>
    </row>
    <row r="68" spans="2:15" x14ac:dyDescent="0.3">
      <c r="B68" s="37">
        <v>2013</v>
      </c>
      <c r="C68" s="35">
        <v>72</v>
      </c>
      <c r="D68" s="38">
        <v>33</v>
      </c>
      <c r="E68" s="38">
        <v>6</v>
      </c>
      <c r="F68" s="38">
        <v>6</v>
      </c>
      <c r="G68" s="38">
        <v>36</v>
      </c>
      <c r="H68" s="38">
        <v>20</v>
      </c>
      <c r="I68" s="38">
        <v>97</v>
      </c>
      <c r="J68" s="38">
        <v>19</v>
      </c>
      <c r="K68" s="38">
        <v>39</v>
      </c>
      <c r="L68" s="38">
        <v>24</v>
      </c>
      <c r="M68" s="38">
        <v>0</v>
      </c>
      <c r="N68" s="45">
        <v>1</v>
      </c>
      <c r="O68" s="45">
        <f t="shared" si="12"/>
        <v>97</v>
      </c>
    </row>
    <row r="69" spans="2:15" x14ac:dyDescent="0.3">
      <c r="B69" s="34">
        <v>2014</v>
      </c>
      <c r="C69" s="35">
        <v>40</v>
      </c>
      <c r="D69" s="38">
        <v>17</v>
      </c>
      <c r="E69" s="38">
        <v>32</v>
      </c>
      <c r="F69" s="38">
        <v>32</v>
      </c>
      <c r="G69" s="38">
        <v>52</v>
      </c>
      <c r="H69" s="38">
        <v>82</v>
      </c>
      <c r="I69" s="38">
        <v>40</v>
      </c>
      <c r="J69" s="38">
        <v>90</v>
      </c>
      <c r="K69" s="38">
        <v>53</v>
      </c>
      <c r="L69" s="38">
        <v>106</v>
      </c>
      <c r="M69" s="38">
        <v>58</v>
      </c>
      <c r="N69" s="45">
        <v>21</v>
      </c>
      <c r="O69" s="45">
        <f t="shared" si="12"/>
        <v>106</v>
      </c>
    </row>
    <row r="70" spans="2:15" x14ac:dyDescent="0.3">
      <c r="B70" s="37">
        <v>2015</v>
      </c>
      <c r="C70" s="35">
        <v>67</v>
      </c>
      <c r="D70" s="38">
        <v>56</v>
      </c>
      <c r="E70" s="38">
        <v>83</v>
      </c>
      <c r="F70" s="38">
        <v>83</v>
      </c>
      <c r="G70" s="38">
        <v>40</v>
      </c>
      <c r="H70" s="38">
        <v>53</v>
      </c>
      <c r="I70" s="38">
        <v>37</v>
      </c>
      <c r="J70" s="38">
        <v>66</v>
      </c>
      <c r="K70" s="38">
        <v>94</v>
      </c>
      <c r="L70" s="38">
        <v>76</v>
      </c>
      <c r="M70" s="38">
        <v>70</v>
      </c>
      <c r="N70" s="45">
        <v>81</v>
      </c>
      <c r="O70" s="45">
        <f t="shared" si="12"/>
        <v>94</v>
      </c>
    </row>
    <row r="71" spans="2:15" ht="15" thickBot="1" x14ac:dyDescent="0.35">
      <c r="B71" s="34">
        <v>2016</v>
      </c>
      <c r="C71" s="268"/>
      <c r="D71" s="268"/>
      <c r="E71" s="268"/>
      <c r="F71" s="268"/>
      <c r="G71" s="268"/>
      <c r="H71" s="268"/>
      <c r="I71" s="268"/>
      <c r="J71" s="268"/>
      <c r="K71" s="268"/>
      <c r="L71" s="268"/>
      <c r="M71" s="268"/>
      <c r="N71" s="267"/>
      <c r="O71" s="235"/>
    </row>
    <row r="72" spans="2:15" ht="15" thickTop="1" x14ac:dyDescent="0.3">
      <c r="B72" s="46" t="s">
        <v>1</v>
      </c>
      <c r="C72" s="47">
        <f>MIN(C59:C70)</f>
        <v>0</v>
      </c>
      <c r="D72" s="47">
        <f t="shared" ref="D72:O72" si="13">MIN(D59:D70)</f>
        <v>17</v>
      </c>
      <c r="E72" s="47">
        <f t="shared" si="13"/>
        <v>1</v>
      </c>
      <c r="F72" s="47">
        <f t="shared" si="13"/>
        <v>1</v>
      </c>
      <c r="G72" s="47">
        <f t="shared" si="13"/>
        <v>0</v>
      </c>
      <c r="H72" s="47">
        <f t="shared" si="13"/>
        <v>5</v>
      </c>
      <c r="I72" s="47">
        <f t="shared" si="13"/>
        <v>32</v>
      </c>
      <c r="J72" s="47">
        <f t="shared" si="13"/>
        <v>0</v>
      </c>
      <c r="K72" s="47">
        <f t="shared" si="13"/>
        <v>0</v>
      </c>
      <c r="L72" s="47">
        <f t="shared" si="13"/>
        <v>4</v>
      </c>
      <c r="M72" s="47">
        <f t="shared" si="13"/>
        <v>0</v>
      </c>
      <c r="N72" s="236">
        <f t="shared" si="13"/>
        <v>0</v>
      </c>
      <c r="O72" s="236">
        <f t="shared" si="13"/>
        <v>43</v>
      </c>
    </row>
    <row r="73" spans="2:15" x14ac:dyDescent="0.3">
      <c r="B73" s="48" t="s">
        <v>2</v>
      </c>
      <c r="C73" s="49">
        <f>MAX(C59:C70)</f>
        <v>123</v>
      </c>
      <c r="D73" s="49">
        <f t="shared" ref="D73:O73" si="14">MAX(D59:D70)</f>
        <v>157</v>
      </c>
      <c r="E73" s="49">
        <f t="shared" si="14"/>
        <v>94</v>
      </c>
      <c r="F73" s="49">
        <f t="shared" si="14"/>
        <v>94</v>
      </c>
      <c r="G73" s="49">
        <f t="shared" si="14"/>
        <v>136</v>
      </c>
      <c r="H73" s="49">
        <f t="shared" si="14"/>
        <v>131</v>
      </c>
      <c r="I73" s="49">
        <f t="shared" si="14"/>
        <v>198</v>
      </c>
      <c r="J73" s="49">
        <f t="shared" si="14"/>
        <v>90</v>
      </c>
      <c r="K73" s="49">
        <f t="shared" si="14"/>
        <v>94</v>
      </c>
      <c r="L73" s="49">
        <f t="shared" si="14"/>
        <v>148</v>
      </c>
      <c r="M73" s="49">
        <f t="shared" si="14"/>
        <v>143</v>
      </c>
      <c r="N73" s="237">
        <f t="shared" si="14"/>
        <v>125</v>
      </c>
      <c r="O73" s="237">
        <f t="shared" si="14"/>
        <v>198</v>
      </c>
    </row>
    <row r="74" spans="2:15" ht="15" thickBot="1" x14ac:dyDescent="0.35">
      <c r="B74" s="50" t="s">
        <v>3</v>
      </c>
      <c r="C74" s="51">
        <f>AVERAGE(C59:C70)</f>
        <v>52.583333333333336</v>
      </c>
      <c r="D74" s="51">
        <f t="shared" ref="D74:O74" si="15">AVERAGE(D59:D70)</f>
        <v>60.083333333333336</v>
      </c>
      <c r="E74" s="51">
        <f t="shared" si="15"/>
        <v>42.166666666666664</v>
      </c>
      <c r="F74" s="51">
        <f t="shared" si="15"/>
        <v>47.166666666666664</v>
      </c>
      <c r="G74" s="51">
        <f t="shared" si="15"/>
        <v>46.583333333333336</v>
      </c>
      <c r="H74" s="51">
        <f t="shared" si="15"/>
        <v>53.25</v>
      </c>
      <c r="I74" s="51">
        <f t="shared" si="15"/>
        <v>66.454545454545453</v>
      </c>
      <c r="J74" s="51">
        <f t="shared" si="15"/>
        <v>26.25</v>
      </c>
      <c r="K74" s="51">
        <f t="shared" si="15"/>
        <v>38.583333333333336</v>
      </c>
      <c r="L74" s="51">
        <f t="shared" si="15"/>
        <v>69.416666666666671</v>
      </c>
      <c r="M74" s="51">
        <f t="shared" si="15"/>
        <v>63</v>
      </c>
      <c r="N74" s="238">
        <f t="shared" si="15"/>
        <v>47.583333333333336</v>
      </c>
      <c r="O74" s="238">
        <f t="shared" si="15"/>
        <v>114.75</v>
      </c>
    </row>
    <row r="75" spans="2:15" ht="15" thickTop="1" x14ac:dyDescent="0.3"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</row>
    <row r="76" spans="2:15" ht="15" thickBot="1" x14ac:dyDescent="0.35">
      <c r="B76" s="797" t="s">
        <v>178</v>
      </c>
      <c r="C76" s="797"/>
      <c r="D76" s="797"/>
      <c r="E76" s="797"/>
      <c r="F76" s="797"/>
      <c r="G76" s="797"/>
      <c r="H76" s="797"/>
      <c r="I76" s="797"/>
      <c r="J76" s="797"/>
      <c r="K76" s="797"/>
      <c r="L76" s="797"/>
      <c r="M76" s="797"/>
      <c r="N76" s="797"/>
      <c r="O76" s="797"/>
    </row>
    <row r="77" spans="2:15" ht="15.6" thickTop="1" thickBot="1" x14ac:dyDescent="0.35">
      <c r="B77" s="2" t="s">
        <v>167</v>
      </c>
      <c r="C77" s="3" t="s">
        <v>155</v>
      </c>
      <c r="D77" s="3" t="s">
        <v>156</v>
      </c>
      <c r="E77" s="3" t="s">
        <v>157</v>
      </c>
      <c r="F77" s="3" t="s">
        <v>158</v>
      </c>
      <c r="G77" s="3" t="s">
        <v>0</v>
      </c>
      <c r="H77" s="3" t="s">
        <v>159</v>
      </c>
      <c r="I77" s="3" t="s">
        <v>160</v>
      </c>
      <c r="J77" s="3" t="s">
        <v>161</v>
      </c>
      <c r="K77" s="3" t="s">
        <v>162</v>
      </c>
      <c r="L77" s="3" t="s">
        <v>163</v>
      </c>
      <c r="M77" s="3" t="s">
        <v>168</v>
      </c>
      <c r="N77" s="257" t="s">
        <v>164</v>
      </c>
      <c r="O77" s="261" t="s">
        <v>176</v>
      </c>
    </row>
    <row r="78" spans="2:15" ht="15" thickTop="1" x14ac:dyDescent="0.3">
      <c r="B78" s="37">
        <v>2007</v>
      </c>
      <c r="C78" s="35">
        <v>64</v>
      </c>
      <c r="D78" s="38">
        <v>92</v>
      </c>
      <c r="E78" s="38">
        <v>38</v>
      </c>
      <c r="F78" s="38">
        <v>96</v>
      </c>
      <c r="G78" s="38">
        <v>50</v>
      </c>
      <c r="H78" s="38">
        <v>56</v>
      </c>
      <c r="I78" s="38">
        <v>54</v>
      </c>
      <c r="J78" s="38">
        <v>112</v>
      </c>
      <c r="K78" s="38">
        <v>41</v>
      </c>
      <c r="L78" s="38">
        <v>43</v>
      </c>
      <c r="M78" s="38">
        <v>90</v>
      </c>
      <c r="N78" s="234">
        <v>60</v>
      </c>
      <c r="O78" s="263">
        <f>MAX(C78:N78)</f>
        <v>112</v>
      </c>
    </row>
    <row r="79" spans="2:15" x14ac:dyDescent="0.3">
      <c r="B79" s="34">
        <v>2008</v>
      </c>
      <c r="C79" s="35">
        <v>75</v>
      </c>
      <c r="D79" s="38">
        <v>92</v>
      </c>
      <c r="E79" s="38">
        <v>66</v>
      </c>
      <c r="F79" s="38">
        <v>90</v>
      </c>
      <c r="G79" s="38">
        <v>60</v>
      </c>
      <c r="H79" s="38">
        <v>37</v>
      </c>
      <c r="I79" s="38">
        <v>96</v>
      </c>
      <c r="J79" s="38">
        <v>46</v>
      </c>
      <c r="K79" s="38">
        <v>80</v>
      </c>
      <c r="L79" s="38">
        <v>84</v>
      </c>
      <c r="M79" s="38">
        <v>54</v>
      </c>
      <c r="N79" s="234">
        <v>101</v>
      </c>
      <c r="O79" s="263">
        <f t="shared" ref="O79:O87" si="16">MAX(C79:N79)</f>
        <v>101</v>
      </c>
    </row>
    <row r="80" spans="2:15" x14ac:dyDescent="0.3">
      <c r="B80" s="37">
        <v>2009</v>
      </c>
      <c r="C80" s="35">
        <v>60</v>
      </c>
      <c r="D80" s="38">
        <v>70</v>
      </c>
      <c r="E80" s="38">
        <v>40</v>
      </c>
      <c r="F80" s="38">
        <v>54</v>
      </c>
      <c r="G80" s="38">
        <v>86</v>
      </c>
      <c r="H80" s="38">
        <v>72</v>
      </c>
      <c r="I80" s="38">
        <v>47</v>
      </c>
      <c r="J80" s="38">
        <v>16</v>
      </c>
      <c r="K80" s="38">
        <v>36</v>
      </c>
      <c r="L80" s="38">
        <v>90</v>
      </c>
      <c r="M80" s="38">
        <v>49</v>
      </c>
      <c r="N80" s="234">
        <v>52</v>
      </c>
      <c r="O80" s="263">
        <f t="shared" si="16"/>
        <v>90</v>
      </c>
    </row>
    <row r="81" spans="2:15" x14ac:dyDescent="0.3">
      <c r="B81" s="34">
        <v>2010</v>
      </c>
      <c r="C81" s="35">
        <v>61</v>
      </c>
      <c r="D81" s="38">
        <v>130</v>
      </c>
      <c r="E81" s="38">
        <v>64</v>
      </c>
      <c r="F81" s="38">
        <v>14</v>
      </c>
      <c r="G81" s="38">
        <v>66</v>
      </c>
      <c r="H81" s="38">
        <v>111</v>
      </c>
      <c r="I81" s="38">
        <v>116</v>
      </c>
      <c r="J81" s="38">
        <v>109</v>
      </c>
      <c r="K81" s="38">
        <v>97</v>
      </c>
      <c r="L81" s="38">
        <v>150</v>
      </c>
      <c r="M81" s="38">
        <v>101</v>
      </c>
      <c r="N81" s="234">
        <v>40</v>
      </c>
      <c r="O81" s="263">
        <f t="shared" si="16"/>
        <v>150</v>
      </c>
    </row>
    <row r="82" spans="2:15" x14ac:dyDescent="0.3">
      <c r="B82" s="37">
        <v>2011</v>
      </c>
      <c r="C82" s="35">
        <v>41</v>
      </c>
      <c r="D82" s="38">
        <v>47</v>
      </c>
      <c r="E82" s="38">
        <v>57</v>
      </c>
      <c r="F82" s="38">
        <v>78</v>
      </c>
      <c r="G82" s="38">
        <v>125</v>
      </c>
      <c r="H82" s="38">
        <v>70</v>
      </c>
      <c r="I82" s="38">
        <v>98</v>
      </c>
      <c r="J82" s="38">
        <v>104</v>
      </c>
      <c r="K82" s="38">
        <v>78</v>
      </c>
      <c r="L82" s="38">
        <v>53</v>
      </c>
      <c r="M82" s="38">
        <v>161</v>
      </c>
      <c r="N82" s="45">
        <v>117</v>
      </c>
      <c r="O82" s="263">
        <f t="shared" si="16"/>
        <v>161</v>
      </c>
    </row>
    <row r="83" spans="2:15" x14ac:dyDescent="0.3">
      <c r="B83" s="34">
        <v>2012</v>
      </c>
      <c r="C83" s="35">
        <v>68</v>
      </c>
      <c r="D83" s="38">
        <v>142</v>
      </c>
      <c r="E83" s="38">
        <v>12</v>
      </c>
      <c r="F83" s="38">
        <v>152</v>
      </c>
      <c r="G83" s="38">
        <v>79</v>
      </c>
      <c r="H83" s="38">
        <v>59</v>
      </c>
      <c r="I83" s="38">
        <v>97</v>
      </c>
      <c r="J83" s="38">
        <v>31</v>
      </c>
      <c r="K83" s="38">
        <v>87</v>
      </c>
      <c r="L83" s="38">
        <v>149</v>
      </c>
      <c r="M83" s="38">
        <v>198</v>
      </c>
      <c r="N83" s="45">
        <v>100</v>
      </c>
      <c r="O83" s="263">
        <f t="shared" si="16"/>
        <v>198</v>
      </c>
    </row>
    <row r="84" spans="2:15" x14ac:dyDescent="0.3">
      <c r="B84" s="37">
        <v>2013</v>
      </c>
      <c r="C84" s="35">
        <v>134</v>
      </c>
      <c r="D84" s="38">
        <v>227</v>
      </c>
      <c r="E84" s="38">
        <v>112</v>
      </c>
      <c r="F84" s="38">
        <v>79</v>
      </c>
      <c r="G84" s="38">
        <v>223</v>
      </c>
      <c r="H84" s="38">
        <v>54</v>
      </c>
      <c r="I84" s="38">
        <v>219</v>
      </c>
      <c r="J84" s="38">
        <v>150</v>
      </c>
      <c r="K84" s="38">
        <v>151</v>
      </c>
      <c r="L84" s="38">
        <v>103</v>
      </c>
      <c r="M84" s="38">
        <v>107</v>
      </c>
      <c r="N84" s="45">
        <v>170</v>
      </c>
      <c r="O84" s="263">
        <f t="shared" si="16"/>
        <v>227</v>
      </c>
    </row>
    <row r="85" spans="2:15" x14ac:dyDescent="0.3">
      <c r="B85" s="34">
        <v>2014</v>
      </c>
      <c r="C85" s="35">
        <v>164</v>
      </c>
      <c r="D85" s="38">
        <v>98</v>
      </c>
      <c r="E85" s="38">
        <v>156</v>
      </c>
      <c r="F85" s="38">
        <v>124</v>
      </c>
      <c r="G85" s="38">
        <v>114</v>
      </c>
      <c r="H85" s="38">
        <v>75</v>
      </c>
      <c r="I85" s="38">
        <v>127</v>
      </c>
      <c r="J85" s="38">
        <v>157</v>
      </c>
      <c r="K85" s="38">
        <v>58</v>
      </c>
      <c r="L85" s="38">
        <v>41</v>
      </c>
      <c r="M85" s="38">
        <v>154</v>
      </c>
      <c r="N85" s="45">
        <v>118</v>
      </c>
      <c r="O85" s="263">
        <f t="shared" si="16"/>
        <v>164</v>
      </c>
    </row>
    <row r="86" spans="2:15" x14ac:dyDescent="0.3">
      <c r="B86" s="37">
        <v>2015</v>
      </c>
      <c r="C86" s="35">
        <v>83</v>
      </c>
      <c r="D86" s="38">
        <v>99</v>
      </c>
      <c r="E86" s="38">
        <v>106</v>
      </c>
      <c r="F86" s="38">
        <v>131</v>
      </c>
      <c r="G86" s="38">
        <v>110</v>
      </c>
      <c r="H86" s="38">
        <v>77</v>
      </c>
      <c r="I86" s="38">
        <v>1</v>
      </c>
      <c r="J86" s="38">
        <v>149</v>
      </c>
      <c r="K86" s="38">
        <v>15</v>
      </c>
      <c r="L86" s="38">
        <v>85</v>
      </c>
      <c r="M86" s="38">
        <v>104</v>
      </c>
      <c r="N86" s="270">
        <v>100</v>
      </c>
      <c r="O86" s="263">
        <f t="shared" si="16"/>
        <v>149</v>
      </c>
    </row>
    <row r="87" spans="2:15" ht="15" thickBot="1" x14ac:dyDescent="0.35">
      <c r="B87" s="34">
        <v>2016</v>
      </c>
      <c r="C87" s="35">
        <v>93</v>
      </c>
      <c r="D87" s="35">
        <v>64</v>
      </c>
      <c r="E87" s="35">
        <v>74</v>
      </c>
      <c r="F87" s="35">
        <v>83</v>
      </c>
      <c r="G87" s="35">
        <v>79</v>
      </c>
      <c r="H87" s="35">
        <v>65</v>
      </c>
      <c r="I87" s="35">
        <v>62</v>
      </c>
      <c r="J87" s="35">
        <v>34</v>
      </c>
      <c r="K87" s="35">
        <v>78</v>
      </c>
      <c r="L87" s="35">
        <v>84</v>
      </c>
      <c r="M87" s="35">
        <v>65</v>
      </c>
      <c r="N87" s="271">
        <v>34</v>
      </c>
      <c r="O87" s="263">
        <f t="shared" si="16"/>
        <v>93</v>
      </c>
    </row>
    <row r="88" spans="2:15" ht="15" thickTop="1" x14ac:dyDescent="0.3">
      <c r="B88" s="46" t="s">
        <v>1</v>
      </c>
      <c r="C88" s="47">
        <f>MIN(C78:C87)</f>
        <v>41</v>
      </c>
      <c r="D88" s="47">
        <f t="shared" ref="D88:N88" si="17">MIN(D78:D87)</f>
        <v>47</v>
      </c>
      <c r="E88" s="47">
        <f t="shared" si="17"/>
        <v>12</v>
      </c>
      <c r="F88" s="47">
        <f t="shared" si="17"/>
        <v>14</v>
      </c>
      <c r="G88" s="47">
        <f t="shared" si="17"/>
        <v>50</v>
      </c>
      <c r="H88" s="47">
        <f t="shared" si="17"/>
        <v>37</v>
      </c>
      <c r="I88" s="47">
        <f t="shared" si="17"/>
        <v>1</v>
      </c>
      <c r="J88" s="47">
        <f t="shared" si="17"/>
        <v>16</v>
      </c>
      <c r="K88" s="47">
        <f t="shared" si="17"/>
        <v>15</v>
      </c>
      <c r="L88" s="47">
        <f t="shared" si="17"/>
        <v>41</v>
      </c>
      <c r="M88" s="47">
        <f t="shared" si="17"/>
        <v>49</v>
      </c>
      <c r="N88" s="47">
        <f t="shared" si="17"/>
        <v>34</v>
      </c>
      <c r="O88" s="236">
        <f t="shared" ref="O88" si="18">MIN(O75:O86)</f>
        <v>90</v>
      </c>
    </row>
    <row r="89" spans="2:15" x14ac:dyDescent="0.3">
      <c r="B89" s="48" t="s">
        <v>2</v>
      </c>
      <c r="C89" s="49">
        <f>MAX(C78:C87)</f>
        <v>164</v>
      </c>
      <c r="D89" s="49">
        <f t="shared" ref="D89:N89" si="19">MAX(D78:D87)</f>
        <v>227</v>
      </c>
      <c r="E89" s="49">
        <f t="shared" si="19"/>
        <v>156</v>
      </c>
      <c r="F89" s="49">
        <f t="shared" si="19"/>
        <v>152</v>
      </c>
      <c r="G89" s="49">
        <f t="shared" si="19"/>
        <v>223</v>
      </c>
      <c r="H89" s="49">
        <f t="shared" si="19"/>
        <v>111</v>
      </c>
      <c r="I89" s="49">
        <f t="shared" si="19"/>
        <v>219</v>
      </c>
      <c r="J89" s="49">
        <f t="shared" si="19"/>
        <v>157</v>
      </c>
      <c r="K89" s="49">
        <f t="shared" si="19"/>
        <v>151</v>
      </c>
      <c r="L89" s="49">
        <f t="shared" si="19"/>
        <v>150</v>
      </c>
      <c r="M89" s="49">
        <f t="shared" si="19"/>
        <v>198</v>
      </c>
      <c r="N89" s="49">
        <f t="shared" si="19"/>
        <v>170</v>
      </c>
      <c r="O89" s="237">
        <f t="shared" ref="O89" si="20">MAX(O75:O86)</f>
        <v>227</v>
      </c>
    </row>
    <row r="90" spans="2:15" ht="15" thickBot="1" x14ac:dyDescent="0.35">
      <c r="B90" s="50" t="s">
        <v>3</v>
      </c>
      <c r="C90" s="272">
        <f>AVERAGE(C78:C87)</f>
        <v>84.3</v>
      </c>
      <c r="D90" s="272">
        <f t="shared" ref="D90:N90" si="21">AVERAGE(D78:D87)</f>
        <v>106.1</v>
      </c>
      <c r="E90" s="272">
        <f t="shared" si="21"/>
        <v>72.5</v>
      </c>
      <c r="F90" s="272">
        <f t="shared" si="21"/>
        <v>90.1</v>
      </c>
      <c r="G90" s="272">
        <f t="shared" si="21"/>
        <v>99.2</v>
      </c>
      <c r="H90" s="272">
        <f t="shared" si="21"/>
        <v>67.599999999999994</v>
      </c>
      <c r="I90" s="272">
        <f t="shared" si="21"/>
        <v>91.7</v>
      </c>
      <c r="J90" s="272">
        <f t="shared" si="21"/>
        <v>90.8</v>
      </c>
      <c r="K90" s="272">
        <f t="shared" si="21"/>
        <v>72.099999999999994</v>
      </c>
      <c r="L90" s="272">
        <f t="shared" si="21"/>
        <v>88.2</v>
      </c>
      <c r="M90" s="272">
        <f t="shared" si="21"/>
        <v>108.3</v>
      </c>
      <c r="N90" s="272">
        <f t="shared" si="21"/>
        <v>89.2</v>
      </c>
      <c r="O90" s="281">
        <f t="shared" ref="O90" si="22">AVERAGE(O75:O86)</f>
        <v>150.22222222222223</v>
      </c>
    </row>
    <row r="91" spans="2:15" ht="15" thickTop="1" x14ac:dyDescent="0.3"/>
    <row r="92" spans="2:15" ht="15" thickBot="1" x14ac:dyDescent="0.35">
      <c r="B92" s="797" t="s">
        <v>177</v>
      </c>
      <c r="C92" s="797"/>
      <c r="D92" s="797"/>
      <c r="E92" s="797"/>
      <c r="F92" s="797"/>
      <c r="G92" s="797"/>
      <c r="H92" s="797"/>
      <c r="I92" s="797"/>
      <c r="J92" s="797"/>
      <c r="K92" s="797"/>
      <c r="L92" s="797"/>
      <c r="M92" s="797"/>
      <c r="N92" s="797"/>
      <c r="O92" s="797"/>
    </row>
    <row r="93" spans="2:15" ht="15.6" thickTop="1" thickBot="1" x14ac:dyDescent="0.35">
      <c r="B93" s="2" t="s">
        <v>167</v>
      </c>
      <c r="C93" s="3" t="s">
        <v>155</v>
      </c>
      <c r="D93" s="3" t="s">
        <v>156</v>
      </c>
      <c r="E93" s="3" t="s">
        <v>157</v>
      </c>
      <c r="F93" s="3" t="s">
        <v>158</v>
      </c>
      <c r="G93" s="3" t="s">
        <v>0</v>
      </c>
      <c r="H93" s="3" t="s">
        <v>159</v>
      </c>
      <c r="I93" s="3" t="s">
        <v>160</v>
      </c>
      <c r="J93" s="3" t="s">
        <v>161</v>
      </c>
      <c r="K93" s="3" t="s">
        <v>162</v>
      </c>
      <c r="L93" s="3" t="s">
        <v>163</v>
      </c>
      <c r="M93" s="3" t="s">
        <v>168</v>
      </c>
      <c r="N93" s="257" t="s">
        <v>164</v>
      </c>
      <c r="O93" s="261" t="s">
        <v>176</v>
      </c>
    </row>
    <row r="94" spans="2:15" ht="15" thickTop="1" x14ac:dyDescent="0.3">
      <c r="B94" s="37">
        <v>2007</v>
      </c>
      <c r="C94" s="200">
        <v>76.5</v>
      </c>
      <c r="D94" s="203">
        <v>339.8</v>
      </c>
      <c r="E94" s="203">
        <v>33.4</v>
      </c>
      <c r="F94" s="203">
        <v>52.8</v>
      </c>
      <c r="G94" s="203">
        <v>63</v>
      </c>
      <c r="H94" s="203">
        <v>28</v>
      </c>
      <c r="I94" s="203">
        <v>0.3</v>
      </c>
      <c r="J94" s="203">
        <v>29</v>
      </c>
      <c r="K94" s="203">
        <v>120.5</v>
      </c>
      <c r="L94" s="203">
        <v>47.7</v>
      </c>
      <c r="M94" s="203">
        <v>61</v>
      </c>
      <c r="N94" s="275">
        <v>104.5</v>
      </c>
      <c r="O94" s="263">
        <f>MAX(C94:N94)</f>
        <v>339.8</v>
      </c>
    </row>
    <row r="95" spans="2:15" x14ac:dyDescent="0.3">
      <c r="B95" s="34">
        <v>2008</v>
      </c>
      <c r="C95" s="200">
        <v>98</v>
      </c>
      <c r="D95" s="203">
        <v>209</v>
      </c>
      <c r="E95" s="203">
        <v>71</v>
      </c>
      <c r="F95" s="203">
        <v>42.5</v>
      </c>
      <c r="G95" s="203">
        <v>72.3</v>
      </c>
      <c r="H95" s="203">
        <v>58.1</v>
      </c>
      <c r="I95" s="203">
        <v>9.1</v>
      </c>
      <c r="J95" s="203">
        <v>43</v>
      </c>
      <c r="K95" s="203">
        <v>31.5</v>
      </c>
      <c r="L95" s="203">
        <v>10.199999999999999</v>
      </c>
      <c r="M95" s="203">
        <v>70.2</v>
      </c>
      <c r="N95" s="275">
        <v>27.8</v>
      </c>
      <c r="O95" s="263">
        <f t="shared" ref="O95:O103" si="23">MAX(C95:N95)</f>
        <v>209</v>
      </c>
    </row>
    <row r="96" spans="2:15" x14ac:dyDescent="0.3">
      <c r="B96" s="37">
        <v>2009</v>
      </c>
      <c r="C96" s="200">
        <v>59</v>
      </c>
      <c r="D96" s="203">
        <v>114</v>
      </c>
      <c r="E96" s="203">
        <v>69.3</v>
      </c>
      <c r="F96" s="203">
        <v>47</v>
      </c>
      <c r="G96" s="203">
        <v>45</v>
      </c>
      <c r="H96" s="203">
        <v>18.5</v>
      </c>
      <c r="I96" s="203">
        <v>29.4</v>
      </c>
      <c r="J96" s="203">
        <v>27</v>
      </c>
      <c r="K96" s="203">
        <v>20.5</v>
      </c>
      <c r="L96" s="203">
        <v>63</v>
      </c>
      <c r="M96" s="203">
        <v>101.5</v>
      </c>
      <c r="N96" s="275">
        <v>51.5</v>
      </c>
      <c r="O96" s="263">
        <f t="shared" si="23"/>
        <v>114</v>
      </c>
    </row>
    <row r="97" spans="2:15" x14ac:dyDescent="0.3">
      <c r="B97" s="34">
        <v>2010</v>
      </c>
      <c r="C97" s="200">
        <v>61</v>
      </c>
      <c r="D97" s="203">
        <v>59.5</v>
      </c>
      <c r="E97" s="203">
        <v>30.2</v>
      </c>
      <c r="F97" s="203">
        <v>59.2</v>
      </c>
      <c r="G97" s="203">
        <v>40</v>
      </c>
      <c r="H97" s="203">
        <v>47.5</v>
      </c>
      <c r="I97" s="203">
        <v>89.8</v>
      </c>
      <c r="J97" s="203">
        <v>63.7</v>
      </c>
      <c r="K97" s="203">
        <v>108.9</v>
      </c>
      <c r="L97" s="203">
        <v>103.6</v>
      </c>
      <c r="M97" s="203">
        <v>36.5</v>
      </c>
      <c r="N97" s="275">
        <v>24.5</v>
      </c>
      <c r="O97" s="263">
        <f t="shared" si="23"/>
        <v>108.9</v>
      </c>
    </row>
    <row r="98" spans="2:15" x14ac:dyDescent="0.3">
      <c r="B98" s="37">
        <v>2011</v>
      </c>
      <c r="C98" s="200">
        <v>29.6</v>
      </c>
      <c r="D98" s="203">
        <v>26.7</v>
      </c>
      <c r="E98" s="203">
        <v>21.5</v>
      </c>
      <c r="F98" s="203">
        <v>61.9</v>
      </c>
      <c r="G98" s="203">
        <v>22.5</v>
      </c>
      <c r="H98" s="203">
        <v>37.700000000000003</v>
      </c>
      <c r="I98" s="203">
        <v>27</v>
      </c>
      <c r="J98" s="203">
        <v>0</v>
      </c>
      <c r="K98" s="203">
        <v>40.299999999999997</v>
      </c>
      <c r="L98" s="203">
        <v>13.7</v>
      </c>
      <c r="M98" s="203">
        <v>17</v>
      </c>
      <c r="N98" s="276">
        <v>27.9</v>
      </c>
      <c r="O98" s="263">
        <f t="shared" si="23"/>
        <v>61.9</v>
      </c>
    </row>
    <row r="99" spans="2:15" x14ac:dyDescent="0.3">
      <c r="B99" s="34">
        <v>2012</v>
      </c>
      <c r="C99" s="200">
        <v>49.2</v>
      </c>
      <c r="D99" s="203">
        <v>70.3</v>
      </c>
      <c r="E99" s="203">
        <v>29.4</v>
      </c>
      <c r="F99" s="203">
        <v>74.400000000000006</v>
      </c>
      <c r="G99" s="203">
        <v>59.2</v>
      </c>
      <c r="H99" s="203">
        <v>43.4</v>
      </c>
      <c r="I99" s="203">
        <v>7.3</v>
      </c>
      <c r="J99" s="203">
        <v>8.5</v>
      </c>
      <c r="K99" s="203">
        <v>5.3</v>
      </c>
      <c r="L99" s="203">
        <v>20</v>
      </c>
      <c r="M99" s="203">
        <v>63.6</v>
      </c>
      <c r="N99" s="276">
        <v>79.8</v>
      </c>
      <c r="O99" s="263">
        <f t="shared" si="23"/>
        <v>79.8</v>
      </c>
    </row>
    <row r="100" spans="2:15" x14ac:dyDescent="0.3">
      <c r="B100" s="37">
        <v>2013</v>
      </c>
      <c r="C100" s="200">
        <v>94</v>
      </c>
      <c r="D100" s="203">
        <v>40</v>
      </c>
      <c r="E100" s="203">
        <v>32.5</v>
      </c>
      <c r="F100" s="203">
        <v>79.8</v>
      </c>
      <c r="G100" s="203">
        <v>66.5</v>
      </c>
      <c r="H100" s="203">
        <v>21</v>
      </c>
      <c r="I100" s="203">
        <v>77.8</v>
      </c>
      <c r="J100" s="203">
        <v>55.5</v>
      </c>
      <c r="K100" s="203">
        <v>16.5</v>
      </c>
      <c r="L100" s="203">
        <v>58.6</v>
      </c>
      <c r="M100" s="203">
        <v>70.599999999999994</v>
      </c>
      <c r="N100" s="276">
        <v>96</v>
      </c>
      <c r="O100" s="263">
        <f t="shared" si="23"/>
        <v>96</v>
      </c>
    </row>
    <row r="101" spans="2:15" x14ac:dyDescent="0.3">
      <c r="B101" s="34">
        <v>2014</v>
      </c>
      <c r="C101" s="200">
        <v>81.599999999999994</v>
      </c>
      <c r="D101" s="203">
        <v>119.5</v>
      </c>
      <c r="E101" s="203">
        <v>25</v>
      </c>
      <c r="F101" s="203">
        <v>51.2</v>
      </c>
      <c r="G101" s="203">
        <v>57.8</v>
      </c>
      <c r="H101" s="203">
        <v>76</v>
      </c>
      <c r="I101" s="203">
        <v>46.2</v>
      </c>
      <c r="J101" s="203">
        <v>68.5</v>
      </c>
      <c r="K101" s="203">
        <v>20</v>
      </c>
      <c r="L101" s="203">
        <v>13.3</v>
      </c>
      <c r="M101" s="203">
        <v>58.8</v>
      </c>
      <c r="N101" s="276">
        <v>35.6</v>
      </c>
      <c r="O101" s="263">
        <f t="shared" si="23"/>
        <v>119.5</v>
      </c>
    </row>
    <row r="102" spans="2:15" x14ac:dyDescent="0.3">
      <c r="B102" s="37">
        <v>2015</v>
      </c>
      <c r="C102" s="200">
        <v>87</v>
      </c>
      <c r="D102" s="203">
        <v>117</v>
      </c>
      <c r="E102" s="203">
        <v>48</v>
      </c>
      <c r="F102" s="203">
        <v>39</v>
      </c>
      <c r="G102" s="203">
        <v>36</v>
      </c>
      <c r="H102" s="203">
        <v>33</v>
      </c>
      <c r="I102" s="203">
        <v>0</v>
      </c>
      <c r="J102" s="203">
        <v>7</v>
      </c>
      <c r="K102" s="203">
        <v>2</v>
      </c>
      <c r="L102" s="203">
        <v>10</v>
      </c>
      <c r="M102" s="203">
        <v>25</v>
      </c>
      <c r="N102" s="277">
        <v>13</v>
      </c>
      <c r="O102" s="263">
        <f t="shared" si="23"/>
        <v>117</v>
      </c>
    </row>
    <row r="103" spans="2:15" ht="15" thickBot="1" x14ac:dyDescent="0.35">
      <c r="B103" s="34">
        <v>2016</v>
      </c>
      <c r="C103" s="200">
        <v>56</v>
      </c>
      <c r="D103" s="200">
        <v>67</v>
      </c>
      <c r="E103" s="200">
        <v>44</v>
      </c>
      <c r="F103" s="200">
        <v>78</v>
      </c>
      <c r="G103" s="200">
        <v>52</v>
      </c>
      <c r="H103" s="200">
        <v>44</v>
      </c>
      <c r="I103" s="200">
        <v>51</v>
      </c>
      <c r="J103" s="200">
        <v>58</v>
      </c>
      <c r="K103" s="200">
        <v>61</v>
      </c>
      <c r="L103" s="200">
        <v>41</v>
      </c>
      <c r="M103" s="200">
        <v>97</v>
      </c>
      <c r="N103" s="278">
        <v>18</v>
      </c>
      <c r="O103" s="263">
        <f t="shared" si="23"/>
        <v>97</v>
      </c>
    </row>
    <row r="104" spans="2:15" ht="15" thickTop="1" x14ac:dyDescent="0.3">
      <c r="B104" s="46" t="s">
        <v>1</v>
      </c>
      <c r="C104" s="282">
        <f>MIN(C94:C103)</f>
        <v>29.6</v>
      </c>
      <c r="D104" s="282">
        <f t="shared" ref="D104" si="24">MIN(D94:D103)</f>
        <v>26.7</v>
      </c>
      <c r="E104" s="282">
        <f t="shared" ref="E104" si="25">MIN(E94:E103)</f>
        <v>21.5</v>
      </c>
      <c r="F104" s="282">
        <f t="shared" ref="F104" si="26">MIN(F94:F103)</f>
        <v>39</v>
      </c>
      <c r="G104" s="282">
        <f t="shared" ref="G104" si="27">MIN(G94:G103)</f>
        <v>22.5</v>
      </c>
      <c r="H104" s="282">
        <f t="shared" ref="H104" si="28">MIN(H94:H103)</f>
        <v>18.5</v>
      </c>
      <c r="I104" s="282">
        <f t="shared" ref="I104" si="29">MIN(I94:I103)</f>
        <v>0</v>
      </c>
      <c r="J104" s="282">
        <f t="shared" ref="J104" si="30">MIN(J94:J103)</f>
        <v>0</v>
      </c>
      <c r="K104" s="282">
        <f t="shared" ref="K104" si="31">MIN(K94:K103)</f>
        <v>2</v>
      </c>
      <c r="L104" s="282">
        <f t="shared" ref="L104" si="32">MIN(L94:L103)</f>
        <v>10</v>
      </c>
      <c r="M104" s="282">
        <f t="shared" ref="M104" si="33">MIN(M94:M103)</f>
        <v>17</v>
      </c>
      <c r="N104" s="282">
        <f t="shared" ref="N104" si="34">MIN(N94:N103)</f>
        <v>13</v>
      </c>
      <c r="O104" s="236">
        <f t="shared" ref="O104" si="35">MIN(O91:O102)</f>
        <v>61.9</v>
      </c>
    </row>
    <row r="105" spans="2:15" x14ac:dyDescent="0.3">
      <c r="B105" s="48" t="s">
        <v>2</v>
      </c>
      <c r="C105" s="201">
        <f>MAX(C94:C103)</f>
        <v>98</v>
      </c>
      <c r="D105" s="201">
        <f t="shared" ref="D105:N105" si="36">MAX(D94:D103)</f>
        <v>339.8</v>
      </c>
      <c r="E105" s="201">
        <f t="shared" si="36"/>
        <v>71</v>
      </c>
      <c r="F105" s="201">
        <f t="shared" si="36"/>
        <v>79.8</v>
      </c>
      <c r="G105" s="201">
        <f t="shared" si="36"/>
        <v>72.3</v>
      </c>
      <c r="H105" s="201">
        <f t="shared" si="36"/>
        <v>76</v>
      </c>
      <c r="I105" s="201">
        <f t="shared" si="36"/>
        <v>89.8</v>
      </c>
      <c r="J105" s="201">
        <f t="shared" si="36"/>
        <v>68.5</v>
      </c>
      <c r="K105" s="201">
        <f t="shared" si="36"/>
        <v>120.5</v>
      </c>
      <c r="L105" s="201">
        <f t="shared" si="36"/>
        <v>103.6</v>
      </c>
      <c r="M105" s="201">
        <f t="shared" si="36"/>
        <v>101.5</v>
      </c>
      <c r="N105" s="201">
        <f t="shared" si="36"/>
        <v>104.5</v>
      </c>
      <c r="O105" s="237">
        <f t="shared" ref="O105" si="37">MAX(O91:O102)</f>
        <v>339.8</v>
      </c>
    </row>
    <row r="106" spans="2:15" ht="15" thickBot="1" x14ac:dyDescent="0.35">
      <c r="B106" s="50" t="s">
        <v>3</v>
      </c>
      <c r="C106" s="272">
        <f>AVERAGE(C94:C103)</f>
        <v>69.19</v>
      </c>
      <c r="D106" s="272">
        <f t="shared" ref="D106:N106" si="38">AVERAGE(D94:D103)</f>
        <v>116.28</v>
      </c>
      <c r="E106" s="272">
        <f t="shared" si="38"/>
        <v>40.429999999999993</v>
      </c>
      <c r="F106" s="272">
        <f t="shared" si="38"/>
        <v>58.58</v>
      </c>
      <c r="G106" s="272">
        <f t="shared" si="38"/>
        <v>51.429999999999993</v>
      </c>
      <c r="H106" s="272">
        <f t="shared" si="38"/>
        <v>40.720000000000006</v>
      </c>
      <c r="I106" s="272">
        <f t="shared" si="38"/>
        <v>33.79</v>
      </c>
      <c r="J106" s="272">
        <f t="shared" si="38"/>
        <v>36.019999999999996</v>
      </c>
      <c r="K106" s="272">
        <f t="shared" si="38"/>
        <v>42.65</v>
      </c>
      <c r="L106" s="272">
        <f t="shared" si="38"/>
        <v>38.11</v>
      </c>
      <c r="M106" s="272">
        <f t="shared" si="38"/>
        <v>60.120000000000005</v>
      </c>
      <c r="N106" s="272">
        <f t="shared" si="38"/>
        <v>47.86</v>
      </c>
      <c r="O106" s="281">
        <f t="shared" ref="O106" si="39">AVERAGE(O91:O102)</f>
        <v>138.43333333333331</v>
      </c>
    </row>
    <row r="107" spans="2:15" ht="15" thickTop="1" x14ac:dyDescent="0.3"/>
    <row r="108" spans="2:15" ht="15" thickBot="1" x14ac:dyDescent="0.35">
      <c r="B108" s="797" t="s">
        <v>179</v>
      </c>
      <c r="C108" s="797"/>
      <c r="D108" s="797"/>
      <c r="E108" s="797"/>
      <c r="F108" s="797"/>
      <c r="G108" s="797"/>
      <c r="H108" s="797"/>
      <c r="I108" s="797"/>
      <c r="J108" s="797"/>
      <c r="K108" s="797"/>
      <c r="L108" s="797"/>
      <c r="M108" s="797"/>
      <c r="N108" s="797"/>
      <c r="O108" s="797"/>
    </row>
    <row r="109" spans="2:15" ht="15.6" thickTop="1" thickBot="1" x14ac:dyDescent="0.35">
      <c r="B109" s="2" t="s">
        <v>167</v>
      </c>
      <c r="C109" s="3" t="s">
        <v>155</v>
      </c>
      <c r="D109" s="3" t="s">
        <v>156</v>
      </c>
      <c r="E109" s="3" t="s">
        <v>157</v>
      </c>
      <c r="F109" s="3" t="s">
        <v>158</v>
      </c>
      <c r="G109" s="3" t="s">
        <v>0</v>
      </c>
      <c r="H109" s="3" t="s">
        <v>159</v>
      </c>
      <c r="I109" s="3" t="s">
        <v>160</v>
      </c>
      <c r="J109" s="3" t="s">
        <v>161</v>
      </c>
      <c r="K109" s="3" t="s">
        <v>162</v>
      </c>
      <c r="L109" s="3" t="s">
        <v>163</v>
      </c>
      <c r="M109" s="3" t="s">
        <v>168</v>
      </c>
      <c r="N109" s="257" t="s">
        <v>164</v>
      </c>
      <c r="O109" s="261" t="s">
        <v>176</v>
      </c>
    </row>
    <row r="110" spans="2:15" ht="15" thickTop="1" x14ac:dyDescent="0.3">
      <c r="B110" s="37">
        <v>2007</v>
      </c>
      <c r="C110" s="200">
        <v>114.3</v>
      </c>
      <c r="D110" s="203">
        <v>83</v>
      </c>
      <c r="E110" s="203">
        <v>36.5</v>
      </c>
      <c r="F110" s="203">
        <v>155.5</v>
      </c>
      <c r="G110" s="203">
        <v>27.4</v>
      </c>
      <c r="H110" s="203">
        <v>41.5</v>
      </c>
      <c r="I110" s="203">
        <v>35.5</v>
      </c>
      <c r="J110" s="203">
        <v>57.5</v>
      </c>
      <c r="K110" s="203">
        <v>115</v>
      </c>
      <c r="L110" s="203">
        <v>50.4</v>
      </c>
      <c r="M110" s="203">
        <v>79.3</v>
      </c>
      <c r="N110" s="275">
        <v>77</v>
      </c>
      <c r="O110" s="280">
        <f>MAX(C110:N110)</f>
        <v>155.5</v>
      </c>
    </row>
    <row r="111" spans="2:15" x14ac:dyDescent="0.3">
      <c r="B111" s="34">
        <v>2008</v>
      </c>
      <c r="C111" s="200">
        <v>82.1</v>
      </c>
      <c r="D111" s="203">
        <v>75.5</v>
      </c>
      <c r="E111" s="203">
        <v>104.5</v>
      </c>
      <c r="F111" s="203">
        <v>67.5</v>
      </c>
      <c r="G111" s="203">
        <v>70</v>
      </c>
      <c r="H111" s="203">
        <v>45.5</v>
      </c>
      <c r="I111" s="203">
        <v>102.2</v>
      </c>
      <c r="J111" s="203">
        <v>32.700000000000003</v>
      </c>
      <c r="K111" s="203">
        <v>95.5</v>
      </c>
      <c r="L111" s="203">
        <v>59.1</v>
      </c>
      <c r="M111" s="203">
        <v>89.4</v>
      </c>
      <c r="N111" s="275">
        <v>58.2</v>
      </c>
      <c r="O111" s="280">
        <f t="shared" ref="O111:O119" si="40">MAX(C111:N111)</f>
        <v>104.5</v>
      </c>
    </row>
    <row r="112" spans="2:15" x14ac:dyDescent="0.3">
      <c r="B112" s="37">
        <v>2009</v>
      </c>
      <c r="C112" s="200">
        <v>93</v>
      </c>
      <c r="D112" s="203">
        <v>37.5</v>
      </c>
      <c r="E112" s="203">
        <v>40.5</v>
      </c>
      <c r="F112" s="203">
        <v>62.2</v>
      </c>
      <c r="G112" s="203">
        <v>115.1</v>
      </c>
      <c r="H112" s="203">
        <v>94.3</v>
      </c>
      <c r="I112" s="203">
        <v>40.6</v>
      </c>
      <c r="J112" s="203">
        <v>15.7</v>
      </c>
      <c r="K112" s="203">
        <v>35.5</v>
      </c>
      <c r="L112" s="203">
        <v>63</v>
      </c>
      <c r="M112" s="203">
        <v>78.2</v>
      </c>
      <c r="N112" s="275">
        <v>48</v>
      </c>
      <c r="O112" s="280">
        <f t="shared" si="40"/>
        <v>115.1</v>
      </c>
    </row>
    <row r="113" spans="2:15" x14ac:dyDescent="0.3">
      <c r="B113" s="34">
        <v>2010</v>
      </c>
      <c r="C113" s="200">
        <v>48.6</v>
      </c>
      <c r="D113" s="203">
        <v>81.2</v>
      </c>
      <c r="E113" s="203">
        <v>75.599999999999994</v>
      </c>
      <c r="F113" s="203">
        <v>14.6</v>
      </c>
      <c r="G113" s="203">
        <v>71.3</v>
      </c>
      <c r="H113" s="203">
        <v>101.1</v>
      </c>
      <c r="I113" s="203">
        <v>66.3</v>
      </c>
      <c r="J113" s="203">
        <v>100</v>
      </c>
      <c r="K113" s="203">
        <v>144.5</v>
      </c>
      <c r="L113" s="203">
        <v>91.2</v>
      </c>
      <c r="M113" s="203">
        <v>48</v>
      </c>
      <c r="N113" s="275">
        <v>21.4</v>
      </c>
      <c r="O113" s="280">
        <f t="shared" si="40"/>
        <v>144.5</v>
      </c>
    </row>
    <row r="114" spans="2:15" x14ac:dyDescent="0.3">
      <c r="B114" s="37">
        <v>2011</v>
      </c>
      <c r="C114" s="200">
        <v>58.8</v>
      </c>
      <c r="D114" s="203">
        <v>15.6</v>
      </c>
      <c r="E114" s="203">
        <v>27.5</v>
      </c>
      <c r="F114" s="203">
        <v>49.5</v>
      </c>
      <c r="G114" s="203">
        <v>97.6</v>
      </c>
      <c r="H114" s="203">
        <v>75.5</v>
      </c>
      <c r="I114" s="203">
        <v>88.2</v>
      </c>
      <c r="J114" s="203">
        <v>56.6</v>
      </c>
      <c r="K114" s="203">
        <v>23.9</v>
      </c>
      <c r="L114" s="203">
        <v>67</v>
      </c>
      <c r="M114" s="203">
        <v>74.3</v>
      </c>
      <c r="N114" s="276">
        <v>57.8</v>
      </c>
      <c r="O114" s="280">
        <f t="shared" si="40"/>
        <v>97.6</v>
      </c>
    </row>
    <row r="115" spans="2:15" x14ac:dyDescent="0.3">
      <c r="B115" s="34">
        <v>2012</v>
      </c>
      <c r="C115" s="200">
        <v>42</v>
      </c>
      <c r="D115" s="203">
        <v>85.3</v>
      </c>
      <c r="E115" s="203">
        <v>34.5</v>
      </c>
      <c r="F115" s="203">
        <v>116</v>
      </c>
      <c r="G115" s="203">
        <v>44.1</v>
      </c>
      <c r="H115" s="203">
        <v>36.799999999999997</v>
      </c>
      <c r="I115" s="203">
        <v>79.3</v>
      </c>
      <c r="J115" s="203">
        <v>58.2</v>
      </c>
      <c r="K115" s="203">
        <v>57.5</v>
      </c>
      <c r="L115" s="203">
        <v>86.4</v>
      </c>
      <c r="M115" s="203">
        <v>71</v>
      </c>
      <c r="N115" s="276">
        <v>76.7</v>
      </c>
      <c r="O115" s="280">
        <f t="shared" si="40"/>
        <v>116</v>
      </c>
    </row>
    <row r="116" spans="2:15" x14ac:dyDescent="0.3">
      <c r="B116" s="37">
        <v>2013</v>
      </c>
      <c r="C116" s="200">
        <v>74.2</v>
      </c>
      <c r="D116" s="203">
        <v>96.5</v>
      </c>
      <c r="E116" s="203">
        <v>71.5</v>
      </c>
      <c r="F116" s="203">
        <v>35.200000000000003</v>
      </c>
      <c r="G116" s="203">
        <v>95.6</v>
      </c>
      <c r="H116" s="203">
        <v>36.5</v>
      </c>
      <c r="I116" s="203">
        <v>92.7</v>
      </c>
      <c r="J116" s="279" t="s">
        <v>180</v>
      </c>
      <c r="K116" s="279" t="s">
        <v>180</v>
      </c>
      <c r="L116" s="203">
        <v>60.2</v>
      </c>
      <c r="M116" s="203">
        <v>46.1</v>
      </c>
      <c r="N116" s="276">
        <v>97.4</v>
      </c>
      <c r="O116" s="280">
        <f t="shared" si="40"/>
        <v>97.4</v>
      </c>
    </row>
    <row r="117" spans="2:15" x14ac:dyDescent="0.3">
      <c r="B117" s="34">
        <v>2014</v>
      </c>
      <c r="C117" s="200">
        <v>103.3</v>
      </c>
      <c r="D117" s="203">
        <v>41.5</v>
      </c>
      <c r="E117" s="203">
        <v>56.4</v>
      </c>
      <c r="F117" s="203">
        <v>169.1</v>
      </c>
      <c r="G117" s="203">
        <v>42.1</v>
      </c>
      <c r="H117" s="203">
        <v>26.1</v>
      </c>
      <c r="I117" s="203">
        <v>116.7</v>
      </c>
      <c r="J117" s="203">
        <v>147.30000000000001</v>
      </c>
      <c r="K117" s="203">
        <v>5.7</v>
      </c>
      <c r="L117" s="203">
        <v>93.7</v>
      </c>
      <c r="M117" s="203">
        <v>153</v>
      </c>
      <c r="N117" s="276">
        <v>74.599999999999994</v>
      </c>
      <c r="O117" s="280">
        <f t="shared" si="40"/>
        <v>169.1</v>
      </c>
    </row>
    <row r="118" spans="2:15" x14ac:dyDescent="0.3">
      <c r="B118" s="37">
        <v>2015</v>
      </c>
      <c r="C118" s="200">
        <v>29</v>
      </c>
      <c r="D118" s="203">
        <v>89</v>
      </c>
      <c r="E118" s="203">
        <v>68</v>
      </c>
      <c r="F118" s="203">
        <v>48</v>
      </c>
      <c r="G118" s="203">
        <v>51</v>
      </c>
      <c r="H118" s="203">
        <v>63</v>
      </c>
      <c r="I118" s="203">
        <v>1</v>
      </c>
      <c r="J118" s="203">
        <v>95</v>
      </c>
      <c r="K118" s="203">
        <v>54</v>
      </c>
      <c r="L118" s="203">
        <v>64</v>
      </c>
      <c r="M118" s="203">
        <v>156</v>
      </c>
      <c r="N118" s="277">
        <v>82</v>
      </c>
      <c r="O118" s="280">
        <f t="shared" si="40"/>
        <v>156</v>
      </c>
    </row>
    <row r="119" spans="2:15" ht="15" thickBot="1" x14ac:dyDescent="0.35">
      <c r="B119" s="34">
        <v>2016</v>
      </c>
      <c r="C119" s="200">
        <v>104</v>
      </c>
      <c r="D119" s="200">
        <v>106</v>
      </c>
      <c r="E119" s="200">
        <v>73</v>
      </c>
      <c r="F119" s="200">
        <v>109</v>
      </c>
      <c r="G119" s="200">
        <v>67</v>
      </c>
      <c r="H119" s="200">
        <v>82</v>
      </c>
      <c r="I119" s="200">
        <v>63</v>
      </c>
      <c r="J119" s="200">
        <v>67</v>
      </c>
      <c r="K119" s="200">
        <v>96</v>
      </c>
      <c r="L119" s="200">
        <v>73</v>
      </c>
      <c r="M119" s="200">
        <v>50</v>
      </c>
      <c r="N119" s="278">
        <v>20</v>
      </c>
      <c r="O119" s="280">
        <f t="shared" si="40"/>
        <v>109</v>
      </c>
    </row>
    <row r="120" spans="2:15" ht="15" thickTop="1" x14ac:dyDescent="0.3">
      <c r="B120" s="46" t="s">
        <v>1</v>
      </c>
      <c r="C120" s="282">
        <f>MIN(C110:C119)</f>
        <v>29</v>
      </c>
      <c r="D120" s="282">
        <f t="shared" ref="D120" si="41">MIN(D110:D119)</f>
        <v>15.6</v>
      </c>
      <c r="E120" s="282">
        <f t="shared" ref="E120" si="42">MIN(E110:E119)</f>
        <v>27.5</v>
      </c>
      <c r="F120" s="282">
        <f t="shared" ref="F120" si="43">MIN(F110:F119)</f>
        <v>14.6</v>
      </c>
      <c r="G120" s="282">
        <f t="shared" ref="G120" si="44">MIN(G110:G119)</f>
        <v>27.4</v>
      </c>
      <c r="H120" s="282">
        <f t="shared" ref="H120" si="45">MIN(H110:H119)</f>
        <v>26.1</v>
      </c>
      <c r="I120" s="282">
        <f t="shared" ref="I120" si="46">MIN(I110:I119)</f>
        <v>1</v>
      </c>
      <c r="J120" s="282">
        <f t="shared" ref="J120" si="47">MIN(J110:J119)</f>
        <v>15.7</v>
      </c>
      <c r="K120" s="282">
        <f t="shared" ref="K120" si="48">MIN(K110:K119)</f>
        <v>5.7</v>
      </c>
      <c r="L120" s="282">
        <f t="shared" ref="L120" si="49">MIN(L110:L119)</f>
        <v>50.4</v>
      </c>
      <c r="M120" s="282">
        <f t="shared" ref="M120" si="50">MIN(M110:M119)</f>
        <v>46.1</v>
      </c>
      <c r="N120" s="282">
        <f t="shared" ref="N120" si="51">MIN(N110:N119)</f>
        <v>20</v>
      </c>
      <c r="O120" s="236">
        <f t="shared" ref="O120" si="52">MIN(O107:O118)</f>
        <v>97.4</v>
      </c>
    </row>
    <row r="121" spans="2:15" x14ac:dyDescent="0.3">
      <c r="B121" s="48" t="s">
        <v>2</v>
      </c>
      <c r="C121" s="201">
        <f>MAX(C110:C119)</f>
        <v>114.3</v>
      </c>
      <c r="D121" s="201">
        <f t="shared" ref="D121:N121" si="53">MAX(D110:D119)</f>
        <v>106</v>
      </c>
      <c r="E121" s="201">
        <f t="shared" si="53"/>
        <v>104.5</v>
      </c>
      <c r="F121" s="201">
        <f t="shared" si="53"/>
        <v>169.1</v>
      </c>
      <c r="G121" s="201">
        <f t="shared" si="53"/>
        <v>115.1</v>
      </c>
      <c r="H121" s="201">
        <f t="shared" si="53"/>
        <v>101.1</v>
      </c>
      <c r="I121" s="201">
        <f t="shared" si="53"/>
        <v>116.7</v>
      </c>
      <c r="J121" s="201">
        <f t="shared" si="53"/>
        <v>147.30000000000001</v>
      </c>
      <c r="K121" s="201">
        <f t="shared" si="53"/>
        <v>144.5</v>
      </c>
      <c r="L121" s="201">
        <f t="shared" si="53"/>
        <v>93.7</v>
      </c>
      <c r="M121" s="201">
        <f t="shared" si="53"/>
        <v>156</v>
      </c>
      <c r="N121" s="201">
        <f t="shared" si="53"/>
        <v>97.4</v>
      </c>
      <c r="O121" s="237">
        <f t="shared" ref="O121" si="54">MAX(O107:O118)</f>
        <v>169.1</v>
      </c>
    </row>
    <row r="122" spans="2:15" ht="15" thickBot="1" x14ac:dyDescent="0.35">
      <c r="B122" s="50" t="s">
        <v>3</v>
      </c>
      <c r="C122" s="272">
        <f>AVERAGE(C110:C119)</f>
        <v>74.929999999999993</v>
      </c>
      <c r="D122" s="272">
        <f t="shared" ref="D122:N122" si="55">AVERAGE(D110:D119)</f>
        <v>71.11</v>
      </c>
      <c r="E122" s="272">
        <f t="shared" si="55"/>
        <v>58.8</v>
      </c>
      <c r="F122" s="272">
        <f t="shared" si="55"/>
        <v>82.66</v>
      </c>
      <c r="G122" s="272">
        <f t="shared" si="55"/>
        <v>68.12</v>
      </c>
      <c r="H122" s="272">
        <f t="shared" si="55"/>
        <v>60.23</v>
      </c>
      <c r="I122" s="272">
        <f t="shared" si="55"/>
        <v>68.55</v>
      </c>
      <c r="J122" s="272">
        <f t="shared" si="55"/>
        <v>70</v>
      </c>
      <c r="K122" s="272">
        <f t="shared" si="55"/>
        <v>69.73333333333332</v>
      </c>
      <c r="L122" s="272">
        <f t="shared" si="55"/>
        <v>70.8</v>
      </c>
      <c r="M122" s="272">
        <f t="shared" si="55"/>
        <v>84.53</v>
      </c>
      <c r="N122" s="272">
        <f t="shared" si="55"/>
        <v>61.31</v>
      </c>
      <c r="O122" s="281">
        <f t="shared" ref="O122" si="56">AVERAGE(O107:O118)</f>
        <v>128.41111111111113</v>
      </c>
    </row>
    <row r="123" spans="2:15" ht="15" thickTop="1" x14ac:dyDescent="0.3"/>
  </sheetData>
  <mergeCells count="10">
    <mergeCell ref="B76:O76"/>
    <mergeCell ref="B92:O92"/>
    <mergeCell ref="B108:O108"/>
    <mergeCell ref="P5:AA5"/>
    <mergeCell ref="B2:AB3"/>
    <mergeCell ref="P23:AA23"/>
    <mergeCell ref="B43:AB44"/>
    <mergeCell ref="B46:O46"/>
    <mergeCell ref="B5:M5"/>
    <mergeCell ref="B23:M23"/>
  </mergeCells>
  <conditionalFormatting sqref="C59:N71">
    <cfRule type="cellIs" dxfId="40" priority="32" operator="equal">
      <formula>$O$59</formula>
    </cfRule>
  </conditionalFormatting>
  <conditionalFormatting sqref="C60:N60">
    <cfRule type="cellIs" dxfId="39" priority="31" operator="equal">
      <formula>$O$60</formula>
    </cfRule>
  </conditionalFormatting>
  <conditionalFormatting sqref="C61:N61">
    <cfRule type="cellIs" dxfId="38" priority="30" operator="equal">
      <formula>$O$61</formula>
    </cfRule>
  </conditionalFormatting>
  <conditionalFormatting sqref="C62:N62">
    <cfRule type="cellIs" dxfId="37" priority="29" operator="equal">
      <formula>$O$62</formula>
    </cfRule>
  </conditionalFormatting>
  <conditionalFormatting sqref="C63:N63">
    <cfRule type="cellIs" dxfId="36" priority="28" operator="equal">
      <formula>$O$63</formula>
    </cfRule>
  </conditionalFormatting>
  <conditionalFormatting sqref="C64:N64">
    <cfRule type="cellIs" dxfId="35" priority="27" operator="equal">
      <formula>$O$64</formula>
    </cfRule>
  </conditionalFormatting>
  <conditionalFormatting sqref="C65:N65">
    <cfRule type="cellIs" dxfId="34" priority="26" operator="equal">
      <formula>$O$65</formula>
    </cfRule>
  </conditionalFormatting>
  <conditionalFormatting sqref="C66:N66">
    <cfRule type="cellIs" dxfId="33" priority="25" operator="equal">
      <formula>$O$66</formula>
    </cfRule>
  </conditionalFormatting>
  <conditionalFormatting sqref="C67:N67">
    <cfRule type="cellIs" dxfId="32" priority="24" operator="equal">
      <formula>$O$67</formula>
    </cfRule>
  </conditionalFormatting>
  <conditionalFormatting sqref="C68:N68">
    <cfRule type="cellIs" dxfId="31" priority="23" operator="equal">
      <formula>$O$68</formula>
    </cfRule>
  </conditionalFormatting>
  <conditionalFormatting sqref="C69:N69">
    <cfRule type="cellIs" dxfId="30" priority="22" operator="equal">
      <formula>$O$69</formula>
    </cfRule>
  </conditionalFormatting>
  <conditionalFormatting sqref="C70:N71">
    <cfRule type="cellIs" dxfId="29" priority="21" operator="equal">
      <formula>$O$70</formula>
    </cfRule>
  </conditionalFormatting>
  <conditionalFormatting sqref="C94:N94">
    <cfRule type="cellIs" dxfId="28" priority="19" operator="equal">
      <formula>$O$62</formula>
    </cfRule>
  </conditionalFormatting>
  <conditionalFormatting sqref="C94:N103">
    <cfRule type="cellIs" dxfId="27" priority="20" operator="equal">
      <formula>$O$59</formula>
    </cfRule>
  </conditionalFormatting>
  <conditionalFormatting sqref="C95:N95">
    <cfRule type="cellIs" dxfId="26" priority="18" operator="equal">
      <formula>$O$63</formula>
    </cfRule>
  </conditionalFormatting>
  <conditionalFormatting sqref="C96:N96">
    <cfRule type="cellIs" dxfId="25" priority="17" operator="equal">
      <formula>$O$64</formula>
    </cfRule>
  </conditionalFormatting>
  <conditionalFormatting sqref="C97:N97">
    <cfRule type="cellIs" dxfId="24" priority="16" operator="equal">
      <formula>$O$65</formula>
    </cfRule>
  </conditionalFormatting>
  <conditionalFormatting sqref="C98:N98">
    <cfRule type="cellIs" dxfId="23" priority="15" operator="equal">
      <formula>$O$66</formula>
    </cfRule>
  </conditionalFormatting>
  <conditionalFormatting sqref="C99:N99">
    <cfRule type="cellIs" dxfId="22" priority="14" operator="equal">
      <formula>$O$67</formula>
    </cfRule>
  </conditionalFormatting>
  <conditionalFormatting sqref="C100:N100">
    <cfRule type="cellIs" dxfId="21" priority="13" operator="equal">
      <formula>$O$68</formula>
    </cfRule>
  </conditionalFormatting>
  <conditionalFormatting sqref="C101:N101">
    <cfRule type="cellIs" dxfId="20" priority="12" operator="equal">
      <formula>$O$69</formula>
    </cfRule>
  </conditionalFormatting>
  <conditionalFormatting sqref="C102:N103">
    <cfRule type="cellIs" dxfId="19" priority="11" operator="equal">
      <formula>$O$70</formula>
    </cfRule>
  </conditionalFormatting>
  <conditionalFormatting sqref="C110:N110">
    <cfRule type="cellIs" dxfId="18" priority="9" operator="equal">
      <formula>$O$62</formula>
    </cfRule>
  </conditionalFormatting>
  <conditionalFormatting sqref="C110:N119">
    <cfRule type="cellIs" dxfId="17" priority="10" operator="equal">
      <formula>$O$59</formula>
    </cfRule>
  </conditionalFormatting>
  <conditionalFormatting sqref="C111:N111">
    <cfRule type="cellIs" dxfId="16" priority="8" operator="equal">
      <formula>$O$63</formula>
    </cfRule>
  </conditionalFormatting>
  <conditionalFormatting sqref="C112:N112">
    <cfRule type="cellIs" dxfId="15" priority="7" operator="equal">
      <formula>$O$64</formula>
    </cfRule>
  </conditionalFormatting>
  <conditionalFormatting sqref="C113:N113">
    <cfRule type="cellIs" dxfId="14" priority="6" operator="equal">
      <formula>$O$65</formula>
    </cfRule>
  </conditionalFormatting>
  <conditionalFormatting sqref="C114:N114">
    <cfRule type="cellIs" dxfId="13" priority="5" operator="equal">
      <formula>$O$66</formula>
    </cfRule>
  </conditionalFormatting>
  <conditionalFormatting sqref="C115:N115">
    <cfRule type="cellIs" dxfId="12" priority="4" operator="equal">
      <formula>$O$67</formula>
    </cfRule>
  </conditionalFormatting>
  <conditionalFormatting sqref="C116:N116">
    <cfRule type="cellIs" dxfId="11" priority="3" operator="equal">
      <formula>$O$68</formula>
    </cfRule>
  </conditionalFormatting>
  <conditionalFormatting sqref="C117:N117">
    <cfRule type="cellIs" dxfId="10" priority="2" operator="equal">
      <formula>$O$69</formula>
    </cfRule>
  </conditionalFormatting>
  <conditionalFormatting sqref="C118:N119">
    <cfRule type="cellIs" dxfId="9" priority="1" operator="equal">
      <formula>$O$70</formula>
    </cfRule>
  </conditionalFormatting>
  <pageMargins left="0.7" right="0.7" top="0.75" bottom="0.75" header="0.3" footer="0.3"/>
  <pageSetup orientation="portrait" verticalDpi="300" r:id="rId1"/>
  <ignoredErrors>
    <ignoredError sqref="O78:O87 O110:O119 O94:O10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0CE50-E35A-4450-929E-9AE4BC1F6342}">
  <sheetPr>
    <tabColor theme="1" tint="0.499984740745262"/>
  </sheetPr>
  <dimension ref="A1:H367"/>
  <sheetViews>
    <sheetView workbookViewId="0">
      <selection activeCell="K24" sqref="K24"/>
    </sheetView>
  </sheetViews>
  <sheetFormatPr defaultRowHeight="14.4" x14ac:dyDescent="0.3"/>
  <cols>
    <col min="1" max="1" width="10.33203125" style="340" bestFit="1" customWidth="1"/>
    <col min="2" max="2" width="9.6640625" bestFit="1" customWidth="1"/>
    <col min="3" max="3" width="10.33203125" style="340" hidden="1" customWidth="1"/>
    <col min="4" max="4" width="9.6640625" hidden="1" customWidth="1"/>
    <col min="5" max="5" width="10.33203125" style="340" hidden="1" customWidth="1"/>
    <col min="6" max="6" width="9.6640625" hidden="1" customWidth="1"/>
    <col min="7" max="7" width="10.33203125" style="340" hidden="1" customWidth="1"/>
    <col min="8" max="8" width="0" hidden="1" customWidth="1"/>
  </cols>
  <sheetData>
    <row r="1" spans="1:8" x14ac:dyDescent="0.3">
      <c r="A1" s="334" t="s">
        <v>206</v>
      </c>
      <c r="B1" s="335" t="s">
        <v>207</v>
      </c>
      <c r="C1" s="334" t="s">
        <v>206</v>
      </c>
      <c r="D1" s="335" t="s">
        <v>207</v>
      </c>
      <c r="E1" s="334" t="s">
        <v>206</v>
      </c>
      <c r="F1" s="335" t="s">
        <v>207</v>
      </c>
      <c r="G1" s="334" t="s">
        <v>206</v>
      </c>
      <c r="H1" s="335" t="s">
        <v>207</v>
      </c>
    </row>
    <row r="2" spans="1:8" x14ac:dyDescent="0.3">
      <c r="A2" s="336" t="s">
        <v>208</v>
      </c>
      <c r="B2">
        <v>14.5</v>
      </c>
      <c r="C2" s="336" t="s">
        <v>209</v>
      </c>
      <c r="D2">
        <v>13</v>
      </c>
      <c r="E2" s="336" t="s">
        <v>210</v>
      </c>
      <c r="F2">
        <v>6.2</v>
      </c>
      <c r="G2" s="336" t="s">
        <v>211</v>
      </c>
      <c r="H2">
        <v>1.5</v>
      </c>
    </row>
    <row r="3" spans="1:8" x14ac:dyDescent="0.3">
      <c r="A3" s="336" t="s">
        <v>212</v>
      </c>
      <c r="B3">
        <v>13.5</v>
      </c>
      <c r="C3" s="336" t="s">
        <v>213</v>
      </c>
      <c r="D3">
        <v>1</v>
      </c>
      <c r="E3" s="336" t="s">
        <v>214</v>
      </c>
      <c r="F3">
        <v>32.5</v>
      </c>
      <c r="G3" s="336" t="s">
        <v>215</v>
      </c>
      <c r="H3">
        <v>7.5</v>
      </c>
    </row>
    <row r="4" spans="1:8" x14ac:dyDescent="0.3">
      <c r="A4" s="336" t="s">
        <v>216</v>
      </c>
      <c r="B4">
        <v>1</v>
      </c>
      <c r="C4" s="336" t="s">
        <v>217</v>
      </c>
      <c r="D4">
        <v>0</v>
      </c>
      <c r="E4" s="336" t="s">
        <v>218</v>
      </c>
      <c r="F4">
        <v>29</v>
      </c>
      <c r="G4" s="336" t="s">
        <v>219</v>
      </c>
      <c r="H4">
        <v>5</v>
      </c>
    </row>
    <row r="5" spans="1:8" x14ac:dyDescent="0.3">
      <c r="A5" s="336" t="s">
        <v>220</v>
      </c>
      <c r="B5">
        <v>0</v>
      </c>
      <c r="C5" s="336" t="s">
        <v>221</v>
      </c>
      <c r="D5">
        <v>0</v>
      </c>
      <c r="E5" s="336" t="s">
        <v>222</v>
      </c>
      <c r="F5">
        <v>9</v>
      </c>
      <c r="G5" s="336" t="s">
        <v>223</v>
      </c>
      <c r="H5">
        <v>9.5</v>
      </c>
    </row>
    <row r="6" spans="1:8" x14ac:dyDescent="0.3">
      <c r="A6" s="336" t="s">
        <v>224</v>
      </c>
      <c r="B6">
        <v>13</v>
      </c>
      <c r="C6" s="336" t="s">
        <v>225</v>
      </c>
      <c r="D6">
        <v>0</v>
      </c>
      <c r="E6" s="336" t="s">
        <v>226</v>
      </c>
      <c r="F6">
        <v>7.5</v>
      </c>
      <c r="G6" s="336" t="s">
        <v>227</v>
      </c>
      <c r="H6">
        <v>11</v>
      </c>
    </row>
    <row r="7" spans="1:8" x14ac:dyDescent="0.3">
      <c r="A7" s="336" t="s">
        <v>228</v>
      </c>
      <c r="B7">
        <v>5</v>
      </c>
      <c r="C7" s="336" t="s">
        <v>229</v>
      </c>
      <c r="D7">
        <v>2</v>
      </c>
      <c r="E7" s="336" t="s">
        <v>230</v>
      </c>
      <c r="F7">
        <v>4.5</v>
      </c>
      <c r="G7" s="336" t="s">
        <v>231</v>
      </c>
      <c r="H7">
        <v>3</v>
      </c>
    </row>
    <row r="8" spans="1:8" x14ac:dyDescent="0.3">
      <c r="A8" s="336" t="s">
        <v>232</v>
      </c>
      <c r="B8">
        <v>0</v>
      </c>
      <c r="C8" s="336" t="s">
        <v>233</v>
      </c>
      <c r="D8">
        <v>0.5</v>
      </c>
      <c r="E8" s="336" t="s">
        <v>234</v>
      </c>
      <c r="F8">
        <v>3</v>
      </c>
      <c r="G8" s="336" t="s">
        <v>235</v>
      </c>
      <c r="H8">
        <v>0</v>
      </c>
    </row>
    <row r="9" spans="1:8" x14ac:dyDescent="0.3">
      <c r="A9" s="336" t="s">
        <v>236</v>
      </c>
      <c r="B9">
        <v>7</v>
      </c>
      <c r="C9" s="336" t="s">
        <v>237</v>
      </c>
      <c r="D9">
        <v>22.5</v>
      </c>
      <c r="E9" s="336" t="s">
        <v>238</v>
      </c>
      <c r="F9">
        <v>0.5</v>
      </c>
      <c r="G9" s="336" t="s">
        <v>239</v>
      </c>
      <c r="H9">
        <v>20</v>
      </c>
    </row>
    <row r="10" spans="1:8" x14ac:dyDescent="0.3">
      <c r="A10" s="336" t="s">
        <v>240</v>
      </c>
      <c r="B10">
        <v>9.5</v>
      </c>
      <c r="C10" s="336" t="s">
        <v>241</v>
      </c>
      <c r="D10">
        <v>4.5</v>
      </c>
      <c r="E10" s="336" t="s">
        <v>242</v>
      </c>
      <c r="F10">
        <v>18.5</v>
      </c>
      <c r="G10" s="336" t="s">
        <v>243</v>
      </c>
      <c r="H10">
        <v>0</v>
      </c>
    </row>
    <row r="11" spans="1:8" x14ac:dyDescent="0.3">
      <c r="A11" s="336" t="s">
        <v>244</v>
      </c>
      <c r="B11">
        <v>58</v>
      </c>
      <c r="C11" s="336" t="s">
        <v>245</v>
      </c>
      <c r="D11">
        <v>52.5</v>
      </c>
      <c r="E11" s="336" t="s">
        <v>246</v>
      </c>
      <c r="F11">
        <v>0</v>
      </c>
      <c r="G11" s="336" t="s">
        <v>247</v>
      </c>
      <c r="H11">
        <v>8</v>
      </c>
    </row>
    <row r="12" spans="1:8" x14ac:dyDescent="0.3">
      <c r="A12" s="336" t="s">
        <v>248</v>
      </c>
      <c r="B12">
        <v>36.5</v>
      </c>
      <c r="C12" s="336" t="s">
        <v>249</v>
      </c>
      <c r="D12">
        <v>0.5</v>
      </c>
      <c r="E12" s="336" t="s">
        <v>250</v>
      </c>
      <c r="F12">
        <v>0</v>
      </c>
      <c r="G12" s="336" t="s">
        <v>251</v>
      </c>
      <c r="H12">
        <v>0</v>
      </c>
    </row>
    <row r="13" spans="1:8" x14ac:dyDescent="0.3">
      <c r="A13" s="336" t="s">
        <v>252</v>
      </c>
      <c r="B13">
        <v>11</v>
      </c>
      <c r="C13" s="336" t="s">
        <v>253</v>
      </c>
      <c r="D13">
        <v>2</v>
      </c>
      <c r="E13" s="336" t="s">
        <v>254</v>
      </c>
      <c r="F13">
        <v>0</v>
      </c>
      <c r="G13" s="336" t="s">
        <v>255</v>
      </c>
      <c r="H13">
        <v>33</v>
      </c>
    </row>
    <row r="14" spans="1:8" x14ac:dyDescent="0.3">
      <c r="A14" s="336" t="s">
        <v>256</v>
      </c>
      <c r="B14">
        <v>10</v>
      </c>
      <c r="C14" s="336" t="s">
        <v>257</v>
      </c>
      <c r="D14">
        <v>85.5</v>
      </c>
      <c r="E14" s="336" t="s">
        <v>258</v>
      </c>
      <c r="F14">
        <v>0</v>
      </c>
      <c r="G14" s="336" t="s">
        <v>259</v>
      </c>
      <c r="H14">
        <v>0</v>
      </c>
    </row>
    <row r="15" spans="1:8" x14ac:dyDescent="0.3">
      <c r="A15" s="336" t="s">
        <v>260</v>
      </c>
      <c r="B15">
        <v>46.5</v>
      </c>
      <c r="C15" s="336" t="s">
        <v>261</v>
      </c>
      <c r="D15">
        <v>9</v>
      </c>
      <c r="E15" s="336" t="s">
        <v>262</v>
      </c>
      <c r="F15">
        <v>13.5</v>
      </c>
      <c r="G15" s="336" t="s">
        <v>263</v>
      </c>
      <c r="H15">
        <v>19</v>
      </c>
    </row>
    <row r="16" spans="1:8" x14ac:dyDescent="0.3">
      <c r="A16" s="336" t="s">
        <v>264</v>
      </c>
      <c r="B16">
        <v>3</v>
      </c>
      <c r="C16" s="336" t="s">
        <v>265</v>
      </c>
      <c r="D16">
        <v>15.5</v>
      </c>
      <c r="E16" s="336" t="s">
        <v>266</v>
      </c>
      <c r="F16">
        <v>8</v>
      </c>
      <c r="G16" s="336" t="s">
        <v>267</v>
      </c>
      <c r="H16">
        <v>0</v>
      </c>
    </row>
    <row r="17" spans="1:8" x14ac:dyDescent="0.3">
      <c r="A17" s="336" t="s">
        <v>268</v>
      </c>
      <c r="B17">
        <v>24</v>
      </c>
      <c r="C17" s="336" t="s">
        <v>269</v>
      </c>
      <c r="D17">
        <v>33</v>
      </c>
      <c r="E17" s="336" t="s">
        <v>270</v>
      </c>
      <c r="F17">
        <v>1.5</v>
      </c>
      <c r="G17" s="336" t="s">
        <v>271</v>
      </c>
      <c r="H17">
        <v>11</v>
      </c>
    </row>
    <row r="18" spans="1:8" x14ac:dyDescent="0.3">
      <c r="A18" s="336" t="s">
        <v>272</v>
      </c>
      <c r="B18">
        <v>0.5</v>
      </c>
      <c r="C18" s="336" t="s">
        <v>273</v>
      </c>
      <c r="D18">
        <v>50</v>
      </c>
      <c r="E18" s="336" t="s">
        <v>274</v>
      </c>
      <c r="F18">
        <v>4.5</v>
      </c>
      <c r="G18" s="336" t="s">
        <v>275</v>
      </c>
      <c r="H18">
        <v>0</v>
      </c>
    </row>
    <row r="19" spans="1:8" x14ac:dyDescent="0.3">
      <c r="A19" s="336" t="s">
        <v>276</v>
      </c>
      <c r="B19">
        <v>4</v>
      </c>
      <c r="C19" s="336" t="s">
        <v>277</v>
      </c>
      <c r="D19">
        <v>6</v>
      </c>
      <c r="E19" s="336" t="s">
        <v>278</v>
      </c>
      <c r="F19">
        <v>14.5</v>
      </c>
      <c r="G19" s="336" t="s">
        <v>279</v>
      </c>
      <c r="H19">
        <v>38.5</v>
      </c>
    </row>
    <row r="20" spans="1:8" x14ac:dyDescent="0.3">
      <c r="A20" s="336" t="s">
        <v>280</v>
      </c>
      <c r="B20">
        <v>0.5</v>
      </c>
      <c r="C20" s="336" t="s">
        <v>281</v>
      </c>
      <c r="D20">
        <v>4.5</v>
      </c>
      <c r="E20" s="336" t="s">
        <v>282</v>
      </c>
      <c r="F20">
        <v>0</v>
      </c>
      <c r="G20" s="336" t="s">
        <v>283</v>
      </c>
      <c r="H20">
        <v>20.5</v>
      </c>
    </row>
    <row r="21" spans="1:8" x14ac:dyDescent="0.3">
      <c r="A21" s="336" t="s">
        <v>284</v>
      </c>
      <c r="B21">
        <v>3</v>
      </c>
      <c r="C21" s="336" t="s">
        <v>285</v>
      </c>
      <c r="D21">
        <v>10.5</v>
      </c>
      <c r="E21" s="336" t="s">
        <v>286</v>
      </c>
      <c r="F21">
        <v>0</v>
      </c>
      <c r="G21" s="336" t="s">
        <v>287</v>
      </c>
      <c r="H21">
        <v>1.5</v>
      </c>
    </row>
    <row r="22" spans="1:8" x14ac:dyDescent="0.3">
      <c r="A22" s="336" t="s">
        <v>288</v>
      </c>
      <c r="B22">
        <v>5.5</v>
      </c>
      <c r="C22" s="336" t="s">
        <v>289</v>
      </c>
      <c r="D22">
        <v>43</v>
      </c>
      <c r="E22" s="336" t="s">
        <v>290</v>
      </c>
      <c r="F22">
        <v>16.5</v>
      </c>
      <c r="G22" s="336" t="s">
        <v>291</v>
      </c>
      <c r="H22">
        <v>10</v>
      </c>
    </row>
    <row r="23" spans="1:8" x14ac:dyDescent="0.3">
      <c r="A23" s="336" t="s">
        <v>292</v>
      </c>
      <c r="B23">
        <v>22</v>
      </c>
      <c r="C23" s="336" t="s">
        <v>293</v>
      </c>
      <c r="D23">
        <v>5</v>
      </c>
      <c r="E23" s="336" t="s">
        <v>294</v>
      </c>
      <c r="F23">
        <v>25</v>
      </c>
      <c r="G23" s="336" t="s">
        <v>295</v>
      </c>
      <c r="H23">
        <v>0</v>
      </c>
    </row>
    <row r="24" spans="1:8" x14ac:dyDescent="0.3">
      <c r="A24" s="336" t="s">
        <v>296</v>
      </c>
      <c r="B24">
        <v>53</v>
      </c>
      <c r="C24" s="336" t="s">
        <v>297</v>
      </c>
      <c r="D24">
        <v>2.5</v>
      </c>
      <c r="E24" s="336" t="s">
        <v>298</v>
      </c>
      <c r="F24">
        <v>0</v>
      </c>
      <c r="G24" s="336" t="s">
        <v>299</v>
      </c>
      <c r="H24">
        <v>18.5</v>
      </c>
    </row>
    <row r="25" spans="1:8" x14ac:dyDescent="0.3">
      <c r="A25" s="336" t="s">
        <v>300</v>
      </c>
      <c r="B25">
        <v>0.5</v>
      </c>
      <c r="C25" s="336" t="s">
        <v>301</v>
      </c>
      <c r="D25">
        <v>0</v>
      </c>
      <c r="E25" s="336" t="s">
        <v>302</v>
      </c>
      <c r="F25">
        <v>0</v>
      </c>
      <c r="G25" s="336" t="s">
        <v>303</v>
      </c>
      <c r="H25">
        <v>0</v>
      </c>
    </row>
    <row r="26" spans="1:8" x14ac:dyDescent="0.3">
      <c r="A26" s="336" t="s">
        <v>304</v>
      </c>
      <c r="B26">
        <v>13</v>
      </c>
      <c r="C26" s="336" t="s">
        <v>305</v>
      </c>
      <c r="D26">
        <v>0</v>
      </c>
      <c r="E26" s="336" t="s">
        <v>306</v>
      </c>
      <c r="F26">
        <v>4</v>
      </c>
      <c r="G26" s="336" t="s">
        <v>307</v>
      </c>
      <c r="H26">
        <v>7</v>
      </c>
    </row>
    <row r="27" spans="1:8" x14ac:dyDescent="0.3">
      <c r="A27" s="336" t="s">
        <v>308</v>
      </c>
      <c r="B27">
        <v>1</v>
      </c>
      <c r="C27" s="336" t="s">
        <v>309</v>
      </c>
      <c r="D27">
        <v>1</v>
      </c>
      <c r="E27" s="336" t="s">
        <v>310</v>
      </c>
      <c r="F27">
        <v>5</v>
      </c>
      <c r="G27" s="336" t="s">
        <v>311</v>
      </c>
      <c r="H27">
        <v>4</v>
      </c>
    </row>
    <row r="28" spans="1:8" x14ac:dyDescent="0.3">
      <c r="A28" s="336" t="s">
        <v>312</v>
      </c>
      <c r="B28">
        <v>0</v>
      </c>
      <c r="C28" s="336" t="s">
        <v>313</v>
      </c>
      <c r="D28">
        <v>0</v>
      </c>
      <c r="E28" s="336" t="s">
        <v>314</v>
      </c>
      <c r="F28">
        <v>0</v>
      </c>
      <c r="G28" s="336" t="s">
        <v>315</v>
      </c>
      <c r="H28">
        <v>10</v>
      </c>
    </row>
    <row r="29" spans="1:8" x14ac:dyDescent="0.3">
      <c r="A29" s="336" t="s">
        <v>316</v>
      </c>
      <c r="B29">
        <v>0</v>
      </c>
      <c r="C29" s="336" t="s">
        <v>317</v>
      </c>
      <c r="D29">
        <v>0.5</v>
      </c>
      <c r="E29" s="336" t="s">
        <v>318</v>
      </c>
      <c r="F29">
        <v>2</v>
      </c>
      <c r="G29" s="336" t="s">
        <v>319</v>
      </c>
      <c r="H29">
        <v>0</v>
      </c>
    </row>
    <row r="30" spans="1:8" x14ac:dyDescent="0.3">
      <c r="A30" s="336" t="s">
        <v>320</v>
      </c>
      <c r="B30">
        <v>0</v>
      </c>
      <c r="C30" s="336" t="s">
        <v>321</v>
      </c>
      <c r="D30">
        <v>0</v>
      </c>
      <c r="E30" s="336" t="s">
        <v>322</v>
      </c>
      <c r="F30">
        <v>0</v>
      </c>
      <c r="G30" s="336" t="s">
        <v>323</v>
      </c>
      <c r="H30">
        <v>4</v>
      </c>
    </row>
    <row r="31" spans="1:8" x14ac:dyDescent="0.3">
      <c r="A31" s="336" t="s">
        <v>324</v>
      </c>
      <c r="B31">
        <v>2</v>
      </c>
      <c r="C31" s="336" t="s">
        <v>325</v>
      </c>
      <c r="D31">
        <v>2.5</v>
      </c>
      <c r="E31" s="336" t="s">
        <v>326</v>
      </c>
      <c r="F31">
        <v>1</v>
      </c>
      <c r="G31" s="336" t="s">
        <v>327</v>
      </c>
      <c r="H31">
        <v>1</v>
      </c>
    </row>
    <row r="32" spans="1:8" x14ac:dyDescent="0.3">
      <c r="A32" s="337" t="s">
        <v>328</v>
      </c>
      <c r="B32" s="338">
        <v>0.5</v>
      </c>
      <c r="C32" s="337" t="s">
        <v>329</v>
      </c>
      <c r="D32" s="338">
        <v>15.5</v>
      </c>
      <c r="E32" s="337" t="s">
        <v>330</v>
      </c>
      <c r="F32" s="338">
        <v>0</v>
      </c>
      <c r="G32" s="337" t="s">
        <v>331</v>
      </c>
      <c r="H32">
        <v>22.5</v>
      </c>
    </row>
    <row r="33" spans="1:8" x14ac:dyDescent="0.3">
      <c r="A33" s="336" t="s">
        <v>332</v>
      </c>
      <c r="B33">
        <v>22.5</v>
      </c>
      <c r="C33" s="336" t="s">
        <v>333</v>
      </c>
      <c r="D33">
        <v>1</v>
      </c>
      <c r="E33" s="336" t="s">
        <v>334</v>
      </c>
      <c r="F33">
        <v>3</v>
      </c>
      <c r="G33" s="336" t="s">
        <v>335</v>
      </c>
      <c r="H33">
        <v>6</v>
      </c>
    </row>
    <row r="34" spans="1:8" x14ac:dyDescent="0.3">
      <c r="A34" s="336" t="s">
        <v>336</v>
      </c>
      <c r="B34">
        <v>4.5</v>
      </c>
      <c r="C34" s="336" t="s">
        <v>337</v>
      </c>
      <c r="D34">
        <v>11.5</v>
      </c>
      <c r="E34" s="336" t="s">
        <v>338</v>
      </c>
      <c r="F34">
        <v>0</v>
      </c>
      <c r="G34" s="336" t="s">
        <v>339</v>
      </c>
      <c r="H34">
        <v>16.5</v>
      </c>
    </row>
    <row r="35" spans="1:8" x14ac:dyDescent="0.3">
      <c r="A35" s="336" t="s">
        <v>340</v>
      </c>
      <c r="B35">
        <v>52.5</v>
      </c>
      <c r="C35" s="336" t="s">
        <v>341</v>
      </c>
      <c r="D35">
        <v>14</v>
      </c>
      <c r="E35" s="336" t="s">
        <v>342</v>
      </c>
      <c r="F35">
        <v>0</v>
      </c>
      <c r="G35" s="336" t="s">
        <v>343</v>
      </c>
      <c r="H35">
        <v>6</v>
      </c>
    </row>
    <row r="36" spans="1:8" x14ac:dyDescent="0.3">
      <c r="A36" s="336" t="s">
        <v>344</v>
      </c>
      <c r="B36">
        <v>0.5</v>
      </c>
      <c r="C36" s="336" t="s">
        <v>345</v>
      </c>
      <c r="D36">
        <v>21</v>
      </c>
      <c r="E36" s="336" t="s">
        <v>346</v>
      </c>
      <c r="F36">
        <v>36</v>
      </c>
      <c r="G36" s="336" t="s">
        <v>347</v>
      </c>
      <c r="H36">
        <v>1</v>
      </c>
    </row>
    <row r="37" spans="1:8" x14ac:dyDescent="0.3">
      <c r="A37" s="336" t="s">
        <v>348</v>
      </c>
      <c r="B37">
        <v>2</v>
      </c>
      <c r="C37" s="336" t="s">
        <v>349</v>
      </c>
      <c r="D37">
        <v>59</v>
      </c>
      <c r="E37" s="336" t="s">
        <v>350</v>
      </c>
      <c r="F37">
        <v>0</v>
      </c>
      <c r="G37" s="336" t="s">
        <v>351</v>
      </c>
      <c r="H37">
        <v>6</v>
      </c>
    </row>
    <row r="38" spans="1:8" x14ac:dyDescent="0.3">
      <c r="A38" s="336" t="s">
        <v>352</v>
      </c>
      <c r="B38">
        <v>85.5</v>
      </c>
      <c r="C38" s="336" t="s">
        <v>353</v>
      </c>
      <c r="D38">
        <v>13</v>
      </c>
      <c r="E38" s="336" t="s">
        <v>354</v>
      </c>
      <c r="F38">
        <v>1</v>
      </c>
      <c r="G38" s="336" t="s">
        <v>355</v>
      </c>
      <c r="H38">
        <v>1</v>
      </c>
    </row>
    <row r="39" spans="1:8" x14ac:dyDescent="0.3">
      <c r="A39" s="336" t="s">
        <v>356</v>
      </c>
      <c r="B39">
        <v>9</v>
      </c>
      <c r="C39" s="336" t="s">
        <v>357</v>
      </c>
      <c r="D39">
        <v>32.5</v>
      </c>
      <c r="E39" s="336" t="s">
        <v>358</v>
      </c>
      <c r="F39">
        <v>0</v>
      </c>
      <c r="G39" s="336" t="s">
        <v>359</v>
      </c>
      <c r="H39">
        <v>0</v>
      </c>
    </row>
    <row r="40" spans="1:8" x14ac:dyDescent="0.3">
      <c r="A40" s="336" t="s">
        <v>360</v>
      </c>
      <c r="B40">
        <v>15.5</v>
      </c>
      <c r="C40" s="336" t="s">
        <v>361</v>
      </c>
      <c r="D40">
        <v>68</v>
      </c>
      <c r="E40" s="336" t="s">
        <v>362</v>
      </c>
      <c r="F40">
        <v>0</v>
      </c>
      <c r="G40" s="336" t="s">
        <v>363</v>
      </c>
      <c r="H40">
        <v>0</v>
      </c>
    </row>
    <row r="41" spans="1:8" x14ac:dyDescent="0.3">
      <c r="A41" s="336" t="s">
        <v>364</v>
      </c>
      <c r="B41">
        <v>33</v>
      </c>
      <c r="C41" s="336" t="s">
        <v>365</v>
      </c>
      <c r="D41">
        <v>43.5</v>
      </c>
      <c r="E41" s="336" t="s">
        <v>366</v>
      </c>
      <c r="F41">
        <v>10.5</v>
      </c>
      <c r="G41" s="336" t="s">
        <v>367</v>
      </c>
      <c r="H41">
        <v>0.5</v>
      </c>
    </row>
    <row r="42" spans="1:8" x14ac:dyDescent="0.3">
      <c r="A42" s="336" t="s">
        <v>368</v>
      </c>
      <c r="B42">
        <v>50</v>
      </c>
      <c r="C42" s="336" t="s">
        <v>369</v>
      </c>
      <c r="D42">
        <v>11</v>
      </c>
      <c r="E42" s="336" t="s">
        <v>370</v>
      </c>
      <c r="F42">
        <v>50</v>
      </c>
      <c r="G42" s="336" t="s">
        <v>371</v>
      </c>
      <c r="H42">
        <v>0</v>
      </c>
    </row>
    <row r="43" spans="1:8" x14ac:dyDescent="0.3">
      <c r="A43" s="336" t="s">
        <v>372</v>
      </c>
      <c r="B43">
        <v>6</v>
      </c>
      <c r="C43" s="336" t="s">
        <v>373</v>
      </c>
      <c r="D43">
        <v>1</v>
      </c>
      <c r="E43" s="336" t="s">
        <v>374</v>
      </c>
      <c r="F43">
        <v>0</v>
      </c>
      <c r="G43" s="336" t="s">
        <v>375</v>
      </c>
      <c r="H43">
        <v>0</v>
      </c>
    </row>
    <row r="44" spans="1:8" x14ac:dyDescent="0.3">
      <c r="A44" s="336" t="s">
        <v>376</v>
      </c>
      <c r="B44">
        <v>4.5</v>
      </c>
      <c r="C44" s="336" t="s">
        <v>377</v>
      </c>
      <c r="D44">
        <v>0</v>
      </c>
      <c r="E44" s="336" t="s">
        <v>378</v>
      </c>
      <c r="F44">
        <v>7</v>
      </c>
      <c r="G44" s="336" t="s">
        <v>379</v>
      </c>
      <c r="H44">
        <v>0.5</v>
      </c>
    </row>
    <row r="45" spans="1:8" x14ac:dyDescent="0.3">
      <c r="A45" s="336" t="s">
        <v>380</v>
      </c>
      <c r="B45">
        <v>10.5</v>
      </c>
      <c r="C45" s="336" t="s">
        <v>381</v>
      </c>
      <c r="D45">
        <v>32</v>
      </c>
      <c r="E45" s="336" t="s">
        <v>382</v>
      </c>
      <c r="F45">
        <v>4</v>
      </c>
      <c r="G45" s="336" t="s">
        <v>383</v>
      </c>
      <c r="H45">
        <v>0.5</v>
      </c>
    </row>
    <row r="46" spans="1:8" x14ac:dyDescent="0.3">
      <c r="A46" s="336" t="s">
        <v>384</v>
      </c>
      <c r="B46">
        <v>43</v>
      </c>
      <c r="C46" s="336" t="s">
        <v>385</v>
      </c>
      <c r="D46">
        <v>102.5</v>
      </c>
      <c r="E46" s="336" t="s">
        <v>386</v>
      </c>
      <c r="F46">
        <v>0</v>
      </c>
      <c r="G46" s="336" t="s">
        <v>387</v>
      </c>
      <c r="H46">
        <v>2</v>
      </c>
    </row>
    <row r="47" spans="1:8" x14ac:dyDescent="0.3">
      <c r="A47" s="336" t="s">
        <v>388</v>
      </c>
      <c r="B47">
        <v>5</v>
      </c>
      <c r="C47" s="336" t="s">
        <v>389</v>
      </c>
      <c r="D47">
        <v>26.5</v>
      </c>
      <c r="E47" s="336" t="s">
        <v>390</v>
      </c>
      <c r="F47">
        <v>0</v>
      </c>
      <c r="G47" s="336" t="s">
        <v>391</v>
      </c>
      <c r="H47">
        <v>0</v>
      </c>
    </row>
    <row r="48" spans="1:8" x14ac:dyDescent="0.3">
      <c r="A48" s="336" t="s">
        <v>392</v>
      </c>
      <c r="B48">
        <v>2.5</v>
      </c>
      <c r="C48" s="336" t="s">
        <v>393</v>
      </c>
      <c r="D48">
        <v>0.5</v>
      </c>
      <c r="E48" s="336" t="s">
        <v>394</v>
      </c>
      <c r="F48">
        <v>0</v>
      </c>
      <c r="G48" s="336" t="s">
        <v>395</v>
      </c>
      <c r="H48">
        <v>60</v>
      </c>
    </row>
    <row r="49" spans="1:8" x14ac:dyDescent="0.3">
      <c r="A49" s="336" t="s">
        <v>396</v>
      </c>
      <c r="B49">
        <v>0</v>
      </c>
      <c r="C49" s="336" t="s">
        <v>397</v>
      </c>
      <c r="D49">
        <v>1</v>
      </c>
      <c r="E49" s="336" t="s">
        <v>398</v>
      </c>
      <c r="F49">
        <v>9</v>
      </c>
      <c r="G49" s="336" t="s">
        <v>399</v>
      </c>
      <c r="H49">
        <v>2.5</v>
      </c>
    </row>
    <row r="50" spans="1:8" x14ac:dyDescent="0.3">
      <c r="A50" s="336" t="s">
        <v>400</v>
      </c>
      <c r="B50">
        <v>0</v>
      </c>
      <c r="C50" s="336" t="s">
        <v>401</v>
      </c>
      <c r="D50">
        <v>8.5</v>
      </c>
      <c r="E50" s="336" t="s">
        <v>402</v>
      </c>
      <c r="F50">
        <v>0</v>
      </c>
      <c r="G50" s="336" t="s">
        <v>403</v>
      </c>
      <c r="H50">
        <v>3</v>
      </c>
    </row>
    <row r="51" spans="1:8" x14ac:dyDescent="0.3">
      <c r="A51" s="336" t="s">
        <v>404</v>
      </c>
      <c r="B51">
        <v>1</v>
      </c>
      <c r="C51" s="336" t="s">
        <v>405</v>
      </c>
      <c r="D51">
        <v>0</v>
      </c>
      <c r="E51" s="336" t="s">
        <v>406</v>
      </c>
      <c r="F51">
        <v>0</v>
      </c>
      <c r="G51" s="336" t="s">
        <v>407</v>
      </c>
      <c r="H51">
        <v>2.5</v>
      </c>
    </row>
    <row r="52" spans="1:8" x14ac:dyDescent="0.3">
      <c r="A52" s="336" t="s">
        <v>408</v>
      </c>
      <c r="B52">
        <v>0</v>
      </c>
      <c r="C52" s="336" t="s">
        <v>409</v>
      </c>
      <c r="D52">
        <v>0</v>
      </c>
      <c r="E52" s="336" t="s">
        <v>410</v>
      </c>
      <c r="F52">
        <v>6</v>
      </c>
      <c r="G52" s="336" t="s">
        <v>411</v>
      </c>
      <c r="H52">
        <v>14</v>
      </c>
    </row>
    <row r="53" spans="1:8" x14ac:dyDescent="0.3">
      <c r="A53" s="336" t="s">
        <v>412</v>
      </c>
      <c r="B53">
        <v>0.5</v>
      </c>
      <c r="C53" s="336" t="s">
        <v>413</v>
      </c>
      <c r="D53">
        <v>0</v>
      </c>
      <c r="E53" s="336" t="s">
        <v>414</v>
      </c>
      <c r="F53">
        <v>2.5</v>
      </c>
      <c r="G53" s="336" t="s">
        <v>415</v>
      </c>
      <c r="H53">
        <v>1.5</v>
      </c>
    </row>
    <row r="54" spans="1:8" x14ac:dyDescent="0.3">
      <c r="A54" s="336" t="s">
        <v>416</v>
      </c>
      <c r="B54">
        <v>0</v>
      </c>
      <c r="C54" s="336" t="s">
        <v>417</v>
      </c>
      <c r="D54">
        <v>1</v>
      </c>
      <c r="E54" s="336" t="s">
        <v>418</v>
      </c>
      <c r="F54">
        <v>160</v>
      </c>
      <c r="G54" s="336" t="s">
        <v>419</v>
      </c>
      <c r="H54">
        <v>18.5</v>
      </c>
    </row>
    <row r="55" spans="1:8" x14ac:dyDescent="0.3">
      <c r="A55" s="336" t="s">
        <v>420</v>
      </c>
      <c r="B55">
        <v>2.5</v>
      </c>
      <c r="C55" s="336" t="s">
        <v>421</v>
      </c>
      <c r="D55">
        <v>0</v>
      </c>
      <c r="E55" s="336" t="s">
        <v>422</v>
      </c>
      <c r="F55">
        <v>0.5</v>
      </c>
      <c r="G55" s="336" t="s">
        <v>423</v>
      </c>
      <c r="H55">
        <v>6.5</v>
      </c>
    </row>
    <row r="56" spans="1:8" x14ac:dyDescent="0.3">
      <c r="A56" s="336" t="s">
        <v>424</v>
      </c>
      <c r="B56">
        <v>15.5</v>
      </c>
      <c r="C56" s="336" t="s">
        <v>425</v>
      </c>
      <c r="D56">
        <v>2</v>
      </c>
      <c r="E56" s="336" t="s">
        <v>426</v>
      </c>
      <c r="F56">
        <v>0</v>
      </c>
      <c r="G56" s="336" t="s">
        <v>427</v>
      </c>
      <c r="H56">
        <v>6</v>
      </c>
    </row>
    <row r="57" spans="1:8" x14ac:dyDescent="0.3">
      <c r="A57" s="336" t="s">
        <v>428</v>
      </c>
      <c r="B57">
        <v>1</v>
      </c>
      <c r="C57" s="336" t="s">
        <v>429</v>
      </c>
      <c r="D57">
        <v>97</v>
      </c>
      <c r="E57" s="336" t="s">
        <v>430</v>
      </c>
      <c r="F57">
        <v>0</v>
      </c>
      <c r="G57" s="336" t="s">
        <v>431</v>
      </c>
      <c r="H57">
        <v>27</v>
      </c>
    </row>
    <row r="58" spans="1:8" x14ac:dyDescent="0.3">
      <c r="A58" s="336" t="s">
        <v>432</v>
      </c>
      <c r="B58">
        <v>11.5</v>
      </c>
      <c r="C58" s="336" t="s">
        <v>433</v>
      </c>
      <c r="D58">
        <v>8.5</v>
      </c>
      <c r="E58" s="336" t="s">
        <v>434</v>
      </c>
      <c r="F58">
        <v>4</v>
      </c>
      <c r="G58" s="336" t="s">
        <v>435</v>
      </c>
      <c r="H58">
        <v>43.5</v>
      </c>
    </row>
    <row r="59" spans="1:8" x14ac:dyDescent="0.3">
      <c r="A59" s="336" t="s">
        <v>436</v>
      </c>
      <c r="B59">
        <v>14</v>
      </c>
      <c r="C59" s="336" t="s">
        <v>437</v>
      </c>
      <c r="D59">
        <v>1</v>
      </c>
      <c r="E59" s="336" t="s">
        <v>438</v>
      </c>
      <c r="F59">
        <v>2.5</v>
      </c>
      <c r="G59" s="336" t="s">
        <v>439</v>
      </c>
      <c r="H59">
        <v>12</v>
      </c>
    </row>
    <row r="60" spans="1:8" x14ac:dyDescent="0.3">
      <c r="A60" s="337" t="s">
        <v>440</v>
      </c>
      <c r="B60" s="338">
        <v>21</v>
      </c>
      <c r="C60" s="337" t="s">
        <v>441</v>
      </c>
      <c r="D60" s="338">
        <v>0</v>
      </c>
      <c r="E60" s="337" t="s">
        <v>442</v>
      </c>
      <c r="F60" s="338">
        <v>11</v>
      </c>
      <c r="G60" s="337" t="s">
        <v>443</v>
      </c>
      <c r="H60">
        <v>60.5</v>
      </c>
    </row>
    <row r="61" spans="1:8" x14ac:dyDescent="0.3">
      <c r="A61" s="336" t="s">
        <v>444</v>
      </c>
      <c r="B61">
        <v>59</v>
      </c>
      <c r="C61" s="336" t="s">
        <v>445</v>
      </c>
      <c r="D61">
        <v>4.5</v>
      </c>
      <c r="E61" s="336" t="s">
        <v>446</v>
      </c>
      <c r="F61">
        <v>4.5</v>
      </c>
      <c r="G61" s="336" t="s">
        <v>447</v>
      </c>
      <c r="H61">
        <v>1</v>
      </c>
    </row>
    <row r="62" spans="1:8" x14ac:dyDescent="0.3">
      <c r="A62" s="336" t="s">
        <v>448</v>
      </c>
      <c r="B62">
        <v>13</v>
      </c>
      <c r="C62" s="336" t="s">
        <v>449</v>
      </c>
      <c r="D62">
        <v>0.5</v>
      </c>
      <c r="E62" s="336" t="s">
        <v>450</v>
      </c>
      <c r="F62">
        <v>44</v>
      </c>
      <c r="G62" s="336" t="s">
        <v>451</v>
      </c>
      <c r="H62">
        <v>10.5</v>
      </c>
    </row>
    <row r="63" spans="1:8" x14ac:dyDescent="0.3">
      <c r="A63" s="336" t="s">
        <v>452</v>
      </c>
      <c r="B63">
        <v>32.5</v>
      </c>
      <c r="C63" s="336" t="s">
        <v>453</v>
      </c>
      <c r="D63">
        <v>4.5</v>
      </c>
      <c r="E63" s="336" t="s">
        <v>454</v>
      </c>
      <c r="F63">
        <v>1</v>
      </c>
      <c r="G63" s="336" t="s">
        <v>455</v>
      </c>
      <c r="H63">
        <v>0</v>
      </c>
    </row>
    <row r="64" spans="1:8" x14ac:dyDescent="0.3">
      <c r="A64" s="336" t="s">
        <v>456</v>
      </c>
      <c r="B64">
        <v>68</v>
      </c>
      <c r="C64" s="336" t="s">
        <v>457</v>
      </c>
      <c r="D64">
        <v>2.5</v>
      </c>
      <c r="E64" s="336" t="s">
        <v>458</v>
      </c>
      <c r="F64">
        <v>9.5</v>
      </c>
      <c r="G64" s="336" t="s">
        <v>459</v>
      </c>
      <c r="H64">
        <v>12.5</v>
      </c>
    </row>
    <row r="65" spans="1:8" x14ac:dyDescent="0.3">
      <c r="A65" s="336" t="s">
        <v>460</v>
      </c>
      <c r="B65">
        <v>43.5</v>
      </c>
      <c r="C65" s="336" t="s">
        <v>461</v>
      </c>
      <c r="D65">
        <v>2</v>
      </c>
      <c r="E65" s="336" t="s">
        <v>462</v>
      </c>
      <c r="F65">
        <v>0</v>
      </c>
      <c r="G65" s="336" t="s">
        <v>463</v>
      </c>
      <c r="H65">
        <v>14</v>
      </c>
    </row>
    <row r="66" spans="1:8" x14ac:dyDescent="0.3">
      <c r="A66" s="336" t="s">
        <v>464</v>
      </c>
      <c r="B66">
        <v>11</v>
      </c>
      <c r="C66" s="336" t="s">
        <v>465</v>
      </c>
      <c r="D66">
        <v>0</v>
      </c>
      <c r="E66" s="336" t="s">
        <v>466</v>
      </c>
      <c r="F66">
        <v>0</v>
      </c>
      <c r="G66" s="336" t="s">
        <v>467</v>
      </c>
      <c r="H66">
        <v>2.5</v>
      </c>
    </row>
    <row r="67" spans="1:8" x14ac:dyDescent="0.3">
      <c r="A67" s="336" t="s">
        <v>468</v>
      </c>
      <c r="B67">
        <v>1</v>
      </c>
      <c r="C67" s="336" t="s">
        <v>469</v>
      </c>
      <c r="D67">
        <v>0.5</v>
      </c>
      <c r="E67" s="336" t="s">
        <v>470</v>
      </c>
      <c r="F67">
        <v>3.5</v>
      </c>
      <c r="G67" s="336" t="s">
        <v>471</v>
      </c>
      <c r="H67">
        <v>3</v>
      </c>
    </row>
    <row r="68" spans="1:8" x14ac:dyDescent="0.3">
      <c r="A68" s="336" t="s">
        <v>472</v>
      </c>
      <c r="B68">
        <v>0</v>
      </c>
      <c r="C68" s="336" t="s">
        <v>473</v>
      </c>
      <c r="D68">
        <v>0</v>
      </c>
      <c r="E68" s="336" t="s">
        <v>474</v>
      </c>
      <c r="F68">
        <v>0</v>
      </c>
      <c r="G68" s="336" t="s">
        <v>475</v>
      </c>
      <c r="H68">
        <v>39</v>
      </c>
    </row>
    <row r="69" spans="1:8" x14ac:dyDescent="0.3">
      <c r="A69" s="336" t="s">
        <v>476</v>
      </c>
      <c r="B69">
        <v>32</v>
      </c>
      <c r="C69" s="336" t="s">
        <v>477</v>
      </c>
      <c r="D69">
        <v>0</v>
      </c>
      <c r="E69" s="336" t="s">
        <v>478</v>
      </c>
      <c r="F69">
        <v>0</v>
      </c>
      <c r="G69" s="336" t="s">
        <v>479</v>
      </c>
      <c r="H69">
        <v>6</v>
      </c>
    </row>
    <row r="70" spans="1:8" x14ac:dyDescent="0.3">
      <c r="A70" s="336" t="s">
        <v>480</v>
      </c>
      <c r="B70">
        <v>102.5</v>
      </c>
      <c r="C70" s="336" t="s">
        <v>481</v>
      </c>
      <c r="D70">
        <v>4</v>
      </c>
      <c r="E70" s="336" t="s">
        <v>482</v>
      </c>
      <c r="F70">
        <v>0</v>
      </c>
      <c r="G70" s="336" t="s">
        <v>483</v>
      </c>
      <c r="H70">
        <v>0</v>
      </c>
    </row>
    <row r="71" spans="1:8" x14ac:dyDescent="0.3">
      <c r="A71" s="336" t="s">
        <v>484</v>
      </c>
      <c r="B71">
        <v>26.5</v>
      </c>
      <c r="C71" s="336" t="s">
        <v>485</v>
      </c>
      <c r="D71">
        <v>42.5</v>
      </c>
      <c r="E71" s="336" t="s">
        <v>486</v>
      </c>
      <c r="F71">
        <v>0</v>
      </c>
      <c r="G71" s="336" t="s">
        <v>487</v>
      </c>
      <c r="H71">
        <v>1.5</v>
      </c>
    </row>
    <row r="72" spans="1:8" x14ac:dyDescent="0.3">
      <c r="A72" s="336" t="s">
        <v>488</v>
      </c>
      <c r="B72">
        <v>0.5</v>
      </c>
      <c r="C72" s="336" t="s">
        <v>489</v>
      </c>
      <c r="D72">
        <v>0</v>
      </c>
      <c r="E72" s="336" t="s">
        <v>490</v>
      </c>
      <c r="F72">
        <v>0</v>
      </c>
      <c r="G72" s="336" t="s">
        <v>491</v>
      </c>
      <c r="H72">
        <v>32</v>
      </c>
    </row>
    <row r="73" spans="1:8" x14ac:dyDescent="0.3">
      <c r="A73" s="336" t="s">
        <v>492</v>
      </c>
      <c r="B73">
        <v>1</v>
      </c>
      <c r="C73" s="336" t="s">
        <v>493</v>
      </c>
      <c r="D73">
        <v>0</v>
      </c>
      <c r="E73" s="336" t="s">
        <v>494</v>
      </c>
      <c r="F73">
        <v>0</v>
      </c>
      <c r="G73" s="336" t="s">
        <v>495</v>
      </c>
      <c r="H73">
        <v>47</v>
      </c>
    </row>
    <row r="74" spans="1:8" x14ac:dyDescent="0.3">
      <c r="A74" s="336" t="s">
        <v>496</v>
      </c>
      <c r="B74">
        <v>8.5</v>
      </c>
      <c r="C74" s="336" t="s">
        <v>497</v>
      </c>
      <c r="D74">
        <v>0</v>
      </c>
      <c r="E74" s="336" t="s">
        <v>498</v>
      </c>
      <c r="F74">
        <v>45</v>
      </c>
      <c r="G74" s="336" t="s">
        <v>499</v>
      </c>
      <c r="H74">
        <v>0</v>
      </c>
    </row>
    <row r="75" spans="1:8" x14ac:dyDescent="0.3">
      <c r="A75" s="336" t="s">
        <v>500</v>
      </c>
      <c r="B75">
        <v>0</v>
      </c>
      <c r="C75" s="336" t="s">
        <v>501</v>
      </c>
      <c r="D75">
        <v>8</v>
      </c>
      <c r="E75" s="336" t="s">
        <v>502</v>
      </c>
      <c r="F75">
        <v>0</v>
      </c>
      <c r="G75" s="336" t="s">
        <v>503</v>
      </c>
      <c r="H75">
        <v>0</v>
      </c>
    </row>
    <row r="76" spans="1:8" x14ac:dyDescent="0.3">
      <c r="A76" s="336" t="s">
        <v>504</v>
      </c>
      <c r="B76">
        <v>0</v>
      </c>
      <c r="C76" s="336" t="s">
        <v>505</v>
      </c>
      <c r="D76">
        <v>44</v>
      </c>
      <c r="E76" s="336" t="s">
        <v>506</v>
      </c>
      <c r="F76">
        <v>0</v>
      </c>
      <c r="G76" s="336" t="s">
        <v>507</v>
      </c>
      <c r="H76">
        <v>0</v>
      </c>
    </row>
    <row r="77" spans="1:8" x14ac:dyDescent="0.3">
      <c r="A77" s="336" t="s">
        <v>508</v>
      </c>
      <c r="B77">
        <v>0</v>
      </c>
      <c r="C77" s="336" t="s">
        <v>509</v>
      </c>
      <c r="D77">
        <v>8</v>
      </c>
      <c r="E77" s="336" t="s">
        <v>510</v>
      </c>
      <c r="F77">
        <v>0</v>
      </c>
      <c r="G77" s="336" t="s">
        <v>511</v>
      </c>
      <c r="H77">
        <v>0.5</v>
      </c>
    </row>
    <row r="78" spans="1:8" x14ac:dyDescent="0.3">
      <c r="A78" s="336" t="s">
        <v>512</v>
      </c>
      <c r="B78">
        <v>1</v>
      </c>
      <c r="C78" s="336" t="s">
        <v>513</v>
      </c>
      <c r="D78">
        <v>26</v>
      </c>
      <c r="E78" s="336" t="s">
        <v>514</v>
      </c>
      <c r="F78">
        <v>8</v>
      </c>
      <c r="G78" s="336" t="s">
        <v>515</v>
      </c>
      <c r="H78">
        <v>0</v>
      </c>
    </row>
    <row r="79" spans="1:8" x14ac:dyDescent="0.3">
      <c r="A79" s="336" t="s">
        <v>516</v>
      </c>
      <c r="B79">
        <v>0</v>
      </c>
      <c r="C79" s="336" t="s">
        <v>517</v>
      </c>
      <c r="D79">
        <v>6</v>
      </c>
      <c r="E79" s="336" t="s">
        <v>518</v>
      </c>
      <c r="F79">
        <v>0</v>
      </c>
      <c r="G79" s="336" t="s">
        <v>519</v>
      </c>
      <c r="H79">
        <v>41</v>
      </c>
    </row>
    <row r="80" spans="1:8" x14ac:dyDescent="0.3">
      <c r="A80" s="336" t="s">
        <v>520</v>
      </c>
      <c r="B80">
        <v>2</v>
      </c>
      <c r="C80" s="336" t="s">
        <v>521</v>
      </c>
      <c r="D80">
        <v>14.5</v>
      </c>
      <c r="E80" s="336" t="s">
        <v>522</v>
      </c>
      <c r="F80">
        <v>0</v>
      </c>
      <c r="G80" s="336" t="s">
        <v>523</v>
      </c>
      <c r="H80">
        <v>55.5</v>
      </c>
    </row>
    <row r="81" spans="1:8" x14ac:dyDescent="0.3">
      <c r="A81" s="336" t="s">
        <v>524</v>
      </c>
      <c r="B81">
        <v>97</v>
      </c>
      <c r="C81" s="336" t="s">
        <v>525</v>
      </c>
      <c r="D81">
        <v>0</v>
      </c>
      <c r="E81" s="336" t="s">
        <v>526</v>
      </c>
      <c r="F81">
        <v>0</v>
      </c>
      <c r="G81" s="336" t="s">
        <v>527</v>
      </c>
      <c r="H81">
        <v>8.5</v>
      </c>
    </row>
    <row r="82" spans="1:8" x14ac:dyDescent="0.3">
      <c r="A82" s="336" t="s">
        <v>528</v>
      </c>
      <c r="B82">
        <v>8.5</v>
      </c>
      <c r="C82" s="336" t="s">
        <v>529</v>
      </c>
      <c r="D82">
        <v>0.5</v>
      </c>
      <c r="E82" s="336" t="s">
        <v>530</v>
      </c>
      <c r="F82">
        <v>0</v>
      </c>
      <c r="G82" s="336" t="s">
        <v>531</v>
      </c>
      <c r="H82">
        <v>4.5</v>
      </c>
    </row>
    <row r="83" spans="1:8" x14ac:dyDescent="0.3">
      <c r="A83" s="336" t="s">
        <v>532</v>
      </c>
      <c r="B83">
        <v>1</v>
      </c>
      <c r="C83" s="336" t="s">
        <v>533</v>
      </c>
      <c r="D83">
        <v>0</v>
      </c>
      <c r="E83" s="336" t="s">
        <v>534</v>
      </c>
      <c r="F83">
        <v>0</v>
      </c>
      <c r="G83" s="336" t="s">
        <v>535</v>
      </c>
      <c r="H83">
        <v>7.5</v>
      </c>
    </row>
    <row r="84" spans="1:8" x14ac:dyDescent="0.3">
      <c r="A84" s="336" t="s">
        <v>536</v>
      </c>
      <c r="B84">
        <v>0</v>
      </c>
      <c r="C84" s="336" t="s">
        <v>537</v>
      </c>
      <c r="D84">
        <v>0</v>
      </c>
      <c r="E84" s="336" t="s">
        <v>538</v>
      </c>
      <c r="F84">
        <v>0</v>
      </c>
      <c r="G84" s="336" t="s">
        <v>539</v>
      </c>
      <c r="H84">
        <v>11.5</v>
      </c>
    </row>
    <row r="85" spans="1:8" x14ac:dyDescent="0.3">
      <c r="A85" s="336" t="s">
        <v>540</v>
      </c>
      <c r="B85">
        <v>4.5</v>
      </c>
      <c r="C85" s="336" t="s">
        <v>541</v>
      </c>
      <c r="D85">
        <v>0</v>
      </c>
      <c r="E85" s="336" t="s">
        <v>542</v>
      </c>
      <c r="F85">
        <v>0</v>
      </c>
      <c r="G85" s="336" t="s">
        <v>543</v>
      </c>
      <c r="H85">
        <v>43</v>
      </c>
    </row>
    <row r="86" spans="1:8" x14ac:dyDescent="0.3">
      <c r="A86" s="336" t="s">
        <v>544</v>
      </c>
      <c r="B86">
        <v>0.5</v>
      </c>
      <c r="C86" s="336" t="s">
        <v>545</v>
      </c>
      <c r="D86">
        <v>0</v>
      </c>
      <c r="E86" s="336" t="s">
        <v>546</v>
      </c>
      <c r="F86">
        <v>0</v>
      </c>
      <c r="G86" s="336" t="s">
        <v>547</v>
      </c>
      <c r="H86">
        <v>3.5</v>
      </c>
    </row>
    <row r="87" spans="1:8" x14ac:dyDescent="0.3">
      <c r="A87" s="336" t="s">
        <v>548</v>
      </c>
      <c r="B87">
        <v>4.5</v>
      </c>
      <c r="C87" s="336" t="s">
        <v>549</v>
      </c>
      <c r="D87">
        <v>59</v>
      </c>
      <c r="E87" s="336" t="s">
        <v>550</v>
      </c>
      <c r="F87">
        <v>0</v>
      </c>
      <c r="G87" s="336" t="s">
        <v>551</v>
      </c>
      <c r="H87">
        <v>13</v>
      </c>
    </row>
    <row r="88" spans="1:8" x14ac:dyDescent="0.3">
      <c r="A88" s="336" t="s">
        <v>552</v>
      </c>
      <c r="B88">
        <v>2.5</v>
      </c>
      <c r="C88" s="336" t="s">
        <v>553</v>
      </c>
      <c r="D88">
        <v>7.5</v>
      </c>
      <c r="E88" s="336" t="s">
        <v>554</v>
      </c>
      <c r="F88">
        <v>10</v>
      </c>
      <c r="G88" s="336" t="s">
        <v>555</v>
      </c>
      <c r="H88">
        <v>6</v>
      </c>
    </row>
    <row r="89" spans="1:8" x14ac:dyDescent="0.3">
      <c r="A89" s="336" t="s">
        <v>556</v>
      </c>
      <c r="B89">
        <v>2</v>
      </c>
      <c r="C89" s="336" t="s">
        <v>557</v>
      </c>
      <c r="D89">
        <v>2</v>
      </c>
      <c r="E89" s="336" t="s">
        <v>558</v>
      </c>
      <c r="F89">
        <v>0</v>
      </c>
      <c r="G89" s="336" t="s">
        <v>559</v>
      </c>
      <c r="H89">
        <v>33.5</v>
      </c>
    </row>
    <row r="90" spans="1:8" x14ac:dyDescent="0.3">
      <c r="A90" s="336" t="s">
        <v>560</v>
      </c>
      <c r="B90">
        <v>0</v>
      </c>
      <c r="C90" s="336" t="s">
        <v>561</v>
      </c>
      <c r="D90">
        <v>20</v>
      </c>
      <c r="E90" s="336" t="s">
        <v>562</v>
      </c>
      <c r="F90">
        <v>0</v>
      </c>
      <c r="G90" s="336" t="s">
        <v>563</v>
      </c>
      <c r="H90">
        <v>14.5</v>
      </c>
    </row>
    <row r="91" spans="1:8" x14ac:dyDescent="0.3">
      <c r="A91" s="337" t="s">
        <v>564</v>
      </c>
      <c r="B91" s="338">
        <v>0.5</v>
      </c>
      <c r="C91" s="337" t="s">
        <v>565</v>
      </c>
      <c r="D91" s="338">
        <v>62</v>
      </c>
      <c r="E91" s="337" t="s">
        <v>566</v>
      </c>
      <c r="F91" s="338">
        <v>9.5</v>
      </c>
      <c r="G91" s="337" t="s">
        <v>567</v>
      </c>
      <c r="H91">
        <v>4.5</v>
      </c>
    </row>
    <row r="92" spans="1:8" x14ac:dyDescent="0.3">
      <c r="A92" s="336" t="s">
        <v>568</v>
      </c>
      <c r="B92">
        <v>0</v>
      </c>
      <c r="C92" s="336" t="s">
        <v>569</v>
      </c>
      <c r="D92">
        <v>0.5</v>
      </c>
      <c r="E92" s="366" t="s">
        <v>570</v>
      </c>
      <c r="F92">
        <v>0</v>
      </c>
      <c r="G92" s="336" t="s">
        <v>571</v>
      </c>
      <c r="H92">
        <v>2</v>
      </c>
    </row>
    <row r="93" spans="1:8" x14ac:dyDescent="0.3">
      <c r="A93" s="336" t="s">
        <v>572</v>
      </c>
      <c r="B93">
        <v>0</v>
      </c>
      <c r="C93" s="336" t="s">
        <v>573</v>
      </c>
      <c r="D93">
        <v>0.5</v>
      </c>
      <c r="E93" s="336" t="s">
        <v>574</v>
      </c>
      <c r="F93">
        <v>5.5</v>
      </c>
      <c r="G93" s="336" t="s">
        <v>575</v>
      </c>
      <c r="H93">
        <v>0</v>
      </c>
    </row>
    <row r="94" spans="1:8" x14ac:dyDescent="0.3">
      <c r="A94" s="336" t="s">
        <v>576</v>
      </c>
      <c r="B94">
        <v>4</v>
      </c>
      <c r="C94" s="336" t="s">
        <v>577</v>
      </c>
      <c r="D94">
        <v>7.5</v>
      </c>
      <c r="E94" s="336" t="s">
        <v>578</v>
      </c>
      <c r="F94">
        <v>20.5</v>
      </c>
      <c r="G94" s="336" t="s">
        <v>579</v>
      </c>
      <c r="H94">
        <v>0</v>
      </c>
    </row>
    <row r="95" spans="1:8" x14ac:dyDescent="0.3">
      <c r="A95" s="336" t="s">
        <v>580</v>
      </c>
      <c r="B95">
        <v>42.5</v>
      </c>
      <c r="C95" s="336" t="s">
        <v>581</v>
      </c>
      <c r="D95">
        <v>17</v>
      </c>
      <c r="E95" s="336" t="s">
        <v>582</v>
      </c>
      <c r="F95">
        <v>16.5</v>
      </c>
      <c r="G95" s="336" t="s">
        <v>583</v>
      </c>
      <c r="H95">
        <v>21.5</v>
      </c>
    </row>
    <row r="96" spans="1:8" x14ac:dyDescent="0.3">
      <c r="A96" s="336" t="s">
        <v>584</v>
      </c>
      <c r="B96">
        <v>0</v>
      </c>
      <c r="C96" s="336" t="s">
        <v>585</v>
      </c>
      <c r="D96">
        <v>0</v>
      </c>
      <c r="E96" s="336" t="s">
        <v>586</v>
      </c>
      <c r="F96">
        <v>0.5</v>
      </c>
      <c r="G96" s="336" t="s">
        <v>587</v>
      </c>
      <c r="H96">
        <v>14.5</v>
      </c>
    </row>
    <row r="97" spans="1:8" x14ac:dyDescent="0.3">
      <c r="A97" s="336" t="s">
        <v>588</v>
      </c>
      <c r="B97">
        <v>0</v>
      </c>
      <c r="C97" s="336" t="s">
        <v>589</v>
      </c>
      <c r="D97">
        <v>0</v>
      </c>
      <c r="E97" s="336" t="s">
        <v>590</v>
      </c>
      <c r="F97">
        <v>0</v>
      </c>
      <c r="G97" s="336" t="s">
        <v>591</v>
      </c>
      <c r="H97">
        <v>48.5</v>
      </c>
    </row>
    <row r="98" spans="1:8" x14ac:dyDescent="0.3">
      <c r="A98" s="336" t="s">
        <v>592</v>
      </c>
      <c r="B98">
        <v>0</v>
      </c>
      <c r="C98" s="336" t="s">
        <v>593</v>
      </c>
      <c r="D98">
        <v>0</v>
      </c>
      <c r="E98" s="336" t="s">
        <v>594</v>
      </c>
      <c r="F98">
        <v>0</v>
      </c>
      <c r="G98" s="336" t="s">
        <v>595</v>
      </c>
      <c r="H98">
        <v>1</v>
      </c>
    </row>
    <row r="99" spans="1:8" x14ac:dyDescent="0.3">
      <c r="A99" s="336" t="s">
        <v>596</v>
      </c>
      <c r="B99">
        <v>8</v>
      </c>
      <c r="C99" s="336" t="s">
        <v>597</v>
      </c>
      <c r="D99">
        <v>13.5</v>
      </c>
      <c r="E99" s="336" t="s">
        <v>598</v>
      </c>
      <c r="F99">
        <v>2</v>
      </c>
      <c r="G99" s="336" t="s">
        <v>599</v>
      </c>
      <c r="H99">
        <v>3</v>
      </c>
    </row>
    <row r="100" spans="1:8" x14ac:dyDescent="0.3">
      <c r="A100" s="336" t="s">
        <v>600</v>
      </c>
      <c r="B100">
        <v>44</v>
      </c>
      <c r="C100" s="336" t="s">
        <v>601</v>
      </c>
      <c r="D100">
        <v>0.5</v>
      </c>
      <c r="E100" s="336" t="s">
        <v>602</v>
      </c>
      <c r="F100">
        <v>4.5</v>
      </c>
      <c r="G100" s="336" t="s">
        <v>603</v>
      </c>
      <c r="H100">
        <v>26.5</v>
      </c>
    </row>
    <row r="101" spans="1:8" x14ac:dyDescent="0.3">
      <c r="A101" s="336" t="s">
        <v>604</v>
      </c>
      <c r="B101">
        <v>8</v>
      </c>
      <c r="C101" s="336" t="s">
        <v>605</v>
      </c>
      <c r="D101">
        <v>6.5</v>
      </c>
      <c r="E101" s="336" t="s">
        <v>606</v>
      </c>
      <c r="F101">
        <v>28</v>
      </c>
      <c r="G101" s="336" t="s">
        <v>607</v>
      </c>
      <c r="H101">
        <v>1.5</v>
      </c>
    </row>
    <row r="102" spans="1:8" x14ac:dyDescent="0.3">
      <c r="A102" s="336" t="s">
        <v>608</v>
      </c>
      <c r="B102">
        <v>26</v>
      </c>
      <c r="C102" s="336" t="s">
        <v>609</v>
      </c>
      <c r="D102">
        <v>0</v>
      </c>
      <c r="E102" s="336" t="s">
        <v>610</v>
      </c>
      <c r="F102">
        <v>1.5</v>
      </c>
      <c r="G102" s="336" t="s">
        <v>611</v>
      </c>
      <c r="H102">
        <v>0</v>
      </c>
    </row>
    <row r="103" spans="1:8" x14ac:dyDescent="0.3">
      <c r="A103" s="336" t="s">
        <v>612</v>
      </c>
      <c r="B103">
        <v>6</v>
      </c>
      <c r="C103" s="336" t="s">
        <v>613</v>
      </c>
      <c r="D103">
        <v>0</v>
      </c>
      <c r="E103" s="336" t="s">
        <v>614</v>
      </c>
      <c r="F103">
        <v>17</v>
      </c>
      <c r="G103" s="336" t="s">
        <v>615</v>
      </c>
      <c r="H103">
        <v>0</v>
      </c>
    </row>
    <row r="104" spans="1:8" x14ac:dyDescent="0.3">
      <c r="A104" s="336" t="s">
        <v>616</v>
      </c>
      <c r="B104">
        <v>14.5</v>
      </c>
      <c r="C104" s="336" t="s">
        <v>617</v>
      </c>
      <c r="D104">
        <v>56.5</v>
      </c>
      <c r="E104" s="336" t="s">
        <v>618</v>
      </c>
      <c r="F104">
        <v>26</v>
      </c>
      <c r="G104" s="336" t="s">
        <v>619</v>
      </c>
      <c r="H104">
        <v>0</v>
      </c>
    </row>
    <row r="105" spans="1:8" x14ac:dyDescent="0.3">
      <c r="A105" s="336" t="s">
        <v>620</v>
      </c>
      <c r="B105">
        <v>0</v>
      </c>
      <c r="C105" s="336" t="s">
        <v>621</v>
      </c>
      <c r="D105">
        <v>19.5</v>
      </c>
      <c r="E105" s="336" t="s">
        <v>622</v>
      </c>
      <c r="F105">
        <v>34</v>
      </c>
      <c r="G105" s="336" t="s">
        <v>623</v>
      </c>
      <c r="H105">
        <v>0</v>
      </c>
    </row>
    <row r="106" spans="1:8" x14ac:dyDescent="0.3">
      <c r="A106" s="336" t="s">
        <v>624</v>
      </c>
      <c r="B106">
        <v>0.5</v>
      </c>
      <c r="C106" s="336" t="s">
        <v>625</v>
      </c>
      <c r="D106">
        <v>0</v>
      </c>
      <c r="E106" s="336" t="s">
        <v>626</v>
      </c>
      <c r="F106">
        <v>9.5</v>
      </c>
      <c r="G106" s="336" t="s">
        <v>627</v>
      </c>
      <c r="H106">
        <v>0.5</v>
      </c>
    </row>
    <row r="107" spans="1:8" x14ac:dyDescent="0.3">
      <c r="A107" s="336" t="s">
        <v>628</v>
      </c>
      <c r="B107">
        <v>0</v>
      </c>
      <c r="C107" s="336" t="s">
        <v>629</v>
      </c>
      <c r="D107">
        <v>27</v>
      </c>
      <c r="E107" s="336" t="s">
        <v>630</v>
      </c>
      <c r="F107">
        <v>8</v>
      </c>
      <c r="G107" s="336" t="s">
        <v>631</v>
      </c>
      <c r="H107">
        <v>0.5</v>
      </c>
    </row>
    <row r="108" spans="1:8" x14ac:dyDescent="0.3">
      <c r="A108" s="336" t="s">
        <v>632</v>
      </c>
      <c r="B108">
        <v>0</v>
      </c>
      <c r="C108" s="336" t="s">
        <v>633</v>
      </c>
      <c r="D108">
        <v>7.5</v>
      </c>
      <c r="E108" s="336" t="s">
        <v>634</v>
      </c>
      <c r="F108">
        <v>7.5</v>
      </c>
      <c r="G108" s="336" t="s">
        <v>635</v>
      </c>
      <c r="H108">
        <v>78.8</v>
      </c>
    </row>
    <row r="109" spans="1:8" x14ac:dyDescent="0.3">
      <c r="A109" s="336" t="s">
        <v>636</v>
      </c>
      <c r="B109">
        <v>0</v>
      </c>
      <c r="C109" s="336" t="s">
        <v>637</v>
      </c>
      <c r="D109">
        <v>24.5</v>
      </c>
      <c r="E109" s="336" t="s">
        <v>638</v>
      </c>
      <c r="F109">
        <v>40.200000000000003</v>
      </c>
      <c r="G109" s="336" t="s">
        <v>639</v>
      </c>
      <c r="H109">
        <v>8.6</v>
      </c>
    </row>
    <row r="110" spans="1:8" x14ac:dyDescent="0.3">
      <c r="A110" s="336" t="s">
        <v>640</v>
      </c>
      <c r="B110">
        <v>0</v>
      </c>
      <c r="C110" s="336" t="s">
        <v>641</v>
      </c>
      <c r="D110">
        <v>108</v>
      </c>
      <c r="E110" s="336" t="s">
        <v>642</v>
      </c>
      <c r="F110">
        <v>36</v>
      </c>
      <c r="G110" s="336" t="s">
        <v>643</v>
      </c>
      <c r="H110">
        <v>9.5</v>
      </c>
    </row>
    <row r="111" spans="1:8" x14ac:dyDescent="0.3">
      <c r="A111" s="336" t="s">
        <v>644</v>
      </c>
      <c r="B111">
        <v>59</v>
      </c>
      <c r="C111" s="336" t="s">
        <v>645</v>
      </c>
      <c r="D111">
        <v>25</v>
      </c>
      <c r="E111" s="336" t="s">
        <v>646</v>
      </c>
      <c r="F111">
        <v>29.5</v>
      </c>
      <c r="G111" s="336" t="s">
        <v>647</v>
      </c>
      <c r="H111">
        <v>7.5</v>
      </c>
    </row>
    <row r="112" spans="1:8" x14ac:dyDescent="0.3">
      <c r="A112" s="336" t="s">
        <v>648</v>
      </c>
      <c r="B112">
        <v>7.5</v>
      </c>
      <c r="C112" s="336" t="s">
        <v>649</v>
      </c>
      <c r="D112">
        <v>0</v>
      </c>
      <c r="E112" s="336" t="s">
        <v>650</v>
      </c>
      <c r="F112">
        <v>0</v>
      </c>
      <c r="G112" s="336" t="s">
        <v>651</v>
      </c>
      <c r="H112">
        <v>5.5</v>
      </c>
    </row>
    <row r="113" spans="1:8" x14ac:dyDescent="0.3">
      <c r="A113" s="336" t="s">
        <v>652</v>
      </c>
      <c r="B113">
        <v>2</v>
      </c>
      <c r="C113" s="336" t="s">
        <v>653</v>
      </c>
      <c r="D113">
        <v>0</v>
      </c>
      <c r="E113" s="336" t="s">
        <v>654</v>
      </c>
      <c r="F113">
        <v>6</v>
      </c>
      <c r="G113" s="336" t="s">
        <v>655</v>
      </c>
      <c r="H113">
        <v>11</v>
      </c>
    </row>
    <row r="114" spans="1:8" x14ac:dyDescent="0.3">
      <c r="A114" s="336" t="s">
        <v>656</v>
      </c>
      <c r="B114">
        <v>20</v>
      </c>
      <c r="C114" s="336" t="s">
        <v>657</v>
      </c>
      <c r="D114">
        <v>13.5</v>
      </c>
      <c r="E114" s="336" t="s">
        <v>658</v>
      </c>
      <c r="F114">
        <v>0</v>
      </c>
      <c r="G114" s="336" t="s">
        <v>659</v>
      </c>
      <c r="H114">
        <v>0</v>
      </c>
    </row>
    <row r="115" spans="1:8" x14ac:dyDescent="0.3">
      <c r="A115" s="336" t="s">
        <v>660</v>
      </c>
      <c r="B115">
        <v>62</v>
      </c>
      <c r="C115" s="336" t="s">
        <v>661</v>
      </c>
      <c r="D115">
        <v>22</v>
      </c>
      <c r="E115" s="336" t="s">
        <v>662</v>
      </c>
      <c r="F115">
        <v>0.5</v>
      </c>
      <c r="G115" s="336" t="s">
        <v>663</v>
      </c>
      <c r="H115">
        <v>10.5</v>
      </c>
    </row>
    <row r="116" spans="1:8" x14ac:dyDescent="0.3">
      <c r="A116" s="336" t="s">
        <v>664</v>
      </c>
      <c r="B116">
        <v>0.5</v>
      </c>
      <c r="C116" s="336" t="s">
        <v>665</v>
      </c>
      <c r="D116">
        <v>12.5</v>
      </c>
      <c r="E116" s="336" t="s">
        <v>666</v>
      </c>
      <c r="F116">
        <v>28.5</v>
      </c>
      <c r="G116" s="336" t="s">
        <v>667</v>
      </c>
      <c r="H116">
        <v>0</v>
      </c>
    </row>
    <row r="117" spans="1:8" x14ac:dyDescent="0.3">
      <c r="A117" s="336" t="s">
        <v>668</v>
      </c>
      <c r="B117">
        <v>0.5</v>
      </c>
      <c r="C117" s="336" t="s">
        <v>669</v>
      </c>
      <c r="D117">
        <v>1</v>
      </c>
      <c r="E117" s="336" t="s">
        <v>670</v>
      </c>
      <c r="F117">
        <v>25</v>
      </c>
      <c r="G117" s="336" t="s">
        <v>671</v>
      </c>
      <c r="H117">
        <v>2.5</v>
      </c>
    </row>
    <row r="118" spans="1:8" x14ac:dyDescent="0.3">
      <c r="A118" s="336" t="s">
        <v>672</v>
      </c>
      <c r="B118">
        <v>7.5</v>
      </c>
      <c r="C118" s="336" t="s">
        <v>673</v>
      </c>
      <c r="D118">
        <v>0</v>
      </c>
      <c r="E118" s="336" t="s">
        <v>674</v>
      </c>
      <c r="F118">
        <v>31.5</v>
      </c>
      <c r="G118" s="336" t="s">
        <v>675</v>
      </c>
      <c r="H118">
        <v>5</v>
      </c>
    </row>
    <row r="119" spans="1:8" x14ac:dyDescent="0.3">
      <c r="A119" s="336" t="s">
        <v>676</v>
      </c>
      <c r="B119">
        <v>17</v>
      </c>
      <c r="C119" s="336" t="s">
        <v>677</v>
      </c>
      <c r="D119">
        <v>24.5</v>
      </c>
      <c r="E119" s="336" t="s">
        <v>678</v>
      </c>
      <c r="F119">
        <v>0.5</v>
      </c>
      <c r="G119" s="336" t="s">
        <v>679</v>
      </c>
      <c r="H119">
        <v>48</v>
      </c>
    </row>
    <row r="120" spans="1:8" x14ac:dyDescent="0.3">
      <c r="A120" s="336" t="s">
        <v>680</v>
      </c>
      <c r="B120">
        <v>0</v>
      </c>
      <c r="C120" s="336" t="s">
        <v>681</v>
      </c>
      <c r="D120">
        <v>1</v>
      </c>
      <c r="E120" s="336" t="s">
        <v>682</v>
      </c>
      <c r="F120">
        <v>36.5</v>
      </c>
      <c r="G120" s="336" t="s">
        <v>683</v>
      </c>
      <c r="H120">
        <v>36.5</v>
      </c>
    </row>
    <row r="121" spans="1:8" x14ac:dyDescent="0.3">
      <c r="A121" s="337" t="s">
        <v>684</v>
      </c>
      <c r="B121" s="338">
        <v>0</v>
      </c>
      <c r="C121" s="337" t="s">
        <v>685</v>
      </c>
      <c r="D121" s="338">
        <v>31.5</v>
      </c>
      <c r="E121" s="337" t="s">
        <v>686</v>
      </c>
      <c r="F121" s="338">
        <v>2.5</v>
      </c>
      <c r="G121" s="337" t="s">
        <v>687</v>
      </c>
      <c r="H121">
        <v>21</v>
      </c>
    </row>
    <row r="122" spans="1:8" x14ac:dyDescent="0.3">
      <c r="A122" s="336" t="s">
        <v>688</v>
      </c>
      <c r="B122">
        <v>0</v>
      </c>
      <c r="C122" s="336" t="s">
        <v>689</v>
      </c>
      <c r="D122">
        <v>0</v>
      </c>
      <c r="E122" s="336" t="s">
        <v>690</v>
      </c>
      <c r="F122">
        <v>0</v>
      </c>
      <c r="G122" s="336" t="s">
        <v>691</v>
      </c>
      <c r="H122">
        <v>2.5</v>
      </c>
    </row>
    <row r="123" spans="1:8" x14ac:dyDescent="0.3">
      <c r="A123" s="336" t="s">
        <v>692</v>
      </c>
      <c r="B123">
        <v>13.5</v>
      </c>
      <c r="C123" s="336" t="s">
        <v>693</v>
      </c>
      <c r="D123">
        <v>35.5</v>
      </c>
      <c r="E123" s="336" t="s">
        <v>694</v>
      </c>
      <c r="F123">
        <v>0.5</v>
      </c>
      <c r="G123" s="336" t="s">
        <v>695</v>
      </c>
      <c r="H123">
        <v>8</v>
      </c>
    </row>
    <row r="124" spans="1:8" x14ac:dyDescent="0.3">
      <c r="A124" s="336" t="s">
        <v>696</v>
      </c>
      <c r="B124">
        <v>0.5</v>
      </c>
      <c r="C124" s="336" t="s">
        <v>697</v>
      </c>
      <c r="D124">
        <v>11.5</v>
      </c>
      <c r="E124" s="336" t="s">
        <v>698</v>
      </c>
      <c r="F124">
        <v>0</v>
      </c>
      <c r="G124" s="336" t="s">
        <v>699</v>
      </c>
      <c r="H124">
        <v>26.5</v>
      </c>
    </row>
    <row r="125" spans="1:8" x14ac:dyDescent="0.3">
      <c r="A125" s="336" t="s">
        <v>700</v>
      </c>
      <c r="B125">
        <v>6.5</v>
      </c>
      <c r="C125" s="336" t="s">
        <v>701</v>
      </c>
      <c r="D125">
        <v>27</v>
      </c>
      <c r="E125" s="336" t="s">
        <v>702</v>
      </c>
      <c r="F125">
        <v>12.5</v>
      </c>
      <c r="G125" s="336" t="s">
        <v>703</v>
      </c>
      <c r="H125">
        <v>67.5</v>
      </c>
    </row>
    <row r="126" spans="1:8" x14ac:dyDescent="0.3">
      <c r="A126" s="336" t="s">
        <v>704</v>
      </c>
      <c r="B126">
        <v>0</v>
      </c>
      <c r="C126" s="336" t="s">
        <v>705</v>
      </c>
      <c r="D126">
        <v>3</v>
      </c>
      <c r="E126" s="336" t="s">
        <v>706</v>
      </c>
      <c r="F126">
        <v>0.5</v>
      </c>
      <c r="G126" s="336" t="s">
        <v>707</v>
      </c>
      <c r="H126">
        <v>1</v>
      </c>
    </row>
    <row r="127" spans="1:8" x14ac:dyDescent="0.3">
      <c r="A127" s="336" t="s">
        <v>708</v>
      </c>
      <c r="B127">
        <v>0</v>
      </c>
      <c r="C127" s="336" t="s">
        <v>709</v>
      </c>
      <c r="D127">
        <v>82</v>
      </c>
      <c r="E127" s="336" t="s">
        <v>710</v>
      </c>
      <c r="F127">
        <v>23.5</v>
      </c>
      <c r="G127" s="336" t="s">
        <v>711</v>
      </c>
      <c r="H127">
        <v>2</v>
      </c>
    </row>
    <row r="128" spans="1:8" x14ac:dyDescent="0.3">
      <c r="A128" s="336" t="s">
        <v>712</v>
      </c>
      <c r="B128">
        <v>56.5</v>
      </c>
      <c r="C128" s="336" t="s">
        <v>713</v>
      </c>
      <c r="D128">
        <v>1.5</v>
      </c>
      <c r="E128" s="336" t="s">
        <v>714</v>
      </c>
      <c r="F128">
        <v>23</v>
      </c>
      <c r="G128" s="336" t="s">
        <v>715</v>
      </c>
      <c r="H128">
        <v>7.5</v>
      </c>
    </row>
    <row r="129" spans="1:8" x14ac:dyDescent="0.3">
      <c r="A129" s="336" t="s">
        <v>716</v>
      </c>
      <c r="B129">
        <v>19.5</v>
      </c>
      <c r="C129" s="336" t="s">
        <v>717</v>
      </c>
      <c r="D129">
        <v>0</v>
      </c>
      <c r="E129" s="336" t="s">
        <v>718</v>
      </c>
      <c r="F129">
        <v>0</v>
      </c>
      <c r="G129" s="336" t="s">
        <v>719</v>
      </c>
      <c r="H129">
        <v>1.5</v>
      </c>
    </row>
    <row r="130" spans="1:8" x14ac:dyDescent="0.3">
      <c r="A130" s="336" t="s">
        <v>720</v>
      </c>
      <c r="B130">
        <v>0</v>
      </c>
      <c r="C130" s="336" t="s">
        <v>721</v>
      </c>
      <c r="D130">
        <v>0.5</v>
      </c>
      <c r="E130" s="336" t="s">
        <v>722</v>
      </c>
      <c r="F130">
        <v>0</v>
      </c>
      <c r="G130" s="336" t="s">
        <v>723</v>
      </c>
      <c r="H130">
        <v>8.5</v>
      </c>
    </row>
    <row r="131" spans="1:8" x14ac:dyDescent="0.3">
      <c r="A131" s="336" t="s">
        <v>724</v>
      </c>
      <c r="B131">
        <v>27</v>
      </c>
      <c r="C131" s="336" t="s">
        <v>725</v>
      </c>
      <c r="D131">
        <v>0</v>
      </c>
      <c r="E131" s="336" t="s">
        <v>726</v>
      </c>
      <c r="F131">
        <v>26</v>
      </c>
      <c r="G131" s="336" t="s">
        <v>727</v>
      </c>
      <c r="H131">
        <v>1.5</v>
      </c>
    </row>
    <row r="132" spans="1:8" x14ac:dyDescent="0.3">
      <c r="A132" s="336" t="s">
        <v>728</v>
      </c>
      <c r="B132">
        <v>7.5</v>
      </c>
      <c r="C132" s="336" t="s">
        <v>729</v>
      </c>
      <c r="D132">
        <v>1</v>
      </c>
      <c r="E132" s="336" t="s">
        <v>730</v>
      </c>
      <c r="F132">
        <v>0</v>
      </c>
      <c r="G132" s="336" t="s">
        <v>731</v>
      </c>
      <c r="H132">
        <v>1.5</v>
      </c>
    </row>
    <row r="133" spans="1:8" x14ac:dyDescent="0.3">
      <c r="A133" s="336" t="s">
        <v>732</v>
      </c>
      <c r="B133">
        <v>24.5</v>
      </c>
      <c r="C133" s="336" t="s">
        <v>733</v>
      </c>
      <c r="D133">
        <v>6</v>
      </c>
      <c r="E133" s="336" t="s">
        <v>734</v>
      </c>
      <c r="F133">
        <v>0</v>
      </c>
      <c r="G133" s="336" t="s">
        <v>735</v>
      </c>
      <c r="H133">
        <v>68.5</v>
      </c>
    </row>
    <row r="134" spans="1:8" x14ac:dyDescent="0.3">
      <c r="A134" s="336" t="s">
        <v>736</v>
      </c>
      <c r="B134">
        <v>109</v>
      </c>
      <c r="C134" s="336" t="s">
        <v>737</v>
      </c>
      <c r="D134">
        <v>74.5</v>
      </c>
      <c r="E134" s="336" t="s">
        <v>738</v>
      </c>
      <c r="F134">
        <v>9.5</v>
      </c>
      <c r="G134" s="336" t="s">
        <v>739</v>
      </c>
      <c r="H134">
        <v>1</v>
      </c>
    </row>
    <row r="135" spans="1:8" x14ac:dyDescent="0.3">
      <c r="A135" s="336" t="s">
        <v>740</v>
      </c>
      <c r="B135">
        <v>25</v>
      </c>
      <c r="C135" s="336" t="s">
        <v>741</v>
      </c>
      <c r="D135">
        <v>25.5</v>
      </c>
      <c r="E135" s="336" t="s">
        <v>742</v>
      </c>
      <c r="F135">
        <v>36</v>
      </c>
      <c r="G135" s="336" t="s">
        <v>743</v>
      </c>
      <c r="H135">
        <v>48.8</v>
      </c>
    </row>
    <row r="136" spans="1:8" x14ac:dyDescent="0.3">
      <c r="A136" s="336" t="s">
        <v>744</v>
      </c>
      <c r="B136">
        <v>0</v>
      </c>
      <c r="C136" s="336" t="s">
        <v>745</v>
      </c>
      <c r="D136">
        <v>75</v>
      </c>
      <c r="E136" s="336" t="s">
        <v>746</v>
      </c>
      <c r="F136">
        <v>5.5</v>
      </c>
      <c r="G136" s="336" t="s">
        <v>747</v>
      </c>
      <c r="H136">
        <v>34</v>
      </c>
    </row>
    <row r="137" spans="1:8" x14ac:dyDescent="0.3">
      <c r="A137" s="336" t="s">
        <v>748</v>
      </c>
      <c r="B137">
        <v>0</v>
      </c>
      <c r="C137" s="336" t="s">
        <v>749</v>
      </c>
      <c r="D137">
        <v>14</v>
      </c>
      <c r="E137" s="336" t="s">
        <v>750</v>
      </c>
      <c r="F137">
        <v>0</v>
      </c>
      <c r="G137" s="336" t="s">
        <v>751</v>
      </c>
      <c r="H137">
        <v>2.5</v>
      </c>
    </row>
    <row r="138" spans="1:8" x14ac:dyDescent="0.3">
      <c r="A138" s="336" t="s">
        <v>752</v>
      </c>
      <c r="B138">
        <v>13.5</v>
      </c>
      <c r="C138" s="336" t="s">
        <v>753</v>
      </c>
      <c r="D138">
        <v>5</v>
      </c>
      <c r="E138" s="336" t="s">
        <v>754</v>
      </c>
      <c r="F138">
        <v>24</v>
      </c>
      <c r="G138" s="336" t="s">
        <v>755</v>
      </c>
      <c r="H138">
        <v>18.5</v>
      </c>
    </row>
    <row r="139" spans="1:8" x14ac:dyDescent="0.3">
      <c r="A139" s="336" t="s">
        <v>756</v>
      </c>
      <c r="B139">
        <v>22</v>
      </c>
      <c r="C139" s="336" t="s">
        <v>757</v>
      </c>
      <c r="D139">
        <v>0</v>
      </c>
      <c r="E139" s="336" t="s">
        <v>758</v>
      </c>
      <c r="F139">
        <v>2</v>
      </c>
      <c r="G139" s="336" t="s">
        <v>759</v>
      </c>
      <c r="H139">
        <v>3.3</v>
      </c>
    </row>
    <row r="140" spans="1:8" x14ac:dyDescent="0.3">
      <c r="A140" s="336" t="s">
        <v>760</v>
      </c>
      <c r="B140">
        <v>12.5</v>
      </c>
      <c r="C140" s="336" t="s">
        <v>761</v>
      </c>
      <c r="D140">
        <v>0</v>
      </c>
      <c r="E140" s="336" t="s">
        <v>762</v>
      </c>
      <c r="F140">
        <v>14.5</v>
      </c>
      <c r="G140" s="336" t="s">
        <v>763</v>
      </c>
      <c r="H140">
        <v>36.6</v>
      </c>
    </row>
    <row r="141" spans="1:8" x14ac:dyDescent="0.3">
      <c r="A141" s="336" t="s">
        <v>764</v>
      </c>
      <c r="B141">
        <v>1</v>
      </c>
      <c r="C141" s="336" t="s">
        <v>765</v>
      </c>
      <c r="D141">
        <v>0</v>
      </c>
      <c r="E141" s="336" t="s">
        <v>766</v>
      </c>
      <c r="F141">
        <v>41.5</v>
      </c>
      <c r="G141" s="336" t="s">
        <v>767</v>
      </c>
      <c r="H141">
        <v>4.5</v>
      </c>
    </row>
    <row r="142" spans="1:8" x14ac:dyDescent="0.3">
      <c r="A142" s="336" t="s">
        <v>768</v>
      </c>
      <c r="B142">
        <v>0</v>
      </c>
      <c r="C142" s="336" t="s">
        <v>769</v>
      </c>
      <c r="D142">
        <v>19</v>
      </c>
      <c r="E142" s="336" t="s">
        <v>770</v>
      </c>
      <c r="F142">
        <v>6</v>
      </c>
      <c r="G142" s="336" t="s">
        <v>771</v>
      </c>
      <c r="H142">
        <v>24.5</v>
      </c>
    </row>
    <row r="143" spans="1:8" x14ac:dyDescent="0.3">
      <c r="A143" s="336" t="s">
        <v>772</v>
      </c>
      <c r="B143">
        <v>24.5</v>
      </c>
      <c r="C143" s="336" t="s">
        <v>773</v>
      </c>
      <c r="D143">
        <v>36</v>
      </c>
      <c r="E143" s="336" t="s">
        <v>774</v>
      </c>
      <c r="F143">
        <v>9</v>
      </c>
      <c r="G143" s="336" t="s">
        <v>775</v>
      </c>
      <c r="H143">
        <v>13</v>
      </c>
    </row>
    <row r="144" spans="1:8" x14ac:dyDescent="0.3">
      <c r="A144" s="336" t="s">
        <v>776</v>
      </c>
      <c r="B144">
        <v>1</v>
      </c>
      <c r="C144" s="336" t="s">
        <v>777</v>
      </c>
      <c r="D144">
        <v>12.5</v>
      </c>
      <c r="E144" s="336" t="s">
        <v>778</v>
      </c>
      <c r="F144">
        <v>7.5</v>
      </c>
      <c r="G144" s="336" t="s">
        <v>779</v>
      </c>
      <c r="H144">
        <v>2.5</v>
      </c>
    </row>
    <row r="145" spans="1:8" x14ac:dyDescent="0.3">
      <c r="A145" s="336" t="s">
        <v>780</v>
      </c>
      <c r="B145">
        <v>31.5</v>
      </c>
      <c r="C145" s="336" t="s">
        <v>781</v>
      </c>
      <c r="D145">
        <v>0.5</v>
      </c>
      <c r="E145" s="336" t="s">
        <v>782</v>
      </c>
      <c r="F145">
        <v>1.5</v>
      </c>
      <c r="G145" s="336" t="s">
        <v>783</v>
      </c>
      <c r="H145">
        <v>17</v>
      </c>
    </row>
    <row r="146" spans="1:8" x14ac:dyDescent="0.3">
      <c r="A146" s="336" t="s">
        <v>784</v>
      </c>
      <c r="B146">
        <v>0</v>
      </c>
      <c r="C146" s="336" t="s">
        <v>785</v>
      </c>
      <c r="D146">
        <v>0</v>
      </c>
      <c r="E146" s="336" t="s">
        <v>786</v>
      </c>
      <c r="F146">
        <v>20.5</v>
      </c>
      <c r="G146" s="336" t="s">
        <v>787</v>
      </c>
      <c r="H146">
        <v>21.5</v>
      </c>
    </row>
    <row r="147" spans="1:8" x14ac:dyDescent="0.3">
      <c r="A147" s="336" t="s">
        <v>788</v>
      </c>
      <c r="B147">
        <v>35.5</v>
      </c>
      <c r="C147" s="336" t="s">
        <v>789</v>
      </c>
      <c r="D147">
        <v>0</v>
      </c>
      <c r="E147" s="336" t="s">
        <v>790</v>
      </c>
      <c r="F147">
        <v>11.5</v>
      </c>
      <c r="G147" s="336" t="s">
        <v>791</v>
      </c>
      <c r="H147">
        <v>4</v>
      </c>
    </row>
    <row r="148" spans="1:8" x14ac:dyDescent="0.3">
      <c r="A148" s="336" t="s">
        <v>792</v>
      </c>
      <c r="B148">
        <v>11.5</v>
      </c>
      <c r="C148" s="336" t="s">
        <v>793</v>
      </c>
      <c r="D148">
        <v>0</v>
      </c>
      <c r="E148" s="336" t="s">
        <v>794</v>
      </c>
      <c r="F148">
        <v>2</v>
      </c>
      <c r="G148" s="336" t="s">
        <v>795</v>
      </c>
      <c r="H148">
        <v>1.5</v>
      </c>
    </row>
    <row r="149" spans="1:8" x14ac:dyDescent="0.3">
      <c r="A149" s="336" t="s">
        <v>796</v>
      </c>
      <c r="B149">
        <v>27</v>
      </c>
      <c r="C149" s="336" t="s">
        <v>797</v>
      </c>
      <c r="D149">
        <v>0</v>
      </c>
      <c r="E149" s="336" t="s">
        <v>798</v>
      </c>
      <c r="F149">
        <v>1.5</v>
      </c>
      <c r="G149" s="336" t="s">
        <v>799</v>
      </c>
      <c r="H149">
        <v>10.5</v>
      </c>
    </row>
    <row r="150" spans="1:8" x14ac:dyDescent="0.3">
      <c r="A150" s="336" t="s">
        <v>800</v>
      </c>
      <c r="B150">
        <v>3</v>
      </c>
      <c r="C150" s="336" t="s">
        <v>801</v>
      </c>
      <c r="D150">
        <v>1.5</v>
      </c>
      <c r="E150" s="336" t="s">
        <v>802</v>
      </c>
      <c r="F150">
        <v>12</v>
      </c>
      <c r="G150" s="336" t="s">
        <v>803</v>
      </c>
      <c r="H150">
        <v>22.9</v>
      </c>
    </row>
    <row r="151" spans="1:8" x14ac:dyDescent="0.3">
      <c r="A151" s="336" t="s">
        <v>804</v>
      </c>
      <c r="B151">
        <v>82</v>
      </c>
      <c r="C151" s="336" t="s">
        <v>805</v>
      </c>
      <c r="D151">
        <v>0</v>
      </c>
      <c r="E151" s="336" t="s">
        <v>806</v>
      </c>
      <c r="F151">
        <v>9</v>
      </c>
      <c r="G151" s="336" t="s">
        <v>807</v>
      </c>
      <c r="H151">
        <v>49</v>
      </c>
    </row>
    <row r="152" spans="1:8" x14ac:dyDescent="0.3">
      <c r="A152" s="337" t="s">
        <v>808</v>
      </c>
      <c r="B152" s="338">
        <v>1.5</v>
      </c>
      <c r="C152" s="337" t="s">
        <v>809</v>
      </c>
      <c r="D152" s="338">
        <v>0</v>
      </c>
      <c r="E152" s="337" t="s">
        <v>810</v>
      </c>
      <c r="F152" s="338">
        <v>11.5</v>
      </c>
      <c r="G152" s="337" t="s">
        <v>811</v>
      </c>
      <c r="H152">
        <v>17.5</v>
      </c>
    </row>
    <row r="153" spans="1:8" x14ac:dyDescent="0.3">
      <c r="A153" s="336" t="s">
        <v>812</v>
      </c>
      <c r="B153">
        <v>0</v>
      </c>
      <c r="C153" s="336" t="s">
        <v>813</v>
      </c>
      <c r="D153">
        <v>0</v>
      </c>
      <c r="E153" s="336" t="s">
        <v>814</v>
      </c>
      <c r="F153">
        <v>1.5</v>
      </c>
      <c r="G153" s="336" t="s">
        <v>815</v>
      </c>
      <c r="H153">
        <v>14.5</v>
      </c>
    </row>
    <row r="154" spans="1:8" x14ac:dyDescent="0.3">
      <c r="A154" s="336" t="s">
        <v>816</v>
      </c>
      <c r="B154">
        <v>0.5</v>
      </c>
      <c r="C154" s="336" t="s">
        <v>817</v>
      </c>
      <c r="D154">
        <v>0</v>
      </c>
      <c r="E154" s="336" t="s">
        <v>818</v>
      </c>
      <c r="F154">
        <v>11.5</v>
      </c>
      <c r="G154" s="336" t="s">
        <v>819</v>
      </c>
      <c r="H154">
        <v>32.5</v>
      </c>
    </row>
    <row r="155" spans="1:8" x14ac:dyDescent="0.3">
      <c r="A155" s="336" t="s">
        <v>820</v>
      </c>
      <c r="B155">
        <v>0</v>
      </c>
      <c r="C155" s="336" t="s">
        <v>821</v>
      </c>
      <c r="D155">
        <v>1.5</v>
      </c>
      <c r="E155" s="336" t="s">
        <v>822</v>
      </c>
      <c r="F155">
        <v>1</v>
      </c>
      <c r="G155" s="336" t="s">
        <v>823</v>
      </c>
      <c r="H155">
        <v>25</v>
      </c>
    </row>
    <row r="156" spans="1:8" x14ac:dyDescent="0.3">
      <c r="A156" s="336" t="s">
        <v>824</v>
      </c>
      <c r="B156">
        <v>1</v>
      </c>
      <c r="C156" s="336" t="s">
        <v>825</v>
      </c>
      <c r="D156">
        <v>2.5</v>
      </c>
      <c r="E156" s="336" t="s">
        <v>826</v>
      </c>
      <c r="F156">
        <v>0</v>
      </c>
      <c r="G156" s="336" t="s">
        <v>827</v>
      </c>
      <c r="H156">
        <v>12.5</v>
      </c>
    </row>
    <row r="157" spans="1:8" x14ac:dyDescent="0.3">
      <c r="A157" s="336" t="s">
        <v>828</v>
      </c>
      <c r="B157">
        <v>6</v>
      </c>
      <c r="C157" s="336" t="s">
        <v>829</v>
      </c>
      <c r="D157">
        <v>35</v>
      </c>
      <c r="E157" s="336" t="s">
        <v>830</v>
      </c>
      <c r="F157">
        <v>0</v>
      </c>
      <c r="G157" s="336" t="s">
        <v>831</v>
      </c>
      <c r="H157">
        <v>4</v>
      </c>
    </row>
    <row r="158" spans="1:8" x14ac:dyDescent="0.3">
      <c r="A158" s="336" t="s">
        <v>832</v>
      </c>
      <c r="B158">
        <v>74.5</v>
      </c>
      <c r="C158" s="336" t="s">
        <v>833</v>
      </c>
      <c r="D158">
        <v>75.5</v>
      </c>
      <c r="E158" s="336" t="s">
        <v>834</v>
      </c>
      <c r="F158">
        <v>3.5</v>
      </c>
      <c r="G158" s="336" t="s">
        <v>835</v>
      </c>
      <c r="H158">
        <v>0</v>
      </c>
    </row>
    <row r="159" spans="1:8" x14ac:dyDescent="0.3">
      <c r="A159" s="336" t="s">
        <v>836</v>
      </c>
      <c r="B159">
        <v>24</v>
      </c>
      <c r="C159" s="336" t="s">
        <v>837</v>
      </c>
      <c r="D159">
        <v>32</v>
      </c>
      <c r="E159" s="336" t="s">
        <v>838</v>
      </c>
      <c r="F159">
        <v>5</v>
      </c>
      <c r="G159" s="336" t="s">
        <v>839</v>
      </c>
      <c r="H159">
        <v>1.5</v>
      </c>
    </row>
    <row r="160" spans="1:8" x14ac:dyDescent="0.3">
      <c r="A160" s="336" t="s">
        <v>840</v>
      </c>
      <c r="B160">
        <v>75</v>
      </c>
      <c r="C160" s="336" t="s">
        <v>841</v>
      </c>
      <c r="D160">
        <v>4</v>
      </c>
      <c r="E160" s="336" t="s">
        <v>842</v>
      </c>
      <c r="F160">
        <v>7.5</v>
      </c>
      <c r="G160" s="336" t="s">
        <v>843</v>
      </c>
      <c r="H160">
        <v>15</v>
      </c>
    </row>
    <row r="161" spans="1:8" x14ac:dyDescent="0.3">
      <c r="A161" s="336" t="s">
        <v>844</v>
      </c>
      <c r="B161">
        <v>14</v>
      </c>
      <c r="C161" s="336" t="s">
        <v>845</v>
      </c>
      <c r="D161">
        <v>88.5</v>
      </c>
      <c r="E161" s="336" t="s">
        <v>846</v>
      </c>
      <c r="F161">
        <v>0</v>
      </c>
      <c r="G161" s="336" t="s">
        <v>847</v>
      </c>
      <c r="H161">
        <v>37</v>
      </c>
    </row>
    <row r="162" spans="1:8" x14ac:dyDescent="0.3">
      <c r="A162" s="336" t="s">
        <v>848</v>
      </c>
      <c r="B162">
        <v>5</v>
      </c>
      <c r="C162" s="336" t="s">
        <v>849</v>
      </c>
      <c r="D162">
        <v>6.5</v>
      </c>
      <c r="E162" s="336" t="s">
        <v>850</v>
      </c>
      <c r="F162">
        <v>0</v>
      </c>
      <c r="G162" s="336" t="s">
        <v>851</v>
      </c>
      <c r="H162">
        <v>65</v>
      </c>
    </row>
    <row r="163" spans="1:8" x14ac:dyDescent="0.3">
      <c r="A163" s="336" t="s">
        <v>852</v>
      </c>
      <c r="B163">
        <v>0</v>
      </c>
      <c r="C163" s="336" t="s">
        <v>853</v>
      </c>
      <c r="D163">
        <v>11</v>
      </c>
      <c r="E163" s="336" t="s">
        <v>854</v>
      </c>
      <c r="F163">
        <v>0</v>
      </c>
      <c r="G163" s="336" t="s">
        <v>855</v>
      </c>
      <c r="H163">
        <v>11.5</v>
      </c>
    </row>
    <row r="164" spans="1:8" x14ac:dyDescent="0.3">
      <c r="A164" s="336" t="s">
        <v>856</v>
      </c>
      <c r="B164">
        <v>0</v>
      </c>
      <c r="C164" s="336" t="s">
        <v>857</v>
      </c>
      <c r="D164">
        <v>32.5</v>
      </c>
      <c r="E164" s="336" t="s">
        <v>858</v>
      </c>
      <c r="F164">
        <v>11.5</v>
      </c>
      <c r="G164" s="336" t="s">
        <v>859</v>
      </c>
      <c r="H164">
        <v>14</v>
      </c>
    </row>
    <row r="165" spans="1:8" x14ac:dyDescent="0.3">
      <c r="A165" s="336" t="s">
        <v>860</v>
      </c>
      <c r="B165">
        <v>0</v>
      </c>
      <c r="C165" s="336" t="s">
        <v>861</v>
      </c>
      <c r="D165">
        <v>15</v>
      </c>
      <c r="E165" s="336" t="s">
        <v>862</v>
      </c>
      <c r="F165">
        <v>6.5</v>
      </c>
      <c r="G165" s="336" t="s">
        <v>863</v>
      </c>
      <c r="H165">
        <v>17.399999999999999</v>
      </c>
    </row>
    <row r="166" spans="1:8" x14ac:dyDescent="0.3">
      <c r="A166" s="336" t="s">
        <v>864</v>
      </c>
      <c r="B166">
        <v>19</v>
      </c>
      <c r="C166" s="336" t="s">
        <v>865</v>
      </c>
      <c r="D166">
        <v>2</v>
      </c>
      <c r="E166" s="336" t="s">
        <v>866</v>
      </c>
      <c r="F166">
        <v>1.5</v>
      </c>
      <c r="G166" s="336" t="s">
        <v>867</v>
      </c>
      <c r="H166">
        <v>6</v>
      </c>
    </row>
    <row r="167" spans="1:8" x14ac:dyDescent="0.3">
      <c r="A167" s="336" t="s">
        <v>868</v>
      </c>
      <c r="B167">
        <v>36</v>
      </c>
      <c r="C167" s="336" t="s">
        <v>869</v>
      </c>
      <c r="D167">
        <v>10</v>
      </c>
      <c r="E167" s="336" t="s">
        <v>870</v>
      </c>
      <c r="F167">
        <v>17</v>
      </c>
      <c r="G167" s="336" t="s">
        <v>871</v>
      </c>
      <c r="H167">
        <v>0.4</v>
      </c>
    </row>
    <row r="168" spans="1:8" x14ac:dyDescent="0.3">
      <c r="A168" s="336" t="s">
        <v>872</v>
      </c>
      <c r="B168">
        <v>12.5</v>
      </c>
      <c r="C168" s="336" t="s">
        <v>873</v>
      </c>
      <c r="D168">
        <v>2</v>
      </c>
      <c r="E168" s="336" t="s">
        <v>874</v>
      </c>
      <c r="F168">
        <v>11</v>
      </c>
      <c r="G168" s="336" t="s">
        <v>875</v>
      </c>
      <c r="H168">
        <v>30</v>
      </c>
    </row>
    <row r="169" spans="1:8" x14ac:dyDescent="0.3">
      <c r="A169" s="336" t="s">
        <v>876</v>
      </c>
      <c r="B169">
        <v>0.5</v>
      </c>
      <c r="C169" s="336" t="s">
        <v>877</v>
      </c>
      <c r="D169">
        <v>85</v>
      </c>
      <c r="E169" s="336" t="s">
        <v>878</v>
      </c>
      <c r="F169">
        <v>2</v>
      </c>
      <c r="G169" s="336" t="s">
        <v>879</v>
      </c>
      <c r="H169">
        <v>4</v>
      </c>
    </row>
    <row r="170" spans="1:8" x14ac:dyDescent="0.3">
      <c r="A170" s="336" t="s">
        <v>880</v>
      </c>
      <c r="B170">
        <v>0</v>
      </c>
      <c r="C170" s="336" t="s">
        <v>881</v>
      </c>
      <c r="D170">
        <v>46</v>
      </c>
      <c r="E170" s="336" t="s">
        <v>882</v>
      </c>
      <c r="F170">
        <v>0.5</v>
      </c>
      <c r="G170" s="336" t="s">
        <v>883</v>
      </c>
      <c r="H170">
        <v>1.5</v>
      </c>
    </row>
    <row r="171" spans="1:8" x14ac:dyDescent="0.3">
      <c r="A171" s="336" t="s">
        <v>884</v>
      </c>
      <c r="B171">
        <v>0</v>
      </c>
      <c r="C171" s="336" t="s">
        <v>885</v>
      </c>
      <c r="D171">
        <v>4.5</v>
      </c>
      <c r="E171" s="336" t="s">
        <v>886</v>
      </c>
      <c r="F171">
        <v>0.5</v>
      </c>
      <c r="G171" s="336" t="s">
        <v>887</v>
      </c>
      <c r="H171">
        <v>1.5</v>
      </c>
    </row>
    <row r="172" spans="1:8" x14ac:dyDescent="0.3">
      <c r="A172" s="336" t="s">
        <v>888</v>
      </c>
      <c r="B172">
        <v>0</v>
      </c>
      <c r="C172" s="336" t="s">
        <v>889</v>
      </c>
      <c r="D172">
        <v>0</v>
      </c>
      <c r="E172" s="336" t="s">
        <v>890</v>
      </c>
      <c r="F172">
        <v>6.5</v>
      </c>
      <c r="G172" s="336" t="s">
        <v>891</v>
      </c>
      <c r="H172">
        <v>11.5</v>
      </c>
    </row>
    <row r="173" spans="1:8" x14ac:dyDescent="0.3">
      <c r="A173" s="336" t="s">
        <v>892</v>
      </c>
      <c r="B173">
        <v>0</v>
      </c>
      <c r="C173" s="336" t="s">
        <v>893</v>
      </c>
      <c r="D173">
        <v>17.5</v>
      </c>
      <c r="E173" s="336" t="s">
        <v>894</v>
      </c>
      <c r="F173">
        <v>14</v>
      </c>
      <c r="G173" s="336" t="s">
        <v>895</v>
      </c>
      <c r="H173">
        <v>24.5</v>
      </c>
    </row>
    <row r="174" spans="1:8" x14ac:dyDescent="0.3">
      <c r="A174" s="336" t="s">
        <v>896</v>
      </c>
      <c r="B174">
        <v>1.5</v>
      </c>
      <c r="C174" s="336" t="s">
        <v>897</v>
      </c>
      <c r="D174">
        <v>2</v>
      </c>
      <c r="E174" s="336" t="s">
        <v>898</v>
      </c>
      <c r="F174">
        <v>13</v>
      </c>
      <c r="G174" s="336" t="s">
        <v>899</v>
      </c>
      <c r="H174">
        <v>2.5</v>
      </c>
    </row>
    <row r="175" spans="1:8" x14ac:dyDescent="0.3">
      <c r="A175" s="336" t="s">
        <v>900</v>
      </c>
      <c r="B175">
        <v>0</v>
      </c>
      <c r="C175" s="336" t="s">
        <v>901</v>
      </c>
      <c r="D175">
        <v>8</v>
      </c>
      <c r="E175" s="336" t="s">
        <v>902</v>
      </c>
      <c r="F175">
        <v>4.5</v>
      </c>
      <c r="G175" s="336" t="s">
        <v>903</v>
      </c>
      <c r="H175">
        <v>8.5</v>
      </c>
    </row>
    <row r="176" spans="1:8" x14ac:dyDescent="0.3">
      <c r="A176" s="336" t="s">
        <v>904</v>
      </c>
      <c r="B176">
        <v>0</v>
      </c>
      <c r="C176" s="336" t="s">
        <v>905</v>
      </c>
      <c r="D176">
        <v>12.5</v>
      </c>
      <c r="E176" s="336" t="s">
        <v>906</v>
      </c>
      <c r="F176">
        <v>2</v>
      </c>
      <c r="G176" s="336" t="s">
        <v>907</v>
      </c>
      <c r="H176">
        <v>2.5</v>
      </c>
    </row>
    <row r="177" spans="1:8" x14ac:dyDescent="0.3">
      <c r="A177" s="336" t="s">
        <v>908</v>
      </c>
      <c r="B177">
        <v>0</v>
      </c>
      <c r="C177" s="336" t="s">
        <v>909</v>
      </c>
      <c r="D177">
        <v>1.8</v>
      </c>
      <c r="E177" s="336" t="s">
        <v>910</v>
      </c>
      <c r="F177">
        <v>78</v>
      </c>
      <c r="G177" s="336" t="s">
        <v>911</v>
      </c>
      <c r="H177">
        <v>2</v>
      </c>
    </row>
    <row r="178" spans="1:8" x14ac:dyDescent="0.3">
      <c r="A178" s="336" t="s">
        <v>912</v>
      </c>
      <c r="B178">
        <v>0</v>
      </c>
      <c r="C178" s="336" t="s">
        <v>913</v>
      </c>
      <c r="D178">
        <v>0</v>
      </c>
      <c r="E178" s="336" t="s">
        <v>914</v>
      </c>
      <c r="F178">
        <v>0</v>
      </c>
      <c r="G178" s="336" t="s">
        <v>915</v>
      </c>
      <c r="H178">
        <v>0.2</v>
      </c>
    </row>
    <row r="179" spans="1:8" x14ac:dyDescent="0.3">
      <c r="A179" s="336" t="s">
        <v>916</v>
      </c>
      <c r="B179">
        <v>1.5</v>
      </c>
      <c r="C179" s="336" t="s">
        <v>917</v>
      </c>
      <c r="D179">
        <v>5.5</v>
      </c>
      <c r="E179" s="336" t="s">
        <v>918</v>
      </c>
      <c r="F179">
        <v>7.5</v>
      </c>
      <c r="G179" s="336" t="s">
        <v>919</v>
      </c>
      <c r="H179">
        <v>2</v>
      </c>
    </row>
    <row r="180" spans="1:8" x14ac:dyDescent="0.3">
      <c r="A180" s="336" t="s">
        <v>920</v>
      </c>
      <c r="B180">
        <v>2.5</v>
      </c>
      <c r="C180" s="336" t="s">
        <v>921</v>
      </c>
      <c r="D180">
        <v>1.5</v>
      </c>
      <c r="E180" s="336" t="s">
        <v>922</v>
      </c>
      <c r="F180">
        <v>3</v>
      </c>
      <c r="G180" s="336" t="s">
        <v>923</v>
      </c>
      <c r="H180">
        <v>4.5</v>
      </c>
    </row>
    <row r="181" spans="1:8" x14ac:dyDescent="0.3">
      <c r="A181" s="336" t="s">
        <v>924</v>
      </c>
      <c r="B181">
        <v>35</v>
      </c>
      <c r="C181" s="336" t="s">
        <v>925</v>
      </c>
      <c r="D181">
        <v>5</v>
      </c>
      <c r="E181" s="336" t="s">
        <v>926</v>
      </c>
      <c r="F181">
        <v>0.5</v>
      </c>
      <c r="G181" s="336" t="s">
        <v>927</v>
      </c>
      <c r="H181">
        <v>40.5</v>
      </c>
    </row>
    <row r="182" spans="1:8" x14ac:dyDescent="0.3">
      <c r="A182" s="337" t="s">
        <v>928</v>
      </c>
      <c r="B182" s="338">
        <v>75.5</v>
      </c>
      <c r="C182" s="337" t="s">
        <v>929</v>
      </c>
      <c r="D182" s="338">
        <v>2</v>
      </c>
      <c r="E182" s="337" t="s">
        <v>930</v>
      </c>
      <c r="F182" s="338">
        <v>30.5</v>
      </c>
      <c r="G182" s="337" t="s">
        <v>931</v>
      </c>
      <c r="H182">
        <v>18</v>
      </c>
    </row>
    <row r="183" spans="1:8" x14ac:dyDescent="0.3">
      <c r="A183" s="336" t="s">
        <v>932</v>
      </c>
      <c r="B183">
        <v>32</v>
      </c>
      <c r="C183" s="336" t="s">
        <v>933</v>
      </c>
      <c r="D183">
        <v>0</v>
      </c>
      <c r="E183" s="336" t="s">
        <v>934</v>
      </c>
      <c r="F183">
        <v>1</v>
      </c>
      <c r="G183" s="336" t="s">
        <v>935</v>
      </c>
      <c r="H183">
        <v>40.5</v>
      </c>
    </row>
    <row r="184" spans="1:8" x14ac:dyDescent="0.3">
      <c r="A184" s="336" t="s">
        <v>936</v>
      </c>
      <c r="B184">
        <v>4</v>
      </c>
      <c r="C184" s="336" t="s">
        <v>937</v>
      </c>
      <c r="D184">
        <v>0</v>
      </c>
      <c r="E184" s="336" t="s">
        <v>938</v>
      </c>
      <c r="F184">
        <v>39.5</v>
      </c>
      <c r="G184" s="336" t="s">
        <v>939</v>
      </c>
      <c r="H184">
        <v>5</v>
      </c>
    </row>
    <row r="185" spans="1:8" x14ac:dyDescent="0.3">
      <c r="A185" s="336" t="s">
        <v>940</v>
      </c>
      <c r="B185">
        <v>88.5</v>
      </c>
      <c r="C185" s="336" t="s">
        <v>941</v>
      </c>
      <c r="D185">
        <v>0</v>
      </c>
      <c r="E185" s="336" t="s">
        <v>942</v>
      </c>
      <c r="F185">
        <v>47</v>
      </c>
      <c r="G185" s="336" t="s">
        <v>943</v>
      </c>
      <c r="H185">
        <v>4</v>
      </c>
    </row>
    <row r="186" spans="1:8" x14ac:dyDescent="0.3">
      <c r="A186" s="336" t="s">
        <v>944</v>
      </c>
      <c r="B186">
        <v>6.5</v>
      </c>
      <c r="C186" s="336" t="s">
        <v>945</v>
      </c>
      <c r="D186">
        <v>0</v>
      </c>
      <c r="E186" s="336" t="s">
        <v>946</v>
      </c>
      <c r="F186">
        <v>3.5</v>
      </c>
      <c r="G186" s="336" t="s">
        <v>947</v>
      </c>
      <c r="H186">
        <v>39</v>
      </c>
    </row>
    <row r="187" spans="1:8" x14ac:dyDescent="0.3">
      <c r="A187" s="336" t="s">
        <v>948</v>
      </c>
      <c r="B187">
        <v>11</v>
      </c>
      <c r="C187" s="336" t="s">
        <v>949</v>
      </c>
      <c r="D187">
        <v>0</v>
      </c>
      <c r="E187" s="336" t="s">
        <v>950</v>
      </c>
      <c r="F187">
        <v>22.5</v>
      </c>
      <c r="G187" s="336" t="s">
        <v>951</v>
      </c>
      <c r="H187">
        <v>4.5</v>
      </c>
    </row>
    <row r="188" spans="1:8" x14ac:dyDescent="0.3">
      <c r="A188" s="336" t="s">
        <v>952</v>
      </c>
      <c r="B188">
        <v>32.5</v>
      </c>
      <c r="C188" s="336" t="s">
        <v>953</v>
      </c>
      <c r="D188">
        <v>0</v>
      </c>
      <c r="E188" s="336" t="s">
        <v>954</v>
      </c>
      <c r="F188">
        <v>3</v>
      </c>
      <c r="G188" s="336" t="s">
        <v>955</v>
      </c>
      <c r="H188">
        <v>17.5</v>
      </c>
    </row>
    <row r="189" spans="1:8" x14ac:dyDescent="0.3">
      <c r="A189" s="336" t="s">
        <v>956</v>
      </c>
      <c r="B189">
        <v>15</v>
      </c>
      <c r="C189" s="336" t="s">
        <v>957</v>
      </c>
      <c r="D189">
        <v>0</v>
      </c>
      <c r="E189" s="336" t="s">
        <v>958</v>
      </c>
      <c r="F189">
        <v>0</v>
      </c>
      <c r="G189" s="336" t="s">
        <v>959</v>
      </c>
      <c r="H189">
        <v>0.5</v>
      </c>
    </row>
    <row r="190" spans="1:8" x14ac:dyDescent="0.3">
      <c r="A190" s="336" t="s">
        <v>960</v>
      </c>
      <c r="B190">
        <v>2</v>
      </c>
      <c r="C190" s="336" t="s">
        <v>961</v>
      </c>
      <c r="D190">
        <v>0</v>
      </c>
      <c r="E190" s="336" t="s">
        <v>962</v>
      </c>
      <c r="F190">
        <v>0</v>
      </c>
      <c r="G190" s="336" t="s">
        <v>963</v>
      </c>
      <c r="H190">
        <v>13</v>
      </c>
    </row>
    <row r="191" spans="1:8" x14ac:dyDescent="0.3">
      <c r="A191" s="336" t="s">
        <v>964</v>
      </c>
      <c r="B191">
        <v>10</v>
      </c>
      <c r="C191" s="336" t="s">
        <v>965</v>
      </c>
      <c r="D191">
        <v>1</v>
      </c>
      <c r="E191" s="336" t="s">
        <v>966</v>
      </c>
      <c r="F191">
        <v>0</v>
      </c>
      <c r="G191" s="336" t="s">
        <v>967</v>
      </c>
      <c r="H191">
        <v>0.2</v>
      </c>
    </row>
    <row r="192" spans="1:8" x14ac:dyDescent="0.3">
      <c r="A192" s="336" t="s">
        <v>968</v>
      </c>
      <c r="B192">
        <v>2</v>
      </c>
      <c r="C192" s="336" t="s">
        <v>969</v>
      </c>
      <c r="D192">
        <v>0.5</v>
      </c>
      <c r="E192" s="336" t="s">
        <v>970</v>
      </c>
      <c r="F192">
        <v>0</v>
      </c>
      <c r="G192" s="336" t="s">
        <v>971</v>
      </c>
      <c r="H192">
        <v>3.5</v>
      </c>
    </row>
    <row r="193" spans="1:8" x14ac:dyDescent="0.3">
      <c r="A193" s="336" t="s">
        <v>972</v>
      </c>
      <c r="B193">
        <v>85</v>
      </c>
      <c r="C193" s="336" t="s">
        <v>973</v>
      </c>
      <c r="D193">
        <v>0</v>
      </c>
      <c r="E193" s="336" t="s">
        <v>974</v>
      </c>
      <c r="F193">
        <v>0</v>
      </c>
      <c r="G193" s="336" t="s">
        <v>975</v>
      </c>
      <c r="H193">
        <v>3</v>
      </c>
    </row>
    <row r="194" spans="1:8" x14ac:dyDescent="0.3">
      <c r="A194" s="336" t="s">
        <v>976</v>
      </c>
      <c r="B194">
        <v>46</v>
      </c>
      <c r="C194" s="336" t="s">
        <v>977</v>
      </c>
      <c r="D194">
        <v>4</v>
      </c>
      <c r="E194" s="336" t="s">
        <v>978</v>
      </c>
      <c r="F194">
        <v>12.5</v>
      </c>
      <c r="G194" s="336" t="s">
        <v>979</v>
      </c>
      <c r="H194">
        <v>40</v>
      </c>
    </row>
    <row r="195" spans="1:8" x14ac:dyDescent="0.3">
      <c r="A195" s="336" t="s">
        <v>980</v>
      </c>
      <c r="B195">
        <v>4.5</v>
      </c>
      <c r="C195" s="336" t="s">
        <v>981</v>
      </c>
      <c r="D195">
        <v>0</v>
      </c>
      <c r="E195" s="336" t="s">
        <v>982</v>
      </c>
      <c r="F195">
        <v>7</v>
      </c>
      <c r="G195" s="336" t="s">
        <v>983</v>
      </c>
      <c r="H195">
        <v>42</v>
      </c>
    </row>
    <row r="196" spans="1:8" x14ac:dyDescent="0.3">
      <c r="A196" s="336" t="s">
        <v>984</v>
      </c>
      <c r="B196">
        <v>0</v>
      </c>
      <c r="C196" s="336" t="s">
        <v>985</v>
      </c>
      <c r="D196">
        <v>0</v>
      </c>
      <c r="E196" s="336" t="s">
        <v>986</v>
      </c>
      <c r="F196">
        <v>16</v>
      </c>
      <c r="G196" s="336" t="s">
        <v>987</v>
      </c>
      <c r="H196">
        <v>8</v>
      </c>
    </row>
    <row r="197" spans="1:8" x14ac:dyDescent="0.3">
      <c r="A197" s="336" t="s">
        <v>988</v>
      </c>
      <c r="B197">
        <v>17.5</v>
      </c>
      <c r="C197" s="336" t="s">
        <v>989</v>
      </c>
      <c r="D197">
        <v>8.5</v>
      </c>
      <c r="E197" s="336" t="s">
        <v>990</v>
      </c>
      <c r="F197">
        <v>12</v>
      </c>
      <c r="G197" s="336" t="s">
        <v>991</v>
      </c>
      <c r="H197">
        <v>50.5</v>
      </c>
    </row>
    <row r="198" spans="1:8" x14ac:dyDescent="0.3">
      <c r="A198" s="336" t="s">
        <v>992</v>
      </c>
      <c r="B198">
        <v>2</v>
      </c>
      <c r="C198" s="336" t="s">
        <v>993</v>
      </c>
      <c r="D198">
        <v>25</v>
      </c>
      <c r="E198" s="336" t="s">
        <v>994</v>
      </c>
      <c r="F198">
        <v>0</v>
      </c>
      <c r="G198" s="336" t="s">
        <v>995</v>
      </c>
      <c r="H198">
        <v>52</v>
      </c>
    </row>
    <row r="199" spans="1:8" x14ac:dyDescent="0.3">
      <c r="A199" s="336" t="s">
        <v>996</v>
      </c>
      <c r="B199">
        <v>8</v>
      </c>
      <c r="C199" s="336" t="s">
        <v>997</v>
      </c>
      <c r="D199">
        <v>1.5</v>
      </c>
      <c r="E199" s="336" t="s">
        <v>998</v>
      </c>
      <c r="F199">
        <v>0</v>
      </c>
      <c r="G199" s="336" t="s">
        <v>999</v>
      </c>
      <c r="H199">
        <v>31</v>
      </c>
    </row>
    <row r="200" spans="1:8" x14ac:dyDescent="0.3">
      <c r="A200" s="336" t="s">
        <v>1000</v>
      </c>
      <c r="B200">
        <v>12.5</v>
      </c>
      <c r="C200" s="336" t="s">
        <v>1001</v>
      </c>
      <c r="D200">
        <v>1.5</v>
      </c>
      <c r="E200" s="336" t="s">
        <v>1002</v>
      </c>
      <c r="F200">
        <v>7</v>
      </c>
      <c r="G200" s="336" t="s">
        <v>1003</v>
      </c>
      <c r="H200">
        <v>15.5</v>
      </c>
    </row>
    <row r="201" spans="1:8" x14ac:dyDescent="0.3">
      <c r="A201" s="336" t="s">
        <v>1004</v>
      </c>
      <c r="B201">
        <v>1.8</v>
      </c>
      <c r="C201" s="336" t="s">
        <v>1005</v>
      </c>
      <c r="D201">
        <v>9</v>
      </c>
      <c r="E201" s="336" t="s">
        <v>1006</v>
      </c>
      <c r="F201">
        <v>2.5</v>
      </c>
      <c r="G201" s="336" t="s">
        <v>1007</v>
      </c>
      <c r="H201">
        <v>2</v>
      </c>
    </row>
    <row r="202" spans="1:8" x14ac:dyDescent="0.3">
      <c r="A202" s="336" t="s">
        <v>1008</v>
      </c>
      <c r="B202">
        <v>0</v>
      </c>
      <c r="C202" s="336" t="s">
        <v>1009</v>
      </c>
      <c r="D202">
        <v>0</v>
      </c>
      <c r="E202" s="336" t="s">
        <v>1010</v>
      </c>
      <c r="F202">
        <v>4</v>
      </c>
      <c r="G202" s="336" t="s">
        <v>1011</v>
      </c>
      <c r="H202">
        <v>1.5</v>
      </c>
    </row>
    <row r="203" spans="1:8" x14ac:dyDescent="0.3">
      <c r="A203" s="336" t="s">
        <v>1012</v>
      </c>
      <c r="B203">
        <v>5.5</v>
      </c>
      <c r="C203" s="336" t="s">
        <v>1013</v>
      </c>
      <c r="D203">
        <v>75</v>
      </c>
      <c r="E203" s="336" t="s">
        <v>1014</v>
      </c>
      <c r="F203">
        <v>14</v>
      </c>
      <c r="G203" s="336" t="s">
        <v>1015</v>
      </c>
      <c r="H203">
        <v>0</v>
      </c>
    </row>
    <row r="204" spans="1:8" x14ac:dyDescent="0.3">
      <c r="A204" s="336" t="s">
        <v>1016</v>
      </c>
      <c r="B204">
        <v>1.5</v>
      </c>
      <c r="C204" s="336" t="s">
        <v>1017</v>
      </c>
      <c r="D204">
        <v>1.5</v>
      </c>
      <c r="E204" s="336" t="s">
        <v>1018</v>
      </c>
      <c r="F204">
        <v>64.5</v>
      </c>
      <c r="G204" s="336" t="s">
        <v>1019</v>
      </c>
      <c r="H204">
        <v>0</v>
      </c>
    </row>
    <row r="205" spans="1:8" x14ac:dyDescent="0.3">
      <c r="A205" s="336" t="s">
        <v>1020</v>
      </c>
      <c r="B205">
        <v>5</v>
      </c>
      <c r="C205" s="336" t="s">
        <v>1021</v>
      </c>
      <c r="D205">
        <v>2.5</v>
      </c>
      <c r="E205" s="336" t="s">
        <v>1022</v>
      </c>
      <c r="F205">
        <v>5.5</v>
      </c>
      <c r="G205" s="336" t="s">
        <v>1023</v>
      </c>
      <c r="H205">
        <v>0.5</v>
      </c>
    </row>
    <row r="206" spans="1:8" x14ac:dyDescent="0.3">
      <c r="A206" s="336" t="s">
        <v>1024</v>
      </c>
      <c r="B206">
        <v>2</v>
      </c>
      <c r="C206" s="336" t="s">
        <v>1025</v>
      </c>
      <c r="D206">
        <v>0.5</v>
      </c>
      <c r="E206" s="336" t="s">
        <v>1026</v>
      </c>
      <c r="F206">
        <v>4.5</v>
      </c>
      <c r="G206" s="336" t="s">
        <v>1027</v>
      </c>
      <c r="H206">
        <v>2.5</v>
      </c>
    </row>
    <row r="207" spans="1:8" x14ac:dyDescent="0.3">
      <c r="A207" s="336" t="s">
        <v>1028</v>
      </c>
      <c r="B207">
        <v>0</v>
      </c>
      <c r="C207" s="336" t="s">
        <v>1029</v>
      </c>
      <c r="D207">
        <v>1</v>
      </c>
      <c r="E207" s="336" t="s">
        <v>1030</v>
      </c>
      <c r="F207">
        <v>1.5</v>
      </c>
      <c r="G207" s="336" t="s">
        <v>1031</v>
      </c>
      <c r="H207">
        <v>4</v>
      </c>
    </row>
    <row r="208" spans="1:8" x14ac:dyDescent="0.3">
      <c r="A208" s="336" t="s">
        <v>1032</v>
      </c>
      <c r="B208">
        <v>0</v>
      </c>
      <c r="C208" s="336" t="s">
        <v>1033</v>
      </c>
      <c r="D208">
        <v>0</v>
      </c>
      <c r="E208" s="336" t="s">
        <v>1034</v>
      </c>
      <c r="F208">
        <v>9.5</v>
      </c>
      <c r="G208" s="336" t="s">
        <v>1035</v>
      </c>
      <c r="H208">
        <v>0</v>
      </c>
    </row>
    <row r="209" spans="1:8" x14ac:dyDescent="0.3">
      <c r="A209" s="336" t="s">
        <v>1036</v>
      </c>
      <c r="B209">
        <v>0</v>
      </c>
      <c r="C209" s="336" t="s">
        <v>1037</v>
      </c>
      <c r="D209">
        <v>10</v>
      </c>
      <c r="E209" s="336" t="s">
        <v>1038</v>
      </c>
      <c r="F209">
        <v>127.5</v>
      </c>
      <c r="G209" s="336" t="s">
        <v>1039</v>
      </c>
      <c r="H209">
        <v>0.4</v>
      </c>
    </row>
    <row r="210" spans="1:8" x14ac:dyDescent="0.3">
      <c r="A210" s="336" t="s">
        <v>1040</v>
      </c>
      <c r="B210">
        <v>0</v>
      </c>
      <c r="C210" s="336" t="s">
        <v>1041</v>
      </c>
      <c r="D210">
        <v>19</v>
      </c>
      <c r="E210" s="336" t="s">
        <v>1042</v>
      </c>
      <c r="F210">
        <v>2</v>
      </c>
      <c r="G210" s="336" t="s">
        <v>1043</v>
      </c>
      <c r="H210">
        <v>0.5</v>
      </c>
    </row>
    <row r="211" spans="1:8" x14ac:dyDescent="0.3">
      <c r="A211" s="336" t="s">
        <v>1044</v>
      </c>
      <c r="B211">
        <v>0</v>
      </c>
      <c r="C211" s="336" t="s">
        <v>1045</v>
      </c>
      <c r="D211">
        <v>27.5</v>
      </c>
      <c r="E211" s="336" t="s">
        <v>1046</v>
      </c>
      <c r="F211">
        <v>22</v>
      </c>
      <c r="G211" s="336" t="s">
        <v>1047</v>
      </c>
      <c r="H211">
        <v>16</v>
      </c>
    </row>
    <row r="212" spans="1:8" x14ac:dyDescent="0.3">
      <c r="A212" s="336" t="s">
        <v>1048</v>
      </c>
      <c r="B212">
        <v>0</v>
      </c>
      <c r="C212" s="336" t="s">
        <v>1049</v>
      </c>
      <c r="D212">
        <v>27</v>
      </c>
      <c r="E212" s="336" t="s">
        <v>1050</v>
      </c>
      <c r="F212">
        <v>0.5</v>
      </c>
      <c r="G212" s="336" t="s">
        <v>1051</v>
      </c>
      <c r="H212">
        <v>1.5</v>
      </c>
    </row>
    <row r="213" spans="1:8" x14ac:dyDescent="0.3">
      <c r="A213" s="337" t="s">
        <v>1052</v>
      </c>
      <c r="B213" s="338">
        <v>0</v>
      </c>
      <c r="C213" s="337" t="s">
        <v>1053</v>
      </c>
      <c r="D213" s="338">
        <v>9.5</v>
      </c>
      <c r="E213" s="337" t="s">
        <v>1054</v>
      </c>
      <c r="F213" s="338">
        <v>25.5</v>
      </c>
      <c r="G213" s="337" t="s">
        <v>1055</v>
      </c>
      <c r="H213">
        <v>1</v>
      </c>
    </row>
    <row r="214" spans="1:8" x14ac:dyDescent="0.3">
      <c r="A214" s="336" t="s">
        <v>1056</v>
      </c>
      <c r="B214">
        <v>0</v>
      </c>
      <c r="C214" s="336" t="s">
        <v>1057</v>
      </c>
      <c r="D214">
        <v>0</v>
      </c>
      <c r="E214" s="336" t="s">
        <v>1058</v>
      </c>
      <c r="F214">
        <v>9.5</v>
      </c>
      <c r="G214" s="336" t="s">
        <v>1059</v>
      </c>
      <c r="H214">
        <v>2.5</v>
      </c>
    </row>
    <row r="215" spans="1:8" x14ac:dyDescent="0.3">
      <c r="A215" s="336" t="s">
        <v>1060</v>
      </c>
      <c r="B215">
        <v>1</v>
      </c>
      <c r="C215" s="336" t="s">
        <v>1061</v>
      </c>
      <c r="D215">
        <v>1.5</v>
      </c>
      <c r="E215" s="336" t="s">
        <v>1062</v>
      </c>
      <c r="F215">
        <v>19.5</v>
      </c>
      <c r="G215" s="336" t="s">
        <v>1063</v>
      </c>
      <c r="H215">
        <v>0.4</v>
      </c>
    </row>
    <row r="216" spans="1:8" x14ac:dyDescent="0.3">
      <c r="A216" s="336" t="s">
        <v>1064</v>
      </c>
      <c r="B216">
        <v>0.5</v>
      </c>
      <c r="C216" s="336" t="s">
        <v>1065</v>
      </c>
      <c r="D216">
        <v>4.5</v>
      </c>
      <c r="E216" s="336" t="s">
        <v>1066</v>
      </c>
      <c r="F216">
        <v>3</v>
      </c>
      <c r="G216" s="336" t="s">
        <v>1067</v>
      </c>
      <c r="H216">
        <v>2</v>
      </c>
    </row>
    <row r="217" spans="1:8" x14ac:dyDescent="0.3">
      <c r="A217" s="336" t="s">
        <v>1068</v>
      </c>
      <c r="B217">
        <v>0</v>
      </c>
      <c r="C217" s="336" t="s">
        <v>1069</v>
      </c>
      <c r="D217">
        <v>9</v>
      </c>
      <c r="E217" s="336" t="s">
        <v>1070</v>
      </c>
      <c r="F217">
        <v>4.5</v>
      </c>
      <c r="G217" s="336" t="s">
        <v>1071</v>
      </c>
      <c r="H217">
        <v>0</v>
      </c>
    </row>
    <row r="218" spans="1:8" x14ac:dyDescent="0.3">
      <c r="A218" s="336" t="s">
        <v>1072</v>
      </c>
      <c r="B218">
        <v>4</v>
      </c>
      <c r="C218" s="336" t="s">
        <v>1073</v>
      </c>
      <c r="D218">
        <v>0.5</v>
      </c>
      <c r="E218" s="336" t="s">
        <v>1074</v>
      </c>
      <c r="F218">
        <v>1.5</v>
      </c>
      <c r="G218" s="336" t="s">
        <v>1075</v>
      </c>
      <c r="H218">
        <v>0</v>
      </c>
    </row>
    <row r="219" spans="1:8" x14ac:dyDescent="0.3">
      <c r="A219" s="336" t="s">
        <v>1076</v>
      </c>
      <c r="B219">
        <v>0</v>
      </c>
      <c r="C219" s="336" t="s">
        <v>1077</v>
      </c>
      <c r="D219">
        <v>0</v>
      </c>
      <c r="E219" s="336" t="s">
        <v>1078</v>
      </c>
      <c r="F219">
        <v>24.5</v>
      </c>
      <c r="G219" s="336" t="s">
        <v>1079</v>
      </c>
      <c r="H219">
        <v>2</v>
      </c>
    </row>
    <row r="220" spans="1:8" x14ac:dyDescent="0.3">
      <c r="A220" s="336" t="s">
        <v>1080</v>
      </c>
      <c r="B220">
        <v>0</v>
      </c>
      <c r="C220" s="336" t="s">
        <v>1081</v>
      </c>
      <c r="D220">
        <v>0</v>
      </c>
      <c r="E220" s="336" t="s">
        <v>1082</v>
      </c>
      <c r="F220">
        <v>6</v>
      </c>
      <c r="G220" s="336" t="s">
        <v>1083</v>
      </c>
      <c r="H220">
        <v>6.5</v>
      </c>
    </row>
    <row r="221" spans="1:8" x14ac:dyDescent="0.3">
      <c r="A221" s="336" t="s">
        <v>1084</v>
      </c>
      <c r="B221">
        <v>8.5</v>
      </c>
      <c r="C221" s="336" t="s">
        <v>1085</v>
      </c>
      <c r="D221">
        <v>0</v>
      </c>
      <c r="E221" s="336" t="s">
        <v>1086</v>
      </c>
      <c r="F221">
        <v>0.5</v>
      </c>
      <c r="G221" s="336" t="s">
        <v>1087</v>
      </c>
      <c r="H221">
        <v>20</v>
      </c>
    </row>
    <row r="222" spans="1:8" x14ac:dyDescent="0.3">
      <c r="A222" s="336" t="s">
        <v>1088</v>
      </c>
      <c r="B222">
        <v>25</v>
      </c>
      <c r="C222" s="336" t="s">
        <v>1089</v>
      </c>
      <c r="D222">
        <v>0</v>
      </c>
      <c r="E222" s="336" t="s">
        <v>1090</v>
      </c>
      <c r="F222">
        <v>0</v>
      </c>
      <c r="G222" s="336" t="s">
        <v>1091</v>
      </c>
      <c r="H222">
        <v>0</v>
      </c>
    </row>
    <row r="223" spans="1:8" x14ac:dyDescent="0.3">
      <c r="A223" s="336" t="s">
        <v>1092</v>
      </c>
      <c r="B223">
        <v>1.5</v>
      </c>
      <c r="C223" s="336" t="s">
        <v>1093</v>
      </c>
      <c r="D223">
        <v>0</v>
      </c>
      <c r="E223" s="336" t="s">
        <v>1094</v>
      </c>
      <c r="F223">
        <v>0</v>
      </c>
      <c r="G223" s="336" t="s">
        <v>1095</v>
      </c>
      <c r="H223">
        <v>1.5</v>
      </c>
    </row>
    <row r="224" spans="1:8" x14ac:dyDescent="0.3">
      <c r="A224" s="336" t="s">
        <v>1096</v>
      </c>
      <c r="B224">
        <v>1.5</v>
      </c>
      <c r="C224" s="336" t="s">
        <v>1097</v>
      </c>
      <c r="D224">
        <v>0</v>
      </c>
      <c r="E224" s="336" t="s">
        <v>1098</v>
      </c>
      <c r="F224">
        <v>0</v>
      </c>
      <c r="G224" s="336" t="s">
        <v>1099</v>
      </c>
      <c r="H224">
        <v>35</v>
      </c>
    </row>
    <row r="225" spans="1:8" x14ac:dyDescent="0.3">
      <c r="A225" s="336" t="s">
        <v>1100</v>
      </c>
      <c r="B225">
        <v>9</v>
      </c>
      <c r="C225" s="336" t="s">
        <v>1101</v>
      </c>
      <c r="D225">
        <v>0</v>
      </c>
      <c r="E225" s="336" t="s">
        <v>1102</v>
      </c>
      <c r="F225">
        <v>2.4</v>
      </c>
      <c r="G225" s="336" t="s">
        <v>1103</v>
      </c>
      <c r="H225">
        <v>20</v>
      </c>
    </row>
    <row r="226" spans="1:8" x14ac:dyDescent="0.3">
      <c r="A226" s="336" t="s">
        <v>1104</v>
      </c>
      <c r="B226">
        <v>0</v>
      </c>
      <c r="C226" s="336" t="s">
        <v>1105</v>
      </c>
      <c r="D226">
        <v>0</v>
      </c>
      <c r="E226" s="336" t="s">
        <v>1106</v>
      </c>
      <c r="F226">
        <v>32</v>
      </c>
      <c r="G226" s="336" t="s">
        <v>1107</v>
      </c>
      <c r="H226">
        <v>21.5</v>
      </c>
    </row>
    <row r="227" spans="1:8" x14ac:dyDescent="0.3">
      <c r="A227" s="336" t="s">
        <v>1108</v>
      </c>
      <c r="B227">
        <v>75</v>
      </c>
      <c r="C227" s="336" t="s">
        <v>1109</v>
      </c>
      <c r="D227">
        <v>0</v>
      </c>
      <c r="E227" s="336" t="s">
        <v>1110</v>
      </c>
      <c r="F227">
        <v>0</v>
      </c>
      <c r="G227" s="336" t="s">
        <v>1111</v>
      </c>
      <c r="H227">
        <v>65.5</v>
      </c>
    </row>
    <row r="228" spans="1:8" x14ac:dyDescent="0.3">
      <c r="A228" s="336" t="s">
        <v>1112</v>
      </c>
      <c r="B228">
        <v>1.5</v>
      </c>
      <c r="C228" s="336" t="s">
        <v>1113</v>
      </c>
      <c r="D228">
        <v>0</v>
      </c>
      <c r="E228" s="336" t="s">
        <v>1114</v>
      </c>
      <c r="F228">
        <v>1</v>
      </c>
      <c r="G228" s="336" t="s">
        <v>1115</v>
      </c>
      <c r="H228">
        <v>155.5</v>
      </c>
    </row>
    <row r="229" spans="1:8" x14ac:dyDescent="0.3">
      <c r="A229" s="336" t="s">
        <v>1116</v>
      </c>
      <c r="B229">
        <v>2.5</v>
      </c>
      <c r="C229" s="336" t="s">
        <v>1117</v>
      </c>
      <c r="D229">
        <v>0</v>
      </c>
      <c r="E229" s="336" t="s">
        <v>1118</v>
      </c>
      <c r="F229">
        <v>1</v>
      </c>
      <c r="G229" s="336" t="s">
        <v>1119</v>
      </c>
      <c r="H229">
        <v>64</v>
      </c>
    </row>
    <row r="230" spans="1:8" x14ac:dyDescent="0.3">
      <c r="A230" s="336" t="s">
        <v>1120</v>
      </c>
      <c r="B230">
        <v>0.5</v>
      </c>
      <c r="C230" s="336" t="s">
        <v>1121</v>
      </c>
      <c r="D230">
        <v>0</v>
      </c>
      <c r="E230" s="336" t="s">
        <v>1122</v>
      </c>
      <c r="F230">
        <v>0</v>
      </c>
      <c r="G230" s="336" t="s">
        <v>1123</v>
      </c>
      <c r="H230">
        <v>11</v>
      </c>
    </row>
    <row r="231" spans="1:8" x14ac:dyDescent="0.3">
      <c r="A231" s="336" t="s">
        <v>1124</v>
      </c>
      <c r="B231">
        <v>1</v>
      </c>
      <c r="C231" s="336" t="s">
        <v>1125</v>
      </c>
      <c r="D231">
        <v>1.5</v>
      </c>
      <c r="E231" s="336" t="s">
        <v>1126</v>
      </c>
      <c r="F231">
        <v>0</v>
      </c>
      <c r="G231" s="336" t="s">
        <v>1127</v>
      </c>
      <c r="H231">
        <v>13</v>
      </c>
    </row>
    <row r="232" spans="1:8" x14ac:dyDescent="0.3">
      <c r="A232" s="336" t="s">
        <v>1128</v>
      </c>
      <c r="B232">
        <v>0</v>
      </c>
      <c r="C232" s="336" t="s">
        <v>1129</v>
      </c>
      <c r="D232">
        <v>0</v>
      </c>
      <c r="E232" s="336" t="s">
        <v>1130</v>
      </c>
      <c r="F232">
        <v>0</v>
      </c>
      <c r="G232" s="336" t="s">
        <v>1131</v>
      </c>
      <c r="H232">
        <v>10.5</v>
      </c>
    </row>
    <row r="233" spans="1:8" x14ac:dyDescent="0.3">
      <c r="A233" s="336" t="s">
        <v>1132</v>
      </c>
      <c r="B233">
        <v>10</v>
      </c>
      <c r="C233" s="336" t="s">
        <v>1133</v>
      </c>
      <c r="D233">
        <v>0</v>
      </c>
      <c r="E233" s="336" t="s">
        <v>1134</v>
      </c>
      <c r="F233">
        <v>0</v>
      </c>
      <c r="G233" s="336" t="s">
        <v>1135</v>
      </c>
      <c r="H233">
        <v>2.2000000000000002</v>
      </c>
    </row>
    <row r="234" spans="1:8" x14ac:dyDescent="0.3">
      <c r="A234" s="336" t="s">
        <v>1136</v>
      </c>
      <c r="B234">
        <v>19</v>
      </c>
      <c r="C234" s="336" t="s">
        <v>1137</v>
      </c>
      <c r="D234">
        <v>0</v>
      </c>
      <c r="E234" s="336" t="s">
        <v>1138</v>
      </c>
      <c r="F234">
        <v>0</v>
      </c>
      <c r="G234" s="336" t="s">
        <v>1139</v>
      </c>
      <c r="H234">
        <v>37</v>
      </c>
    </row>
    <row r="235" spans="1:8" x14ac:dyDescent="0.3">
      <c r="A235" s="336" t="s">
        <v>1140</v>
      </c>
      <c r="B235">
        <v>27.5</v>
      </c>
      <c r="C235" s="336" t="s">
        <v>1141</v>
      </c>
      <c r="D235">
        <v>0</v>
      </c>
      <c r="E235" s="336" t="s">
        <v>1142</v>
      </c>
      <c r="F235">
        <v>5.5</v>
      </c>
      <c r="G235" s="336" t="s">
        <v>1143</v>
      </c>
      <c r="H235">
        <v>15.5</v>
      </c>
    </row>
    <row r="236" spans="1:8" x14ac:dyDescent="0.3">
      <c r="A236" s="336" t="s">
        <v>1144</v>
      </c>
      <c r="B236">
        <v>27</v>
      </c>
      <c r="C236" s="336" t="s">
        <v>1145</v>
      </c>
      <c r="D236">
        <v>0</v>
      </c>
      <c r="E236" s="336" t="s">
        <v>1146</v>
      </c>
      <c r="F236">
        <v>0</v>
      </c>
      <c r="G236" s="336" t="s">
        <v>1147</v>
      </c>
      <c r="H236">
        <v>38.5</v>
      </c>
    </row>
    <row r="237" spans="1:8" x14ac:dyDescent="0.3">
      <c r="A237" s="336" t="s">
        <v>1148</v>
      </c>
      <c r="B237">
        <v>9.5</v>
      </c>
      <c r="C237" s="336" t="s">
        <v>1149</v>
      </c>
      <c r="D237">
        <v>0</v>
      </c>
      <c r="E237" s="336" t="s">
        <v>1150</v>
      </c>
      <c r="F237">
        <v>0</v>
      </c>
      <c r="G237" s="336" t="s">
        <v>1151</v>
      </c>
      <c r="H237">
        <v>10.199999999999999</v>
      </c>
    </row>
    <row r="238" spans="1:8" x14ac:dyDescent="0.3">
      <c r="A238" s="336" t="s">
        <v>1152</v>
      </c>
      <c r="B238">
        <v>0</v>
      </c>
      <c r="C238" s="336" t="s">
        <v>1153</v>
      </c>
      <c r="D238">
        <v>0</v>
      </c>
      <c r="E238" s="336" t="s">
        <v>1154</v>
      </c>
      <c r="F238">
        <v>0</v>
      </c>
      <c r="G238" s="336" t="s">
        <v>1155</v>
      </c>
      <c r="H238">
        <v>40</v>
      </c>
    </row>
    <row r="239" spans="1:8" x14ac:dyDescent="0.3">
      <c r="A239" s="336" t="s">
        <v>1156</v>
      </c>
      <c r="B239">
        <v>1.5</v>
      </c>
      <c r="C239" s="336" t="s">
        <v>1157</v>
      </c>
      <c r="D239">
        <v>0</v>
      </c>
      <c r="E239" s="336" t="s">
        <v>1158</v>
      </c>
      <c r="F239">
        <v>3</v>
      </c>
      <c r="G239" s="336" t="s">
        <v>1159</v>
      </c>
      <c r="H239">
        <v>6</v>
      </c>
    </row>
    <row r="240" spans="1:8" x14ac:dyDescent="0.3">
      <c r="A240" s="336" t="s">
        <v>1160</v>
      </c>
      <c r="B240">
        <v>4.5</v>
      </c>
      <c r="C240" s="336" t="s">
        <v>1161</v>
      </c>
      <c r="D240">
        <v>5.5</v>
      </c>
      <c r="E240" s="336" t="s">
        <v>1162</v>
      </c>
      <c r="F240">
        <v>0</v>
      </c>
      <c r="G240" s="336" t="s">
        <v>1163</v>
      </c>
      <c r="H240">
        <v>4</v>
      </c>
    </row>
    <row r="241" spans="1:8" x14ac:dyDescent="0.3">
      <c r="A241" s="336" t="s">
        <v>1164</v>
      </c>
      <c r="B241">
        <v>9</v>
      </c>
      <c r="C241" s="336" t="s">
        <v>1165</v>
      </c>
      <c r="D241">
        <v>3</v>
      </c>
      <c r="E241" s="336" t="s">
        <v>1166</v>
      </c>
      <c r="F241">
        <v>0</v>
      </c>
      <c r="G241" s="336" t="s">
        <v>1167</v>
      </c>
      <c r="H241">
        <v>20</v>
      </c>
    </row>
    <row r="242" spans="1:8" x14ac:dyDescent="0.3">
      <c r="A242" s="336" t="s">
        <v>1168</v>
      </c>
      <c r="B242">
        <v>0.5</v>
      </c>
      <c r="C242" s="336" t="s">
        <v>1169</v>
      </c>
      <c r="D242">
        <v>0</v>
      </c>
      <c r="E242" s="336" t="s">
        <v>1170</v>
      </c>
      <c r="F242">
        <v>52.5</v>
      </c>
      <c r="G242" s="336" t="s">
        <v>1171</v>
      </c>
      <c r="H242">
        <v>65</v>
      </c>
    </row>
    <row r="243" spans="1:8" x14ac:dyDescent="0.3">
      <c r="A243" s="336" t="s">
        <v>1172</v>
      </c>
      <c r="B243">
        <v>0</v>
      </c>
      <c r="C243" s="336" t="s">
        <v>1173</v>
      </c>
      <c r="D243">
        <v>0</v>
      </c>
      <c r="E243" s="336" t="s">
        <v>1174</v>
      </c>
      <c r="F243">
        <v>3</v>
      </c>
      <c r="G243" s="336" t="s">
        <v>1175</v>
      </c>
      <c r="H243">
        <v>18.5</v>
      </c>
    </row>
    <row r="244" spans="1:8" x14ac:dyDescent="0.3">
      <c r="A244" s="337" t="s">
        <v>1176</v>
      </c>
      <c r="B244" s="338">
        <v>0</v>
      </c>
      <c r="C244" s="337" t="s">
        <v>1177</v>
      </c>
      <c r="D244" s="338">
        <v>0</v>
      </c>
      <c r="E244" s="337" t="s">
        <v>1178</v>
      </c>
      <c r="F244" s="338">
        <v>2</v>
      </c>
      <c r="G244" s="337" t="s">
        <v>1179</v>
      </c>
      <c r="H244">
        <v>2</v>
      </c>
    </row>
    <row r="245" spans="1:8" x14ac:dyDescent="0.3">
      <c r="A245" s="336" t="s">
        <v>1180</v>
      </c>
      <c r="B245">
        <v>0</v>
      </c>
      <c r="C245" s="336" t="s">
        <v>1181</v>
      </c>
      <c r="D245">
        <v>0</v>
      </c>
      <c r="E245" s="336" t="s">
        <v>1182</v>
      </c>
      <c r="F245">
        <v>0</v>
      </c>
      <c r="G245" s="336" t="s">
        <v>1183</v>
      </c>
      <c r="H245">
        <v>0.5</v>
      </c>
    </row>
    <row r="246" spans="1:8" x14ac:dyDescent="0.3">
      <c r="A246" s="336" t="s">
        <v>1184</v>
      </c>
      <c r="B246">
        <v>0</v>
      </c>
      <c r="C246" s="336" t="s">
        <v>1185</v>
      </c>
      <c r="D246">
        <v>0</v>
      </c>
      <c r="E246" s="336" t="s">
        <v>1186</v>
      </c>
      <c r="F246">
        <v>0</v>
      </c>
      <c r="G246" s="336" t="s">
        <v>1187</v>
      </c>
      <c r="H246">
        <v>1.5</v>
      </c>
    </row>
    <row r="247" spans="1:8" x14ac:dyDescent="0.3">
      <c r="A247" s="336" t="s">
        <v>1188</v>
      </c>
      <c r="B247">
        <v>0</v>
      </c>
      <c r="C247" s="336" t="s">
        <v>1189</v>
      </c>
      <c r="D247">
        <v>0</v>
      </c>
      <c r="E247" s="336" t="s">
        <v>1190</v>
      </c>
      <c r="F247">
        <v>10.5</v>
      </c>
      <c r="G247" s="336" t="s">
        <v>1191</v>
      </c>
      <c r="H247">
        <v>13</v>
      </c>
    </row>
    <row r="248" spans="1:8" x14ac:dyDescent="0.3">
      <c r="A248" s="336" t="s">
        <v>1192</v>
      </c>
      <c r="B248">
        <v>0</v>
      </c>
      <c r="C248" s="336" t="s">
        <v>1193</v>
      </c>
      <c r="D248">
        <v>0</v>
      </c>
      <c r="E248" s="336" t="s">
        <v>1194</v>
      </c>
      <c r="F248">
        <v>1.5</v>
      </c>
      <c r="G248" s="336" t="s">
        <v>1195</v>
      </c>
      <c r="H248">
        <v>0.5</v>
      </c>
    </row>
    <row r="249" spans="1:8" x14ac:dyDescent="0.3">
      <c r="A249" s="336" t="s">
        <v>1196</v>
      </c>
      <c r="B249">
        <v>0</v>
      </c>
      <c r="C249" s="336" t="s">
        <v>1197</v>
      </c>
      <c r="D249">
        <v>0</v>
      </c>
      <c r="E249" s="336" t="s">
        <v>1198</v>
      </c>
      <c r="F249">
        <v>0</v>
      </c>
      <c r="G249" s="336" t="s">
        <v>1199</v>
      </c>
      <c r="H249">
        <v>0</v>
      </c>
    </row>
    <row r="250" spans="1:8" x14ac:dyDescent="0.3">
      <c r="A250" s="336" t="s">
        <v>1200</v>
      </c>
      <c r="B250">
        <v>0</v>
      </c>
      <c r="C250" s="336" t="s">
        <v>1201</v>
      </c>
      <c r="D250">
        <v>0</v>
      </c>
      <c r="E250" s="336" t="s">
        <v>1202</v>
      </c>
      <c r="F250">
        <v>1</v>
      </c>
      <c r="G250" s="336" t="s">
        <v>1203</v>
      </c>
      <c r="H250">
        <v>9.5</v>
      </c>
    </row>
    <row r="251" spans="1:8" x14ac:dyDescent="0.3">
      <c r="A251" s="336" t="s">
        <v>1204</v>
      </c>
      <c r="B251">
        <v>0</v>
      </c>
      <c r="C251" s="336" t="s">
        <v>1205</v>
      </c>
      <c r="D251">
        <v>0</v>
      </c>
      <c r="E251" s="336" t="s">
        <v>1206</v>
      </c>
      <c r="F251">
        <v>0</v>
      </c>
      <c r="G251" s="336" t="s">
        <v>1207</v>
      </c>
      <c r="H251">
        <v>24.5</v>
      </c>
    </row>
    <row r="252" spans="1:8" x14ac:dyDescent="0.3">
      <c r="A252" s="336" t="s">
        <v>1208</v>
      </c>
      <c r="B252">
        <v>0</v>
      </c>
      <c r="C252" s="336" t="s">
        <v>1209</v>
      </c>
      <c r="D252">
        <v>0</v>
      </c>
      <c r="E252" s="336" t="s">
        <v>1210</v>
      </c>
      <c r="F252">
        <v>10</v>
      </c>
      <c r="G252" s="336" t="s">
        <v>1211</v>
      </c>
      <c r="H252">
        <v>15.5</v>
      </c>
    </row>
    <row r="253" spans="1:8" x14ac:dyDescent="0.3">
      <c r="A253" s="336" t="s">
        <v>1212</v>
      </c>
      <c r="B253">
        <v>0</v>
      </c>
      <c r="C253" s="336" t="s">
        <v>1213</v>
      </c>
      <c r="D253">
        <v>0</v>
      </c>
      <c r="E253" s="336" t="s">
        <v>1214</v>
      </c>
      <c r="F253">
        <v>158.5</v>
      </c>
      <c r="G253" s="336" t="s">
        <v>1215</v>
      </c>
      <c r="H253">
        <v>21.5</v>
      </c>
    </row>
    <row r="254" spans="1:8" x14ac:dyDescent="0.3">
      <c r="A254" s="336" t="s">
        <v>1216</v>
      </c>
      <c r="B254">
        <v>0</v>
      </c>
      <c r="C254" s="336" t="s">
        <v>1217</v>
      </c>
      <c r="D254">
        <v>0.5</v>
      </c>
      <c r="E254" s="336" t="s">
        <v>1218</v>
      </c>
      <c r="F254">
        <v>1</v>
      </c>
      <c r="G254" s="336" t="s">
        <v>1219</v>
      </c>
      <c r="H254">
        <v>28.5</v>
      </c>
    </row>
    <row r="255" spans="1:8" x14ac:dyDescent="0.3">
      <c r="A255" s="336" t="s">
        <v>1220</v>
      </c>
      <c r="B255">
        <v>1.5</v>
      </c>
      <c r="C255" s="336" t="s">
        <v>1221</v>
      </c>
      <c r="D255">
        <v>0</v>
      </c>
      <c r="E255" s="336" t="s">
        <v>1222</v>
      </c>
      <c r="F255">
        <v>0</v>
      </c>
      <c r="G255" s="336" t="s">
        <v>1223</v>
      </c>
      <c r="H255">
        <v>8.5</v>
      </c>
    </row>
    <row r="256" spans="1:8" x14ac:dyDescent="0.3">
      <c r="A256" s="336" t="s">
        <v>1224</v>
      </c>
      <c r="B256">
        <v>0</v>
      </c>
      <c r="C256" s="336" t="s">
        <v>1225</v>
      </c>
      <c r="D256">
        <v>0</v>
      </c>
      <c r="E256" s="336" t="s">
        <v>1226</v>
      </c>
      <c r="F256">
        <v>0</v>
      </c>
      <c r="G256" s="336" t="s">
        <v>1227</v>
      </c>
      <c r="H256">
        <v>16</v>
      </c>
    </row>
    <row r="257" spans="1:8" x14ac:dyDescent="0.3">
      <c r="A257" s="336" t="s">
        <v>1228</v>
      </c>
      <c r="B257">
        <v>0</v>
      </c>
      <c r="C257" s="336" t="s">
        <v>1229</v>
      </c>
      <c r="D257">
        <v>0</v>
      </c>
      <c r="E257" s="336" t="s">
        <v>1230</v>
      </c>
      <c r="F257">
        <v>0</v>
      </c>
      <c r="G257" s="336" t="s">
        <v>1231</v>
      </c>
      <c r="H257">
        <v>1.5</v>
      </c>
    </row>
    <row r="258" spans="1:8" x14ac:dyDescent="0.3">
      <c r="A258" s="336" t="s">
        <v>1232</v>
      </c>
      <c r="B258">
        <v>0</v>
      </c>
      <c r="C258" s="336" t="s">
        <v>1233</v>
      </c>
      <c r="D258">
        <v>0</v>
      </c>
      <c r="E258" s="336" t="s">
        <v>1234</v>
      </c>
      <c r="F258">
        <v>27.5</v>
      </c>
      <c r="G258" s="336" t="s">
        <v>1235</v>
      </c>
      <c r="H258">
        <v>20</v>
      </c>
    </row>
    <row r="259" spans="1:8" x14ac:dyDescent="0.3">
      <c r="A259" s="336" t="s">
        <v>1236</v>
      </c>
      <c r="B259">
        <v>0</v>
      </c>
      <c r="C259" s="336" t="s">
        <v>1237</v>
      </c>
      <c r="D259">
        <v>0</v>
      </c>
      <c r="E259" s="336" t="s">
        <v>1238</v>
      </c>
      <c r="F259">
        <v>0.5</v>
      </c>
      <c r="G259" s="336" t="s">
        <v>1239</v>
      </c>
      <c r="H259">
        <v>32</v>
      </c>
    </row>
    <row r="260" spans="1:8" x14ac:dyDescent="0.3">
      <c r="A260" s="336" t="s">
        <v>1240</v>
      </c>
      <c r="B260">
        <v>0</v>
      </c>
      <c r="C260" s="336" t="s">
        <v>1241</v>
      </c>
      <c r="D260">
        <v>0</v>
      </c>
      <c r="E260" s="336" t="s">
        <v>1242</v>
      </c>
      <c r="F260">
        <v>7</v>
      </c>
      <c r="G260" s="336" t="s">
        <v>1243</v>
      </c>
      <c r="H260">
        <v>144.5</v>
      </c>
    </row>
    <row r="261" spans="1:8" x14ac:dyDescent="0.3">
      <c r="A261" s="336" t="s">
        <v>1244</v>
      </c>
      <c r="B261">
        <v>0</v>
      </c>
      <c r="C261" s="336" t="s">
        <v>1245</v>
      </c>
      <c r="D261">
        <v>0</v>
      </c>
      <c r="E261" s="336" t="s">
        <v>1246</v>
      </c>
      <c r="F261">
        <v>0.5</v>
      </c>
      <c r="G261" s="336" t="s">
        <v>1247</v>
      </c>
      <c r="H261">
        <v>11</v>
      </c>
    </row>
    <row r="262" spans="1:8" x14ac:dyDescent="0.3">
      <c r="A262" s="336" t="s">
        <v>1248</v>
      </c>
      <c r="B262">
        <v>0</v>
      </c>
      <c r="C262" s="336" t="s">
        <v>1249</v>
      </c>
      <c r="D262">
        <v>0</v>
      </c>
      <c r="E262" s="336" t="s">
        <v>1250</v>
      </c>
      <c r="F262">
        <v>0.5</v>
      </c>
      <c r="G262" s="336" t="s">
        <v>1251</v>
      </c>
      <c r="H262">
        <v>13</v>
      </c>
    </row>
    <row r="263" spans="1:8" x14ac:dyDescent="0.3">
      <c r="A263" s="336" t="s">
        <v>1252</v>
      </c>
      <c r="B263">
        <v>0</v>
      </c>
      <c r="C263" s="336" t="s">
        <v>1253</v>
      </c>
      <c r="D263">
        <v>0</v>
      </c>
      <c r="E263" s="336" t="s">
        <v>1254</v>
      </c>
      <c r="F263">
        <v>2</v>
      </c>
      <c r="G263" s="336" t="s">
        <v>1255</v>
      </c>
      <c r="H263">
        <v>5.5</v>
      </c>
    </row>
    <row r="264" spans="1:8" x14ac:dyDescent="0.3">
      <c r="A264" s="336" t="s">
        <v>1256</v>
      </c>
      <c r="B264">
        <v>5.5</v>
      </c>
      <c r="C264" s="336" t="s">
        <v>1257</v>
      </c>
      <c r="D264">
        <v>0</v>
      </c>
      <c r="E264" s="336" t="s">
        <v>1258</v>
      </c>
      <c r="F264">
        <v>22</v>
      </c>
      <c r="G264" s="336" t="s">
        <v>1259</v>
      </c>
      <c r="H264">
        <v>11</v>
      </c>
    </row>
    <row r="265" spans="1:8" x14ac:dyDescent="0.3">
      <c r="A265" s="336" t="s">
        <v>1260</v>
      </c>
      <c r="B265">
        <v>3</v>
      </c>
      <c r="C265" s="336" t="s">
        <v>1261</v>
      </c>
      <c r="D265">
        <v>0</v>
      </c>
      <c r="E265" s="336" t="s">
        <v>1262</v>
      </c>
      <c r="F265">
        <v>60</v>
      </c>
      <c r="G265" s="336" t="s">
        <v>1263</v>
      </c>
      <c r="H265">
        <v>5.5</v>
      </c>
    </row>
    <row r="266" spans="1:8" x14ac:dyDescent="0.3">
      <c r="A266" s="336" t="s">
        <v>1264</v>
      </c>
      <c r="B266">
        <v>0</v>
      </c>
      <c r="C266" s="336" t="s">
        <v>1265</v>
      </c>
      <c r="D266">
        <v>0</v>
      </c>
      <c r="E266" s="336" t="s">
        <v>1266</v>
      </c>
      <c r="F266">
        <v>4.5</v>
      </c>
      <c r="G266" s="336" t="s">
        <v>1267</v>
      </c>
      <c r="H266">
        <v>1.5</v>
      </c>
    </row>
    <row r="267" spans="1:8" x14ac:dyDescent="0.3">
      <c r="A267" s="336" t="s">
        <v>1268</v>
      </c>
      <c r="B267">
        <v>0</v>
      </c>
      <c r="C267" s="336" t="s">
        <v>1269</v>
      </c>
      <c r="D267">
        <v>0</v>
      </c>
      <c r="E267" s="336" t="s">
        <v>1270</v>
      </c>
      <c r="F267">
        <v>1</v>
      </c>
      <c r="G267" s="336" t="s">
        <v>1271</v>
      </c>
      <c r="H267">
        <v>3</v>
      </c>
    </row>
    <row r="268" spans="1:8" x14ac:dyDescent="0.3">
      <c r="A268" s="336" t="s">
        <v>1272</v>
      </c>
      <c r="B268">
        <v>0</v>
      </c>
      <c r="C268" s="336" t="s">
        <v>1273</v>
      </c>
      <c r="D268">
        <v>0</v>
      </c>
      <c r="E268" s="336" t="s">
        <v>1274</v>
      </c>
      <c r="F268">
        <v>76.5</v>
      </c>
      <c r="G268" s="336" t="s">
        <v>1275</v>
      </c>
      <c r="H268">
        <v>1.5</v>
      </c>
    </row>
    <row r="269" spans="1:8" x14ac:dyDescent="0.3">
      <c r="A269" s="336" t="s">
        <v>1276</v>
      </c>
      <c r="B269">
        <v>0</v>
      </c>
      <c r="C269" s="336" t="s">
        <v>1277</v>
      </c>
      <c r="D269">
        <v>0</v>
      </c>
      <c r="E269" s="336" t="s">
        <v>1278</v>
      </c>
      <c r="F269">
        <v>2.5</v>
      </c>
      <c r="G269" s="336" t="s">
        <v>1279</v>
      </c>
      <c r="H269">
        <v>0</v>
      </c>
    </row>
    <row r="270" spans="1:8" x14ac:dyDescent="0.3">
      <c r="A270" s="336" t="s">
        <v>1280</v>
      </c>
      <c r="B270">
        <v>0</v>
      </c>
      <c r="C270" s="336" t="s">
        <v>1281</v>
      </c>
      <c r="D270">
        <v>0</v>
      </c>
      <c r="E270" s="336" t="s">
        <v>1282</v>
      </c>
      <c r="F270">
        <v>0</v>
      </c>
      <c r="G270" s="336" t="s">
        <v>1283</v>
      </c>
      <c r="H270">
        <v>3.5</v>
      </c>
    </row>
    <row r="271" spans="1:8" x14ac:dyDescent="0.3">
      <c r="A271" s="336" t="s">
        <v>1284</v>
      </c>
      <c r="B271">
        <v>0</v>
      </c>
      <c r="C271" s="336" t="s">
        <v>1285</v>
      </c>
      <c r="D271">
        <v>0</v>
      </c>
      <c r="E271" s="336" t="s">
        <v>1286</v>
      </c>
      <c r="F271">
        <v>25.5</v>
      </c>
      <c r="G271" s="336" t="s">
        <v>1287</v>
      </c>
      <c r="H271">
        <v>1</v>
      </c>
    </row>
    <row r="272" spans="1:8" x14ac:dyDescent="0.3">
      <c r="A272" s="336" t="s">
        <v>1288</v>
      </c>
      <c r="B272">
        <v>0</v>
      </c>
      <c r="C272" s="336" t="s">
        <v>1289</v>
      </c>
      <c r="D272">
        <v>0</v>
      </c>
      <c r="E272" s="336" t="s">
        <v>1290</v>
      </c>
      <c r="F272">
        <v>12</v>
      </c>
      <c r="G272" s="336" t="s">
        <v>1291</v>
      </c>
      <c r="H272">
        <v>26</v>
      </c>
    </row>
    <row r="273" spans="1:8" x14ac:dyDescent="0.3">
      <c r="A273" s="336" t="s">
        <v>1292</v>
      </c>
      <c r="B273">
        <v>0</v>
      </c>
      <c r="C273" s="336" t="s">
        <v>1293</v>
      </c>
      <c r="D273">
        <v>0</v>
      </c>
      <c r="E273" s="336" t="s">
        <v>1294</v>
      </c>
      <c r="F273">
        <v>0</v>
      </c>
      <c r="G273" s="336" t="s">
        <v>1295</v>
      </c>
      <c r="H273">
        <v>54.5</v>
      </c>
    </row>
    <row r="274" spans="1:8" x14ac:dyDescent="0.3">
      <c r="A274" s="339" t="s">
        <v>1296</v>
      </c>
      <c r="B274">
        <v>0</v>
      </c>
      <c r="C274" s="339" t="s">
        <v>1297</v>
      </c>
      <c r="D274">
        <v>0</v>
      </c>
      <c r="E274" s="339" t="s">
        <v>1298</v>
      </c>
      <c r="F274">
        <v>23</v>
      </c>
      <c r="G274" s="339" t="s">
        <v>1299</v>
      </c>
      <c r="H274">
        <v>2</v>
      </c>
    </row>
    <row r="275" spans="1:8" x14ac:dyDescent="0.3">
      <c r="A275" s="336" t="s">
        <v>1300</v>
      </c>
      <c r="B275">
        <v>0</v>
      </c>
      <c r="C275" s="336" t="s">
        <v>1301</v>
      </c>
      <c r="D275">
        <v>0</v>
      </c>
      <c r="E275" s="336" t="s">
        <v>1302</v>
      </c>
      <c r="F275">
        <v>2</v>
      </c>
      <c r="G275" s="336" t="s">
        <v>1303</v>
      </c>
      <c r="H275">
        <v>1.5</v>
      </c>
    </row>
    <row r="276" spans="1:8" x14ac:dyDescent="0.3">
      <c r="A276" s="336" t="s">
        <v>1304</v>
      </c>
      <c r="B276">
        <v>0</v>
      </c>
      <c r="C276" s="336" t="s">
        <v>1305</v>
      </c>
      <c r="D276">
        <v>0</v>
      </c>
      <c r="E276" s="336" t="s">
        <v>1306</v>
      </c>
      <c r="F276">
        <v>11.5</v>
      </c>
      <c r="G276" s="336" t="s">
        <v>1307</v>
      </c>
      <c r="H276">
        <v>1</v>
      </c>
    </row>
    <row r="277" spans="1:8" x14ac:dyDescent="0.3">
      <c r="A277" s="336" t="s">
        <v>1308</v>
      </c>
      <c r="B277">
        <v>0</v>
      </c>
      <c r="C277" s="336" t="s">
        <v>1309</v>
      </c>
      <c r="D277">
        <v>0</v>
      </c>
      <c r="E277" s="336" t="s">
        <v>1310</v>
      </c>
      <c r="F277">
        <v>4</v>
      </c>
      <c r="G277" s="336" t="s">
        <v>1311</v>
      </c>
      <c r="H277">
        <v>9</v>
      </c>
    </row>
    <row r="278" spans="1:8" x14ac:dyDescent="0.3">
      <c r="A278" s="336" t="s">
        <v>1312</v>
      </c>
      <c r="B278">
        <v>0.5</v>
      </c>
      <c r="C278" s="336" t="s">
        <v>1313</v>
      </c>
      <c r="D278">
        <v>0</v>
      </c>
      <c r="E278" s="336" t="s">
        <v>1314</v>
      </c>
      <c r="F278">
        <v>4.5</v>
      </c>
      <c r="G278" s="336" t="s">
        <v>1315</v>
      </c>
      <c r="H278">
        <v>0</v>
      </c>
    </row>
    <row r="279" spans="1:8" x14ac:dyDescent="0.3">
      <c r="A279" s="336" t="s">
        <v>1316</v>
      </c>
      <c r="B279">
        <v>0</v>
      </c>
      <c r="C279" s="336" t="s">
        <v>1317</v>
      </c>
      <c r="D279">
        <v>0</v>
      </c>
      <c r="E279" s="336" t="s">
        <v>1318</v>
      </c>
      <c r="F279">
        <v>0</v>
      </c>
      <c r="G279" s="336" t="s">
        <v>1319</v>
      </c>
      <c r="H279">
        <v>15</v>
      </c>
    </row>
    <row r="280" spans="1:8" x14ac:dyDescent="0.3">
      <c r="A280" s="336" t="s">
        <v>1320</v>
      </c>
      <c r="B280">
        <v>0</v>
      </c>
      <c r="C280" s="336" t="s">
        <v>1321</v>
      </c>
      <c r="D280">
        <v>0</v>
      </c>
      <c r="E280" s="336" t="s">
        <v>1322</v>
      </c>
      <c r="F280">
        <v>2</v>
      </c>
      <c r="G280" s="336" t="s">
        <v>1323</v>
      </c>
      <c r="H280">
        <v>1.5</v>
      </c>
    </row>
    <row r="281" spans="1:8" x14ac:dyDescent="0.3">
      <c r="A281" s="336" t="s">
        <v>1324</v>
      </c>
      <c r="B281">
        <v>0</v>
      </c>
      <c r="C281" s="336" t="s">
        <v>1325</v>
      </c>
      <c r="D281">
        <v>0</v>
      </c>
      <c r="E281" s="336" t="s">
        <v>1326</v>
      </c>
      <c r="F281">
        <v>80</v>
      </c>
      <c r="G281" s="336" t="s">
        <v>1327</v>
      </c>
      <c r="H281">
        <v>6.5</v>
      </c>
    </row>
    <row r="282" spans="1:8" x14ac:dyDescent="0.3">
      <c r="A282" s="336" t="s">
        <v>1328</v>
      </c>
      <c r="B282">
        <v>0</v>
      </c>
      <c r="C282" s="336" t="s">
        <v>1329</v>
      </c>
      <c r="D282">
        <v>0</v>
      </c>
      <c r="E282" s="336" t="s">
        <v>1330</v>
      </c>
      <c r="F282">
        <v>18.600000000000001</v>
      </c>
      <c r="G282" s="336" t="s">
        <v>1331</v>
      </c>
      <c r="H282">
        <v>3</v>
      </c>
    </row>
    <row r="283" spans="1:8" x14ac:dyDescent="0.3">
      <c r="A283" s="336" t="s">
        <v>1332</v>
      </c>
      <c r="B283">
        <v>0</v>
      </c>
      <c r="C283" s="336" t="s">
        <v>1333</v>
      </c>
      <c r="D283">
        <v>0</v>
      </c>
      <c r="E283" s="336" t="s">
        <v>1334</v>
      </c>
      <c r="F283">
        <v>3</v>
      </c>
      <c r="G283" s="336" t="s">
        <v>1335</v>
      </c>
      <c r="H283">
        <v>10.5</v>
      </c>
    </row>
    <row r="284" spans="1:8" x14ac:dyDescent="0.3">
      <c r="A284" s="336" t="s">
        <v>1336</v>
      </c>
      <c r="B284">
        <v>0</v>
      </c>
      <c r="C284" s="336" t="s">
        <v>1337</v>
      </c>
      <c r="D284">
        <v>0</v>
      </c>
      <c r="E284" s="336" t="s">
        <v>1338</v>
      </c>
      <c r="F284">
        <v>5.5</v>
      </c>
      <c r="G284" s="336" t="s">
        <v>1339</v>
      </c>
      <c r="H284">
        <v>13.5</v>
      </c>
    </row>
    <row r="285" spans="1:8" x14ac:dyDescent="0.3">
      <c r="A285" s="336" t="s">
        <v>1340</v>
      </c>
      <c r="B285">
        <v>0</v>
      </c>
      <c r="C285" s="336" t="s">
        <v>1341</v>
      </c>
      <c r="D285">
        <v>0</v>
      </c>
      <c r="E285" s="336" t="s">
        <v>1342</v>
      </c>
      <c r="F285">
        <v>0</v>
      </c>
      <c r="G285" s="336" t="s">
        <v>1343</v>
      </c>
      <c r="H285">
        <v>10</v>
      </c>
    </row>
    <row r="286" spans="1:8" x14ac:dyDescent="0.3">
      <c r="A286" s="336" t="s">
        <v>1344</v>
      </c>
      <c r="B286">
        <v>0</v>
      </c>
      <c r="C286" s="336" t="s">
        <v>1345</v>
      </c>
      <c r="D286">
        <v>0</v>
      </c>
      <c r="E286" s="336" t="s">
        <v>1346</v>
      </c>
      <c r="F286">
        <v>0</v>
      </c>
      <c r="G286" s="336" t="s">
        <v>1347</v>
      </c>
      <c r="H286">
        <v>0</v>
      </c>
    </row>
    <row r="287" spans="1:8" x14ac:dyDescent="0.3">
      <c r="A287" s="336" t="s">
        <v>1348</v>
      </c>
      <c r="B287">
        <v>0</v>
      </c>
      <c r="C287" s="336" t="s">
        <v>1349</v>
      </c>
      <c r="D287">
        <v>0</v>
      </c>
      <c r="E287" s="336" t="s">
        <v>1350</v>
      </c>
      <c r="F287">
        <v>10.5</v>
      </c>
      <c r="G287" s="336" t="s">
        <v>1351</v>
      </c>
      <c r="H287">
        <v>0</v>
      </c>
    </row>
    <row r="288" spans="1:8" x14ac:dyDescent="0.3">
      <c r="A288" s="336" t="s">
        <v>1352</v>
      </c>
      <c r="B288">
        <v>0</v>
      </c>
      <c r="C288" s="336" t="s">
        <v>1353</v>
      </c>
      <c r="D288">
        <v>0</v>
      </c>
      <c r="E288" s="336" t="s">
        <v>1354</v>
      </c>
      <c r="F288">
        <v>14.5</v>
      </c>
      <c r="G288" s="336" t="s">
        <v>1355</v>
      </c>
      <c r="H288">
        <v>8.5</v>
      </c>
    </row>
    <row r="289" spans="1:8" x14ac:dyDescent="0.3">
      <c r="A289" s="336" t="s">
        <v>1356</v>
      </c>
      <c r="B289">
        <v>0</v>
      </c>
      <c r="C289" s="336" t="s">
        <v>1357</v>
      </c>
      <c r="D289">
        <v>0</v>
      </c>
      <c r="E289" s="336" t="s">
        <v>1358</v>
      </c>
      <c r="F289">
        <v>0</v>
      </c>
      <c r="G289" s="336" t="s">
        <v>1359</v>
      </c>
      <c r="H289">
        <v>52</v>
      </c>
    </row>
    <row r="290" spans="1:8" x14ac:dyDescent="0.3">
      <c r="A290" s="336" t="s">
        <v>1360</v>
      </c>
      <c r="B290">
        <v>0</v>
      </c>
      <c r="C290" s="336" t="s">
        <v>1361</v>
      </c>
      <c r="D290">
        <v>0</v>
      </c>
      <c r="E290" s="336" t="s">
        <v>1362</v>
      </c>
      <c r="F290">
        <v>0.5</v>
      </c>
      <c r="G290" s="336" t="s">
        <v>1363</v>
      </c>
      <c r="H290">
        <v>0</v>
      </c>
    </row>
    <row r="291" spans="1:8" x14ac:dyDescent="0.3">
      <c r="A291" s="336" t="s">
        <v>1364</v>
      </c>
      <c r="B291">
        <v>0</v>
      </c>
      <c r="C291" s="336" t="s">
        <v>1365</v>
      </c>
      <c r="D291">
        <v>0</v>
      </c>
      <c r="E291" s="336" t="s">
        <v>1366</v>
      </c>
      <c r="F291">
        <v>0</v>
      </c>
      <c r="G291" s="336" t="s">
        <v>1367</v>
      </c>
      <c r="H291">
        <v>7</v>
      </c>
    </row>
    <row r="292" spans="1:8" x14ac:dyDescent="0.3">
      <c r="A292" s="336" t="s">
        <v>1368</v>
      </c>
      <c r="B292">
        <v>0</v>
      </c>
      <c r="C292" s="336" t="s">
        <v>1369</v>
      </c>
      <c r="D292">
        <v>0</v>
      </c>
      <c r="E292" s="336" t="s">
        <v>1370</v>
      </c>
      <c r="F292">
        <v>0</v>
      </c>
      <c r="G292" s="336" t="s">
        <v>1371</v>
      </c>
      <c r="H292">
        <v>10</v>
      </c>
    </row>
    <row r="293" spans="1:8" x14ac:dyDescent="0.3">
      <c r="A293" s="336" t="s">
        <v>1372</v>
      </c>
      <c r="B293">
        <v>0</v>
      </c>
      <c r="C293" s="336" t="s">
        <v>1373</v>
      </c>
      <c r="D293">
        <v>0</v>
      </c>
      <c r="E293" s="336" t="s">
        <v>1374</v>
      </c>
      <c r="F293">
        <v>23.5</v>
      </c>
      <c r="G293" s="336" t="s">
        <v>1375</v>
      </c>
      <c r="H293">
        <v>0</v>
      </c>
    </row>
    <row r="294" spans="1:8" x14ac:dyDescent="0.3">
      <c r="A294" s="336" t="s">
        <v>1376</v>
      </c>
      <c r="B294">
        <v>0</v>
      </c>
      <c r="C294" s="336" t="s">
        <v>1377</v>
      </c>
      <c r="D294">
        <v>0</v>
      </c>
      <c r="E294" s="336" t="s">
        <v>1378</v>
      </c>
      <c r="F294">
        <v>4.5</v>
      </c>
      <c r="G294" s="336" t="s">
        <v>1379</v>
      </c>
      <c r="H294">
        <v>0</v>
      </c>
    </row>
    <row r="295" spans="1:8" x14ac:dyDescent="0.3">
      <c r="A295" s="336" t="s">
        <v>1380</v>
      </c>
      <c r="B295">
        <v>0</v>
      </c>
      <c r="C295" s="336" t="s">
        <v>1381</v>
      </c>
      <c r="D295">
        <v>0</v>
      </c>
      <c r="E295" s="336" t="s">
        <v>1382</v>
      </c>
      <c r="F295">
        <v>2.5</v>
      </c>
      <c r="G295" s="336" t="s">
        <v>1383</v>
      </c>
      <c r="H295">
        <v>0</v>
      </c>
    </row>
    <row r="296" spans="1:8" x14ac:dyDescent="0.3">
      <c r="A296" s="336" t="s">
        <v>1384</v>
      </c>
      <c r="B296">
        <v>0</v>
      </c>
      <c r="C296" s="336" t="s">
        <v>1385</v>
      </c>
      <c r="D296">
        <v>0</v>
      </c>
      <c r="E296" s="336" t="s">
        <v>1386</v>
      </c>
      <c r="F296">
        <v>17</v>
      </c>
      <c r="G296" s="336" t="s">
        <v>1387</v>
      </c>
      <c r="H296">
        <v>8.5</v>
      </c>
    </row>
    <row r="297" spans="1:8" x14ac:dyDescent="0.3">
      <c r="A297" s="336" t="s">
        <v>1388</v>
      </c>
      <c r="B297">
        <v>0</v>
      </c>
      <c r="C297" s="336" t="s">
        <v>1389</v>
      </c>
      <c r="D297">
        <v>0</v>
      </c>
      <c r="E297" s="336" t="s">
        <v>1390</v>
      </c>
      <c r="F297">
        <v>47</v>
      </c>
      <c r="G297" s="336" t="s">
        <v>1391</v>
      </c>
      <c r="H297">
        <v>1</v>
      </c>
    </row>
    <row r="298" spans="1:8" x14ac:dyDescent="0.3">
      <c r="A298" s="336" t="s">
        <v>1392</v>
      </c>
      <c r="B298">
        <v>0</v>
      </c>
      <c r="C298" s="336" t="s">
        <v>1393</v>
      </c>
      <c r="D298">
        <v>0</v>
      </c>
      <c r="E298" s="336" t="s">
        <v>1394</v>
      </c>
      <c r="F298">
        <v>1</v>
      </c>
      <c r="G298" s="336" t="s">
        <v>1395</v>
      </c>
      <c r="H298">
        <v>5</v>
      </c>
    </row>
    <row r="299" spans="1:8" x14ac:dyDescent="0.3">
      <c r="A299" s="336" t="s">
        <v>1396</v>
      </c>
      <c r="B299">
        <v>0</v>
      </c>
      <c r="C299" s="336" t="s">
        <v>1397</v>
      </c>
      <c r="D299">
        <v>0</v>
      </c>
      <c r="E299" s="336" t="s">
        <v>1398</v>
      </c>
      <c r="F299">
        <v>2</v>
      </c>
      <c r="G299" s="336" t="s">
        <v>1399</v>
      </c>
      <c r="H299">
        <v>7.5</v>
      </c>
    </row>
    <row r="300" spans="1:8" x14ac:dyDescent="0.3">
      <c r="A300" s="336" t="s">
        <v>1400</v>
      </c>
      <c r="B300">
        <v>0</v>
      </c>
      <c r="C300" s="336" t="s">
        <v>1401</v>
      </c>
      <c r="D300">
        <v>0</v>
      </c>
      <c r="E300" s="336" t="s">
        <v>1402</v>
      </c>
      <c r="F300">
        <v>12.5</v>
      </c>
      <c r="G300" s="336" t="s">
        <v>1403</v>
      </c>
      <c r="H300">
        <v>6.5</v>
      </c>
    </row>
    <row r="301" spans="1:8" x14ac:dyDescent="0.3">
      <c r="A301" s="336" t="s">
        <v>1404</v>
      </c>
      <c r="B301">
        <v>0</v>
      </c>
      <c r="C301" s="336" t="s">
        <v>1405</v>
      </c>
      <c r="D301">
        <v>3</v>
      </c>
      <c r="E301" s="336" t="s">
        <v>1406</v>
      </c>
      <c r="F301">
        <v>0</v>
      </c>
      <c r="G301" s="336" t="s">
        <v>1407</v>
      </c>
      <c r="H301">
        <v>0.5</v>
      </c>
    </row>
    <row r="302" spans="1:8" x14ac:dyDescent="0.3">
      <c r="A302" s="336" t="s">
        <v>1408</v>
      </c>
      <c r="B302">
        <v>0</v>
      </c>
      <c r="C302" s="336" t="s">
        <v>1409</v>
      </c>
      <c r="D302">
        <v>0</v>
      </c>
      <c r="E302" s="336" t="s">
        <v>1410</v>
      </c>
      <c r="F302">
        <v>47.5</v>
      </c>
      <c r="G302" s="336" t="s">
        <v>1411</v>
      </c>
      <c r="H302">
        <v>6</v>
      </c>
    </row>
    <row r="303" spans="1:8" x14ac:dyDescent="0.3">
      <c r="A303" s="336" t="s">
        <v>1412</v>
      </c>
      <c r="B303">
        <v>0</v>
      </c>
      <c r="C303" s="336" t="s">
        <v>1413</v>
      </c>
      <c r="D303">
        <v>1.5</v>
      </c>
      <c r="E303" s="336" t="s">
        <v>1414</v>
      </c>
      <c r="F303">
        <v>23</v>
      </c>
      <c r="G303" s="336" t="s">
        <v>1415</v>
      </c>
      <c r="H303">
        <v>4.5</v>
      </c>
    </row>
    <row r="304" spans="1:8" x14ac:dyDescent="0.3">
      <c r="A304" s="336" t="s">
        <v>1416</v>
      </c>
      <c r="B304">
        <v>0</v>
      </c>
      <c r="C304" s="336" t="s">
        <v>1417</v>
      </c>
      <c r="D304">
        <v>1</v>
      </c>
      <c r="E304" s="336" t="s">
        <v>1418</v>
      </c>
      <c r="F304">
        <v>10</v>
      </c>
      <c r="G304" s="336" t="s">
        <v>1419</v>
      </c>
      <c r="H304">
        <v>2.6</v>
      </c>
    </row>
    <row r="305" spans="1:8" x14ac:dyDescent="0.3">
      <c r="A305" s="337" t="s">
        <v>1420</v>
      </c>
      <c r="B305" s="338">
        <v>0</v>
      </c>
      <c r="C305" s="337" t="s">
        <v>1421</v>
      </c>
      <c r="D305" s="338">
        <v>0</v>
      </c>
      <c r="E305" s="337" t="s">
        <v>1422</v>
      </c>
      <c r="F305" s="338">
        <v>10.5</v>
      </c>
      <c r="G305" s="337" t="s">
        <v>1423</v>
      </c>
      <c r="H305">
        <v>1.5</v>
      </c>
    </row>
    <row r="306" spans="1:8" x14ac:dyDescent="0.3">
      <c r="A306" s="336" t="s">
        <v>1424</v>
      </c>
      <c r="B306">
        <v>0</v>
      </c>
      <c r="C306" s="336" t="s">
        <v>1425</v>
      </c>
      <c r="D306">
        <v>3</v>
      </c>
      <c r="E306" s="336" t="s">
        <v>1426</v>
      </c>
      <c r="F306">
        <v>25.5</v>
      </c>
      <c r="G306" s="336" t="s">
        <v>1427</v>
      </c>
      <c r="H306">
        <v>16.5</v>
      </c>
    </row>
    <row r="307" spans="1:8" x14ac:dyDescent="0.3">
      <c r="A307" s="336" t="s">
        <v>1428</v>
      </c>
      <c r="B307">
        <v>0</v>
      </c>
      <c r="C307" s="336" t="s">
        <v>1429</v>
      </c>
      <c r="D307">
        <v>0</v>
      </c>
      <c r="E307" s="336" t="s">
        <v>1430</v>
      </c>
      <c r="F307">
        <v>11.5</v>
      </c>
      <c r="G307" s="336" t="s">
        <v>1431</v>
      </c>
      <c r="H307">
        <v>15</v>
      </c>
    </row>
    <row r="308" spans="1:8" x14ac:dyDescent="0.3">
      <c r="A308" s="336" t="s">
        <v>1432</v>
      </c>
      <c r="B308">
        <v>0</v>
      </c>
      <c r="C308" s="336" t="s">
        <v>1433</v>
      </c>
      <c r="D308">
        <v>23.5</v>
      </c>
      <c r="E308" s="336" t="s">
        <v>1434</v>
      </c>
      <c r="F308">
        <v>0.5</v>
      </c>
      <c r="G308" s="336" t="s">
        <v>1435</v>
      </c>
      <c r="H308">
        <v>0</v>
      </c>
    </row>
    <row r="309" spans="1:8" x14ac:dyDescent="0.3">
      <c r="A309" s="336" t="s">
        <v>1436</v>
      </c>
      <c r="B309">
        <v>0</v>
      </c>
      <c r="C309" s="336" t="s">
        <v>1437</v>
      </c>
      <c r="D309">
        <v>22.5</v>
      </c>
      <c r="E309" s="336" t="s">
        <v>1438</v>
      </c>
      <c r="F309">
        <v>0.5</v>
      </c>
      <c r="G309" s="336" t="s">
        <v>1439</v>
      </c>
      <c r="H309">
        <v>4.5</v>
      </c>
    </row>
    <row r="310" spans="1:8" x14ac:dyDescent="0.3">
      <c r="A310" s="336" t="s">
        <v>1440</v>
      </c>
      <c r="B310">
        <v>0</v>
      </c>
      <c r="C310" s="336" t="s">
        <v>1441</v>
      </c>
      <c r="D310">
        <v>0</v>
      </c>
      <c r="E310" s="336" t="s">
        <v>1442</v>
      </c>
      <c r="F310">
        <v>0</v>
      </c>
      <c r="G310" s="336" t="s">
        <v>1443</v>
      </c>
      <c r="H310">
        <v>0.2</v>
      </c>
    </row>
    <row r="311" spans="1:8" x14ac:dyDescent="0.3">
      <c r="A311" s="336" t="s">
        <v>1444</v>
      </c>
      <c r="B311">
        <v>0</v>
      </c>
      <c r="C311" s="336" t="s">
        <v>1445</v>
      </c>
      <c r="D311">
        <v>0</v>
      </c>
      <c r="E311" s="336" t="s">
        <v>1446</v>
      </c>
      <c r="F311">
        <v>0</v>
      </c>
      <c r="G311" s="336" t="s">
        <v>1447</v>
      </c>
      <c r="H311">
        <v>0.6</v>
      </c>
    </row>
    <row r="312" spans="1:8" x14ac:dyDescent="0.3">
      <c r="A312" s="336" t="s">
        <v>1448</v>
      </c>
      <c r="B312">
        <v>0</v>
      </c>
      <c r="C312" s="336" t="s">
        <v>1449</v>
      </c>
      <c r="D312">
        <v>22.5</v>
      </c>
      <c r="E312" s="336" t="s">
        <v>1450</v>
      </c>
      <c r="F312">
        <v>6.5</v>
      </c>
      <c r="G312" s="336" t="s">
        <v>1451</v>
      </c>
      <c r="H312">
        <v>0.2</v>
      </c>
    </row>
    <row r="313" spans="1:8" x14ac:dyDescent="0.3">
      <c r="A313" s="336" t="s">
        <v>1452</v>
      </c>
      <c r="B313">
        <v>0</v>
      </c>
      <c r="C313" s="336" t="s">
        <v>1453</v>
      </c>
      <c r="D313">
        <v>67</v>
      </c>
      <c r="E313" s="336" t="s">
        <v>1454</v>
      </c>
      <c r="F313">
        <v>3</v>
      </c>
      <c r="G313" s="336" t="s">
        <v>1455</v>
      </c>
      <c r="H313">
        <v>0.2</v>
      </c>
    </row>
    <row r="314" spans="1:8" x14ac:dyDescent="0.3">
      <c r="A314" s="336" t="s">
        <v>1456</v>
      </c>
      <c r="B314">
        <v>0</v>
      </c>
      <c r="C314" s="336" t="s">
        <v>1457</v>
      </c>
      <c r="D314">
        <v>4.5</v>
      </c>
      <c r="E314" s="336" t="s">
        <v>1458</v>
      </c>
      <c r="F314">
        <v>36.5</v>
      </c>
      <c r="G314" s="336" t="s">
        <v>1459</v>
      </c>
      <c r="H314">
        <v>30.5</v>
      </c>
    </row>
    <row r="315" spans="1:8" x14ac:dyDescent="0.3">
      <c r="A315" s="336" t="s">
        <v>1460</v>
      </c>
      <c r="B315">
        <v>0</v>
      </c>
      <c r="C315" s="336" t="s">
        <v>1461</v>
      </c>
      <c r="D315">
        <v>9</v>
      </c>
      <c r="E315" s="336" t="s">
        <v>1462</v>
      </c>
      <c r="F315">
        <v>0.5</v>
      </c>
      <c r="G315" s="336" t="s">
        <v>1463</v>
      </c>
      <c r="H315">
        <v>17.5</v>
      </c>
    </row>
    <row r="316" spans="1:8" x14ac:dyDescent="0.3">
      <c r="A316" s="336" t="s">
        <v>1464</v>
      </c>
      <c r="B316">
        <v>0</v>
      </c>
      <c r="C316" s="336" t="s">
        <v>1465</v>
      </c>
      <c r="D316">
        <v>4</v>
      </c>
      <c r="E316" s="336" t="s">
        <v>1466</v>
      </c>
      <c r="F316">
        <v>0</v>
      </c>
      <c r="G316" s="336" t="s">
        <v>1467</v>
      </c>
      <c r="H316">
        <v>0.2</v>
      </c>
    </row>
    <row r="317" spans="1:8" x14ac:dyDescent="0.3">
      <c r="A317" s="336" t="s">
        <v>1468</v>
      </c>
      <c r="B317">
        <v>0</v>
      </c>
      <c r="C317" s="336" t="s">
        <v>1469</v>
      </c>
      <c r="D317">
        <v>0</v>
      </c>
      <c r="E317" s="336" t="s">
        <v>1470</v>
      </c>
      <c r="F317">
        <v>25.5</v>
      </c>
      <c r="G317" s="336" t="s">
        <v>1471</v>
      </c>
      <c r="H317">
        <v>0</v>
      </c>
    </row>
    <row r="318" spans="1:8" x14ac:dyDescent="0.3">
      <c r="A318" s="336" t="s">
        <v>1472</v>
      </c>
      <c r="B318">
        <v>0</v>
      </c>
      <c r="C318" s="336" t="s">
        <v>1473</v>
      </c>
      <c r="D318">
        <v>1.5</v>
      </c>
      <c r="E318" s="336" t="s">
        <v>1474</v>
      </c>
      <c r="F318">
        <v>2.5</v>
      </c>
      <c r="G318" s="336" t="s">
        <v>1475</v>
      </c>
      <c r="H318">
        <v>12.2</v>
      </c>
    </row>
    <row r="319" spans="1:8" x14ac:dyDescent="0.3">
      <c r="A319" s="336" t="s">
        <v>1476</v>
      </c>
      <c r="B319">
        <v>0</v>
      </c>
      <c r="C319" s="336" t="s">
        <v>1477</v>
      </c>
      <c r="D319">
        <v>3</v>
      </c>
      <c r="E319" s="336" t="s">
        <v>1478</v>
      </c>
      <c r="F319">
        <v>10.5</v>
      </c>
      <c r="G319" s="336" t="s">
        <v>1479</v>
      </c>
      <c r="H319">
        <v>4.5</v>
      </c>
    </row>
    <row r="320" spans="1:8" x14ac:dyDescent="0.3">
      <c r="A320" s="336" t="s">
        <v>1480</v>
      </c>
      <c r="B320">
        <v>0</v>
      </c>
      <c r="C320" s="336" t="s">
        <v>1481</v>
      </c>
      <c r="D320">
        <v>0.5</v>
      </c>
      <c r="E320" s="336" t="s">
        <v>1482</v>
      </c>
      <c r="F320">
        <v>2.5</v>
      </c>
      <c r="G320" s="336" t="s">
        <v>1483</v>
      </c>
      <c r="H320">
        <v>7</v>
      </c>
    </row>
    <row r="321" spans="1:8" x14ac:dyDescent="0.3">
      <c r="A321" s="336" t="s">
        <v>1484</v>
      </c>
      <c r="B321">
        <v>0</v>
      </c>
      <c r="C321" s="336" t="s">
        <v>1485</v>
      </c>
      <c r="D321">
        <v>4.5</v>
      </c>
      <c r="E321" s="336" t="s">
        <v>1486</v>
      </c>
      <c r="F321">
        <v>0</v>
      </c>
      <c r="G321" s="336" t="s">
        <v>1487</v>
      </c>
      <c r="H321">
        <v>0</v>
      </c>
    </row>
    <row r="322" spans="1:8" x14ac:dyDescent="0.3">
      <c r="A322" s="336" t="s">
        <v>1488</v>
      </c>
      <c r="B322">
        <v>0</v>
      </c>
      <c r="C322" s="336" t="s">
        <v>1489</v>
      </c>
      <c r="D322">
        <v>0</v>
      </c>
      <c r="E322" s="336" t="s">
        <v>1490</v>
      </c>
      <c r="F322">
        <v>6.5</v>
      </c>
      <c r="G322" s="336" t="s">
        <v>1491</v>
      </c>
      <c r="H322">
        <v>0.5</v>
      </c>
    </row>
    <row r="323" spans="1:8" x14ac:dyDescent="0.3">
      <c r="A323" s="336" t="s">
        <v>1492</v>
      </c>
      <c r="B323">
        <v>0</v>
      </c>
      <c r="C323" s="336" t="s">
        <v>1493</v>
      </c>
      <c r="D323">
        <v>0</v>
      </c>
      <c r="E323" s="336" t="s">
        <v>1494</v>
      </c>
      <c r="F323">
        <v>0</v>
      </c>
      <c r="G323" s="336" t="s">
        <v>1495</v>
      </c>
      <c r="H323">
        <v>7.5</v>
      </c>
    </row>
    <row r="324" spans="1:8" x14ac:dyDescent="0.3">
      <c r="A324" s="336" t="s">
        <v>1496</v>
      </c>
      <c r="B324">
        <v>0</v>
      </c>
      <c r="C324" s="336" t="s">
        <v>1497</v>
      </c>
      <c r="D324">
        <v>2.5</v>
      </c>
      <c r="E324" s="336" t="s">
        <v>1498</v>
      </c>
      <c r="F324">
        <v>0</v>
      </c>
      <c r="G324" s="336" t="s">
        <v>1499</v>
      </c>
      <c r="H324">
        <v>43.5</v>
      </c>
    </row>
    <row r="325" spans="1:8" x14ac:dyDescent="0.3">
      <c r="A325" s="336" t="s">
        <v>1500</v>
      </c>
      <c r="B325">
        <v>3</v>
      </c>
      <c r="C325" s="336" t="s">
        <v>1501</v>
      </c>
      <c r="D325">
        <v>2</v>
      </c>
      <c r="E325" s="336" t="s">
        <v>1502</v>
      </c>
      <c r="F325">
        <v>10.5</v>
      </c>
      <c r="G325" s="336" t="s">
        <v>1503</v>
      </c>
      <c r="H325">
        <v>19</v>
      </c>
    </row>
    <row r="326" spans="1:8" x14ac:dyDescent="0.3">
      <c r="A326" s="336" t="s">
        <v>1504</v>
      </c>
      <c r="B326">
        <v>0</v>
      </c>
      <c r="C326" s="336" t="s">
        <v>1505</v>
      </c>
      <c r="D326">
        <v>0.5</v>
      </c>
      <c r="E326" s="336" t="s">
        <v>1506</v>
      </c>
      <c r="F326">
        <v>0</v>
      </c>
      <c r="G326" s="336" t="s">
        <v>1507</v>
      </c>
      <c r="H326">
        <v>16.5</v>
      </c>
    </row>
    <row r="327" spans="1:8" x14ac:dyDescent="0.3">
      <c r="A327" s="336" t="s">
        <v>1508</v>
      </c>
      <c r="B327">
        <v>1.5</v>
      </c>
      <c r="C327" s="336" t="s">
        <v>1509</v>
      </c>
      <c r="D327">
        <v>5.5</v>
      </c>
      <c r="E327" s="336" t="s">
        <v>1510</v>
      </c>
      <c r="F327">
        <v>65.5</v>
      </c>
      <c r="G327" s="336" t="s">
        <v>1511</v>
      </c>
      <c r="H327">
        <v>10.5</v>
      </c>
    </row>
    <row r="328" spans="1:8" x14ac:dyDescent="0.3">
      <c r="A328" s="336" t="s">
        <v>1512</v>
      </c>
      <c r="B328">
        <v>1</v>
      </c>
      <c r="C328" s="336" t="s">
        <v>1513</v>
      </c>
      <c r="D328">
        <v>0</v>
      </c>
      <c r="E328" s="336" t="s">
        <v>1514</v>
      </c>
      <c r="F328">
        <v>65</v>
      </c>
      <c r="G328" s="336" t="s">
        <v>1515</v>
      </c>
      <c r="H328">
        <v>1.5</v>
      </c>
    </row>
    <row r="329" spans="1:8" x14ac:dyDescent="0.3">
      <c r="A329" s="336" t="s">
        <v>1516</v>
      </c>
      <c r="B329">
        <v>0</v>
      </c>
      <c r="C329" s="336" t="s">
        <v>1517</v>
      </c>
      <c r="D329">
        <v>22</v>
      </c>
      <c r="E329" s="336" t="s">
        <v>1518</v>
      </c>
      <c r="F329">
        <v>4</v>
      </c>
      <c r="G329" s="336" t="s">
        <v>1519</v>
      </c>
      <c r="H329">
        <v>11</v>
      </c>
    </row>
    <row r="330" spans="1:8" x14ac:dyDescent="0.3">
      <c r="A330" s="336" t="s">
        <v>1520</v>
      </c>
      <c r="B330">
        <v>3</v>
      </c>
      <c r="C330" s="336" t="s">
        <v>1521</v>
      </c>
      <c r="D330">
        <v>5.5</v>
      </c>
      <c r="E330" s="336" t="s">
        <v>1522</v>
      </c>
      <c r="F330">
        <v>26.5</v>
      </c>
      <c r="G330" s="336" t="s">
        <v>1523</v>
      </c>
      <c r="H330">
        <v>53</v>
      </c>
    </row>
    <row r="331" spans="1:8" x14ac:dyDescent="0.3">
      <c r="A331" s="336" t="s">
        <v>1524</v>
      </c>
      <c r="B331">
        <v>0</v>
      </c>
      <c r="C331" s="336" t="s">
        <v>1525</v>
      </c>
      <c r="D331">
        <v>3</v>
      </c>
      <c r="E331" s="336" t="s">
        <v>1526</v>
      </c>
      <c r="F331">
        <v>0</v>
      </c>
      <c r="G331" s="336" t="s">
        <v>1527</v>
      </c>
      <c r="H331">
        <v>7</v>
      </c>
    </row>
    <row r="332" spans="1:8" x14ac:dyDescent="0.3">
      <c r="A332" s="336" t="s">
        <v>1528</v>
      </c>
      <c r="B332">
        <v>23.5</v>
      </c>
      <c r="C332" s="336" t="s">
        <v>1529</v>
      </c>
      <c r="D332">
        <v>0</v>
      </c>
      <c r="E332" s="336" t="s">
        <v>1530</v>
      </c>
      <c r="F332">
        <v>0</v>
      </c>
      <c r="G332" s="336" t="s">
        <v>1531</v>
      </c>
      <c r="H332">
        <v>1.5</v>
      </c>
    </row>
    <row r="333" spans="1:8" x14ac:dyDescent="0.3">
      <c r="A333" s="336" t="s">
        <v>1532</v>
      </c>
      <c r="B333">
        <v>22.5</v>
      </c>
      <c r="C333" s="336" t="s">
        <v>1533</v>
      </c>
      <c r="D333">
        <v>0</v>
      </c>
      <c r="E333" s="336" t="s">
        <v>1534</v>
      </c>
      <c r="F333">
        <v>13</v>
      </c>
      <c r="G333" s="336" t="s">
        <v>1535</v>
      </c>
      <c r="H333">
        <v>1.5</v>
      </c>
    </row>
    <row r="334" spans="1:8" x14ac:dyDescent="0.3">
      <c r="A334" s="336" t="s">
        <v>1536</v>
      </c>
      <c r="B334">
        <v>0</v>
      </c>
      <c r="C334" s="336" t="s">
        <v>1537</v>
      </c>
      <c r="D334">
        <v>4.5</v>
      </c>
      <c r="E334" s="336" t="s">
        <v>1538</v>
      </c>
      <c r="F334">
        <v>2.6</v>
      </c>
      <c r="G334" s="336" t="s">
        <v>1539</v>
      </c>
      <c r="H334">
        <v>1.5</v>
      </c>
    </row>
    <row r="335" spans="1:8" x14ac:dyDescent="0.3">
      <c r="A335" s="337" t="s">
        <v>1540</v>
      </c>
      <c r="B335" s="338">
        <v>0</v>
      </c>
      <c r="C335" s="337" t="s">
        <v>1541</v>
      </c>
      <c r="D335" s="338">
        <v>37</v>
      </c>
      <c r="E335" s="337" t="s">
        <v>1542</v>
      </c>
      <c r="F335" s="338">
        <v>1.5</v>
      </c>
      <c r="G335" s="337" t="s">
        <v>1543</v>
      </c>
      <c r="H335">
        <v>4</v>
      </c>
    </row>
    <row r="336" spans="1:8" x14ac:dyDescent="0.3">
      <c r="A336" s="336" t="s">
        <v>1544</v>
      </c>
      <c r="B336">
        <v>22.5</v>
      </c>
      <c r="C336" s="336" t="s">
        <v>1545</v>
      </c>
      <c r="D336">
        <v>73.5</v>
      </c>
      <c r="E336" s="336" t="s">
        <v>1546</v>
      </c>
      <c r="F336">
        <v>24.5</v>
      </c>
      <c r="G336" s="336" t="s">
        <v>1547</v>
      </c>
      <c r="H336">
        <v>2.6</v>
      </c>
    </row>
    <row r="337" spans="1:8" x14ac:dyDescent="0.3">
      <c r="A337" s="336" t="s">
        <v>1548</v>
      </c>
      <c r="B337">
        <v>67</v>
      </c>
      <c r="C337" s="336" t="s">
        <v>1549</v>
      </c>
      <c r="D337">
        <v>25.5</v>
      </c>
      <c r="E337" s="336" t="s">
        <v>1550</v>
      </c>
      <c r="F337">
        <v>4</v>
      </c>
      <c r="G337" s="336" t="s">
        <v>1551</v>
      </c>
      <c r="H337">
        <v>38</v>
      </c>
    </row>
    <row r="338" spans="1:8" x14ac:dyDescent="0.3">
      <c r="A338" s="336" t="s">
        <v>1552</v>
      </c>
      <c r="B338">
        <v>4.5</v>
      </c>
      <c r="C338" s="336" t="s">
        <v>1553</v>
      </c>
      <c r="D338">
        <v>10.5</v>
      </c>
      <c r="E338" s="336" t="s">
        <v>1554</v>
      </c>
      <c r="F338">
        <v>0</v>
      </c>
      <c r="G338" s="336" t="s">
        <v>1555</v>
      </c>
      <c r="H338">
        <v>1.5</v>
      </c>
    </row>
    <row r="339" spans="1:8" x14ac:dyDescent="0.3">
      <c r="A339" s="336" t="s">
        <v>1556</v>
      </c>
      <c r="B339">
        <v>9</v>
      </c>
      <c r="C339" s="336" t="s">
        <v>1557</v>
      </c>
      <c r="D339">
        <v>3.5</v>
      </c>
      <c r="E339" s="336" t="s">
        <v>1558</v>
      </c>
      <c r="F339">
        <v>60.5</v>
      </c>
      <c r="G339" s="336" t="s">
        <v>1559</v>
      </c>
      <c r="H339">
        <v>37</v>
      </c>
    </row>
    <row r="340" spans="1:8" x14ac:dyDescent="0.3">
      <c r="A340" s="336" t="s">
        <v>1560</v>
      </c>
      <c r="B340">
        <v>4</v>
      </c>
      <c r="C340" s="336" t="s">
        <v>1561</v>
      </c>
      <c r="D340">
        <v>3</v>
      </c>
      <c r="E340" s="336" t="s">
        <v>1562</v>
      </c>
      <c r="F340">
        <v>23.5</v>
      </c>
      <c r="G340" s="336" t="s">
        <v>1563</v>
      </c>
      <c r="H340">
        <v>0</v>
      </c>
    </row>
    <row r="341" spans="1:8" x14ac:dyDescent="0.3">
      <c r="A341" s="336" t="s">
        <v>1564</v>
      </c>
      <c r="B341">
        <v>0</v>
      </c>
      <c r="C341" s="336" t="s">
        <v>1565</v>
      </c>
      <c r="D341">
        <v>4.5</v>
      </c>
      <c r="E341" s="336" t="s">
        <v>1566</v>
      </c>
      <c r="F341">
        <v>8</v>
      </c>
      <c r="G341" s="336" t="s">
        <v>1567</v>
      </c>
      <c r="H341">
        <v>7.5</v>
      </c>
    </row>
    <row r="342" spans="1:8" x14ac:dyDescent="0.3">
      <c r="A342" s="336" t="s">
        <v>1568</v>
      </c>
      <c r="B342">
        <v>1.5</v>
      </c>
      <c r="C342" s="336" t="s">
        <v>1569</v>
      </c>
      <c r="D342">
        <v>20</v>
      </c>
      <c r="E342" s="336" t="s">
        <v>1570</v>
      </c>
      <c r="F342">
        <v>0</v>
      </c>
      <c r="G342" s="336" t="s">
        <v>1571</v>
      </c>
      <c r="H342">
        <v>6</v>
      </c>
    </row>
    <row r="343" spans="1:8" x14ac:dyDescent="0.3">
      <c r="A343" s="336" t="s">
        <v>1572</v>
      </c>
      <c r="B343">
        <v>3</v>
      </c>
      <c r="C343" s="336" t="s">
        <v>1573</v>
      </c>
      <c r="D343">
        <v>0.5</v>
      </c>
      <c r="E343" s="336" t="s">
        <v>1574</v>
      </c>
      <c r="F343">
        <v>0</v>
      </c>
      <c r="G343" s="336" t="s">
        <v>1575</v>
      </c>
      <c r="H343">
        <v>0.5</v>
      </c>
    </row>
    <row r="344" spans="1:8" x14ac:dyDescent="0.3">
      <c r="A344" s="336" t="s">
        <v>1576</v>
      </c>
      <c r="B344">
        <v>0.5</v>
      </c>
      <c r="C344" s="336" t="s">
        <v>1577</v>
      </c>
      <c r="D344">
        <v>32.5</v>
      </c>
      <c r="E344" s="336" t="s">
        <v>1578</v>
      </c>
      <c r="F344">
        <v>10.5</v>
      </c>
      <c r="G344" s="336" t="s">
        <v>1579</v>
      </c>
      <c r="H344">
        <v>6</v>
      </c>
    </row>
    <row r="345" spans="1:8" x14ac:dyDescent="0.3">
      <c r="A345" s="336" t="s">
        <v>1580</v>
      </c>
      <c r="B345">
        <v>4.5</v>
      </c>
      <c r="C345" s="336" t="s">
        <v>1581</v>
      </c>
      <c r="D345">
        <v>5</v>
      </c>
      <c r="E345" s="336" t="s">
        <v>1582</v>
      </c>
      <c r="F345">
        <v>0</v>
      </c>
      <c r="G345" s="336" t="s">
        <v>1583</v>
      </c>
      <c r="H345">
        <v>10.5</v>
      </c>
    </row>
    <row r="346" spans="1:8" x14ac:dyDescent="0.3">
      <c r="A346" s="336" t="s">
        <v>1584</v>
      </c>
      <c r="B346">
        <v>0</v>
      </c>
      <c r="C346" s="336" t="s">
        <v>1585</v>
      </c>
      <c r="D346">
        <v>4</v>
      </c>
      <c r="E346" s="336" t="s">
        <v>1586</v>
      </c>
      <c r="F346">
        <v>1.5</v>
      </c>
      <c r="G346" s="336" t="s">
        <v>1587</v>
      </c>
      <c r="H346">
        <v>1</v>
      </c>
    </row>
    <row r="347" spans="1:8" x14ac:dyDescent="0.3">
      <c r="A347" s="336" t="s">
        <v>1588</v>
      </c>
      <c r="B347">
        <v>0</v>
      </c>
      <c r="C347" s="336" t="s">
        <v>1589</v>
      </c>
      <c r="D347">
        <v>0</v>
      </c>
      <c r="E347" s="336" t="s">
        <v>1590</v>
      </c>
      <c r="F347">
        <v>19</v>
      </c>
      <c r="G347" s="336" t="s">
        <v>1591</v>
      </c>
      <c r="H347">
        <v>3</v>
      </c>
    </row>
    <row r="348" spans="1:8" x14ac:dyDescent="0.3">
      <c r="A348" s="336" t="s">
        <v>1592</v>
      </c>
      <c r="B348">
        <v>2.5</v>
      </c>
      <c r="C348" s="336" t="s">
        <v>1593</v>
      </c>
      <c r="D348">
        <v>13.5</v>
      </c>
      <c r="E348" s="336" t="s">
        <v>1594</v>
      </c>
      <c r="F348">
        <v>2.5</v>
      </c>
      <c r="G348" s="336" t="s">
        <v>1595</v>
      </c>
      <c r="H348">
        <v>0</v>
      </c>
    </row>
    <row r="349" spans="1:8" x14ac:dyDescent="0.3">
      <c r="A349" s="336" t="s">
        <v>1596</v>
      </c>
      <c r="B349">
        <v>2</v>
      </c>
      <c r="C349" s="336" t="s">
        <v>1597</v>
      </c>
      <c r="D349">
        <v>23.5</v>
      </c>
      <c r="E349" s="336" t="s">
        <v>1598</v>
      </c>
      <c r="F349">
        <v>14</v>
      </c>
      <c r="G349" s="336" t="s">
        <v>1599</v>
      </c>
      <c r="H349">
        <v>7.5</v>
      </c>
    </row>
    <row r="350" spans="1:8" x14ac:dyDescent="0.3">
      <c r="A350" s="336" t="s">
        <v>1600</v>
      </c>
      <c r="B350">
        <v>0.5</v>
      </c>
      <c r="C350" s="336" t="s">
        <v>1601</v>
      </c>
      <c r="D350">
        <v>14.5</v>
      </c>
      <c r="E350" s="336" t="s">
        <v>1602</v>
      </c>
      <c r="F350">
        <v>1</v>
      </c>
      <c r="G350" s="336" t="s">
        <v>1603</v>
      </c>
      <c r="H350">
        <v>0</v>
      </c>
    </row>
    <row r="351" spans="1:8" x14ac:dyDescent="0.3">
      <c r="A351" s="336" t="s">
        <v>1604</v>
      </c>
      <c r="B351">
        <v>5.5</v>
      </c>
      <c r="C351" s="336" t="s">
        <v>1605</v>
      </c>
      <c r="D351">
        <v>0</v>
      </c>
      <c r="E351" s="336" t="s">
        <v>1606</v>
      </c>
      <c r="F351">
        <v>4.5</v>
      </c>
      <c r="G351" s="336" t="s">
        <v>1607</v>
      </c>
      <c r="H351">
        <v>36</v>
      </c>
    </row>
    <row r="352" spans="1:8" x14ac:dyDescent="0.3">
      <c r="A352" s="336" t="s">
        <v>1608</v>
      </c>
      <c r="B352">
        <v>0</v>
      </c>
      <c r="C352" s="336" t="s">
        <v>1609</v>
      </c>
      <c r="D352">
        <v>0</v>
      </c>
      <c r="E352" s="336" t="s">
        <v>1610</v>
      </c>
      <c r="F352">
        <v>0</v>
      </c>
      <c r="G352" s="336" t="s">
        <v>1611</v>
      </c>
      <c r="H352">
        <v>23</v>
      </c>
    </row>
    <row r="353" spans="1:8" x14ac:dyDescent="0.3">
      <c r="A353" s="336" t="s">
        <v>1612</v>
      </c>
      <c r="B353">
        <v>22</v>
      </c>
      <c r="C353" s="336" t="s">
        <v>1613</v>
      </c>
      <c r="D353">
        <v>12</v>
      </c>
      <c r="E353" s="336" t="s">
        <v>1614</v>
      </c>
      <c r="F353">
        <v>0.5</v>
      </c>
      <c r="G353" s="336" t="s">
        <v>1615</v>
      </c>
      <c r="H353">
        <v>4</v>
      </c>
    </row>
    <row r="354" spans="1:8" x14ac:dyDescent="0.3">
      <c r="A354" s="336" t="s">
        <v>1616</v>
      </c>
      <c r="B354">
        <v>5.5</v>
      </c>
      <c r="C354" s="336" t="s">
        <v>1617</v>
      </c>
      <c r="D354">
        <v>0</v>
      </c>
      <c r="E354" s="336" t="s">
        <v>1618</v>
      </c>
      <c r="F354">
        <v>2.5</v>
      </c>
      <c r="G354" s="336" t="s">
        <v>1619</v>
      </c>
      <c r="H354">
        <v>8</v>
      </c>
    </row>
    <row r="355" spans="1:8" x14ac:dyDescent="0.3">
      <c r="A355" s="336" t="s">
        <v>1620</v>
      </c>
      <c r="B355">
        <v>3</v>
      </c>
      <c r="C355" s="336" t="s">
        <v>1621</v>
      </c>
      <c r="D355">
        <v>0</v>
      </c>
      <c r="E355" s="336" t="s">
        <v>1622</v>
      </c>
      <c r="F355">
        <v>0</v>
      </c>
      <c r="G355" s="336" t="s">
        <v>1623</v>
      </c>
      <c r="H355">
        <v>0</v>
      </c>
    </row>
    <row r="356" spans="1:8" x14ac:dyDescent="0.3">
      <c r="A356" s="336" t="s">
        <v>1624</v>
      </c>
      <c r="B356">
        <v>0</v>
      </c>
      <c r="C356" s="336" t="s">
        <v>1625</v>
      </c>
      <c r="D356">
        <v>13</v>
      </c>
      <c r="E356" s="336" t="s">
        <v>1626</v>
      </c>
      <c r="F356">
        <v>25.5</v>
      </c>
      <c r="G356" s="336" t="s">
        <v>1627</v>
      </c>
      <c r="H356">
        <v>6</v>
      </c>
    </row>
    <row r="357" spans="1:8" x14ac:dyDescent="0.3">
      <c r="A357" s="336" t="s">
        <v>1628</v>
      </c>
      <c r="B357">
        <v>0</v>
      </c>
      <c r="C357" s="336" t="s">
        <v>1629</v>
      </c>
      <c r="D357">
        <v>2.5</v>
      </c>
      <c r="E357" s="336" t="s">
        <v>1630</v>
      </c>
      <c r="F357">
        <v>0</v>
      </c>
      <c r="G357" s="336" t="s">
        <v>1631</v>
      </c>
      <c r="H357">
        <v>0</v>
      </c>
    </row>
    <row r="358" spans="1:8" x14ac:dyDescent="0.3">
      <c r="A358" s="336" t="s">
        <v>1632</v>
      </c>
      <c r="B358">
        <v>4.5</v>
      </c>
      <c r="C358" s="336" t="s">
        <v>1633</v>
      </c>
      <c r="D358">
        <v>0</v>
      </c>
      <c r="E358" s="336" t="s">
        <v>1634</v>
      </c>
      <c r="F358">
        <v>0</v>
      </c>
      <c r="G358" s="336" t="s">
        <v>1635</v>
      </c>
      <c r="H358">
        <v>11</v>
      </c>
    </row>
    <row r="359" spans="1:8" x14ac:dyDescent="0.3">
      <c r="A359" s="336" t="s">
        <v>1636</v>
      </c>
      <c r="B359">
        <v>37</v>
      </c>
      <c r="C359" s="336" t="s">
        <v>1637</v>
      </c>
      <c r="D359">
        <v>0</v>
      </c>
      <c r="E359" s="336" t="s">
        <v>1638</v>
      </c>
      <c r="F359">
        <v>36.5</v>
      </c>
      <c r="G359" s="336" t="s">
        <v>1639</v>
      </c>
      <c r="H359">
        <v>0</v>
      </c>
    </row>
    <row r="360" spans="1:8" x14ac:dyDescent="0.3">
      <c r="A360" s="336" t="s">
        <v>1640</v>
      </c>
      <c r="B360">
        <v>73.5</v>
      </c>
      <c r="C360" s="336" t="s">
        <v>1641</v>
      </c>
      <c r="D360">
        <v>0</v>
      </c>
      <c r="E360" s="336" t="s">
        <v>1642</v>
      </c>
      <c r="F360">
        <v>0.5</v>
      </c>
      <c r="G360" s="336" t="s">
        <v>1643</v>
      </c>
      <c r="H360">
        <v>0</v>
      </c>
    </row>
    <row r="361" spans="1:8" x14ac:dyDescent="0.3">
      <c r="A361" s="336" t="s">
        <v>1644</v>
      </c>
      <c r="B361">
        <v>25.5</v>
      </c>
      <c r="C361" s="336" t="s">
        <v>1645</v>
      </c>
      <c r="D361">
        <v>0</v>
      </c>
      <c r="E361" s="336" t="s">
        <v>1646</v>
      </c>
      <c r="F361">
        <v>26.5</v>
      </c>
      <c r="G361" s="336" t="s">
        <v>1647</v>
      </c>
      <c r="H361">
        <v>3.8</v>
      </c>
    </row>
    <row r="362" spans="1:8" x14ac:dyDescent="0.3">
      <c r="A362" s="336" t="s">
        <v>1648</v>
      </c>
      <c r="B362">
        <v>10.5</v>
      </c>
      <c r="C362" s="336" t="s">
        <v>1649</v>
      </c>
      <c r="D362">
        <v>2.5</v>
      </c>
      <c r="E362" s="336" t="s">
        <v>1650</v>
      </c>
      <c r="F362">
        <v>6.5</v>
      </c>
      <c r="G362" s="336" t="s">
        <v>1651</v>
      </c>
      <c r="H362">
        <v>1.5</v>
      </c>
    </row>
    <row r="363" spans="1:8" x14ac:dyDescent="0.3">
      <c r="A363" s="336" t="s">
        <v>1652</v>
      </c>
      <c r="B363">
        <v>3.5</v>
      </c>
      <c r="C363" s="336" t="s">
        <v>1653</v>
      </c>
      <c r="D363">
        <v>3</v>
      </c>
      <c r="E363" s="336" t="s">
        <v>1654</v>
      </c>
      <c r="F363">
        <v>0</v>
      </c>
      <c r="G363" s="336" t="s">
        <v>1655</v>
      </c>
      <c r="H363">
        <v>2.5</v>
      </c>
    </row>
    <row r="364" spans="1:8" x14ac:dyDescent="0.3">
      <c r="A364" s="336" t="s">
        <v>1656</v>
      </c>
      <c r="B364">
        <v>3</v>
      </c>
      <c r="C364" s="336" t="s">
        <v>1657</v>
      </c>
      <c r="D364">
        <v>0</v>
      </c>
      <c r="E364" s="336" t="s">
        <v>1658</v>
      </c>
      <c r="F364">
        <v>3.5</v>
      </c>
      <c r="G364" s="336" t="s">
        <v>1659</v>
      </c>
      <c r="H364">
        <v>0</v>
      </c>
    </row>
    <row r="365" spans="1:8" x14ac:dyDescent="0.3">
      <c r="A365" s="336" t="s">
        <v>1660</v>
      </c>
      <c r="B365">
        <v>4.5</v>
      </c>
      <c r="C365" s="336" t="s">
        <v>1661</v>
      </c>
      <c r="D365">
        <v>0</v>
      </c>
      <c r="E365" s="336" t="s">
        <v>1662</v>
      </c>
      <c r="F365">
        <v>0.5</v>
      </c>
      <c r="G365" s="336" t="s">
        <v>1663</v>
      </c>
      <c r="H365">
        <v>7</v>
      </c>
    </row>
    <row r="366" spans="1:8" x14ac:dyDescent="0.3">
      <c r="A366" s="336" t="s">
        <v>1664</v>
      </c>
      <c r="B366">
        <v>20</v>
      </c>
      <c r="C366" s="336" t="s">
        <v>1665</v>
      </c>
      <c r="D366">
        <v>6.2</v>
      </c>
      <c r="E366" s="336" t="s">
        <v>1666</v>
      </c>
      <c r="F366">
        <v>8.5</v>
      </c>
      <c r="G366" s="336" t="s">
        <v>1667</v>
      </c>
      <c r="H366">
        <v>18</v>
      </c>
    </row>
    <row r="367" spans="1:8" x14ac:dyDescent="0.3">
      <c r="B367">
        <v>0.5</v>
      </c>
      <c r="D367">
        <v>32.5</v>
      </c>
      <c r="E367" s="336"/>
      <c r="F367">
        <v>9.5</v>
      </c>
      <c r="H36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8F0F-682A-4D81-889A-1D6A6281AC2A}">
  <sheetPr>
    <tabColor theme="1" tint="0.499984740745262"/>
  </sheetPr>
  <dimension ref="A2:N1101"/>
  <sheetViews>
    <sheetView workbookViewId="0">
      <selection activeCell="P8" sqref="P8"/>
    </sheetView>
  </sheetViews>
  <sheetFormatPr defaultRowHeight="14.4" x14ac:dyDescent="0.3"/>
  <cols>
    <col min="1" max="1" width="13" customWidth="1"/>
    <col min="5" max="13" width="0" hidden="1" customWidth="1"/>
  </cols>
  <sheetData>
    <row r="2" spans="1:14" ht="31.2" x14ac:dyDescent="0.3">
      <c r="A2" s="801" t="s">
        <v>1668</v>
      </c>
      <c r="B2" s="386" t="s">
        <v>1669</v>
      </c>
      <c r="C2" s="386" t="s">
        <v>1670</v>
      </c>
      <c r="D2" s="386" t="s">
        <v>1671</v>
      </c>
      <c r="E2" s="801" t="s">
        <v>1672</v>
      </c>
      <c r="F2" s="802"/>
      <c r="G2" s="803"/>
      <c r="H2" s="801" t="s">
        <v>1673</v>
      </c>
      <c r="I2" s="802"/>
      <c r="J2" s="803"/>
      <c r="K2" s="801" t="s">
        <v>1674</v>
      </c>
      <c r="L2" s="802"/>
      <c r="M2" s="803"/>
    </row>
    <row r="3" spans="1:14" x14ac:dyDescent="0.3">
      <c r="A3" s="804"/>
      <c r="B3" s="389" t="s">
        <v>1675</v>
      </c>
      <c r="C3" s="387" t="s">
        <v>1675</v>
      </c>
      <c r="D3" s="387" t="s">
        <v>1675</v>
      </c>
      <c r="E3" s="387" t="s">
        <v>1675</v>
      </c>
      <c r="F3" s="387" t="s">
        <v>1676</v>
      </c>
      <c r="G3" s="387" t="s">
        <v>1677</v>
      </c>
      <c r="H3" s="387" t="s">
        <v>1675</v>
      </c>
      <c r="I3" s="387" t="s">
        <v>1676</v>
      </c>
      <c r="J3" s="387" t="s">
        <v>1677</v>
      </c>
      <c r="K3" s="387" t="s">
        <v>1675</v>
      </c>
      <c r="L3" s="387" t="s">
        <v>1676</v>
      </c>
      <c r="M3" s="387" t="s">
        <v>1677</v>
      </c>
    </row>
    <row r="4" spans="1:14" x14ac:dyDescent="0.3">
      <c r="A4" s="388" t="s">
        <v>3297</v>
      </c>
      <c r="B4" s="390"/>
      <c r="C4" s="388">
        <v>13</v>
      </c>
      <c r="D4" s="388"/>
      <c r="E4" s="388">
        <v>4.2</v>
      </c>
      <c r="F4" s="388">
        <v>4.2</v>
      </c>
      <c r="G4" s="388">
        <v>4.2</v>
      </c>
      <c r="H4" s="388">
        <v>4</v>
      </c>
      <c r="I4" s="388">
        <v>4</v>
      </c>
      <c r="J4" s="388">
        <v>4</v>
      </c>
      <c r="K4" s="388">
        <v>3</v>
      </c>
      <c r="L4" s="388">
        <v>3</v>
      </c>
      <c r="M4" s="388">
        <v>3</v>
      </c>
      <c r="N4">
        <f>MAX(B4:D4)</f>
        <v>13</v>
      </c>
    </row>
    <row r="5" spans="1:14" x14ac:dyDescent="0.3">
      <c r="A5" s="388" t="s">
        <v>3298</v>
      </c>
      <c r="B5" s="390"/>
      <c r="C5" s="388">
        <v>0.5</v>
      </c>
      <c r="D5" s="388"/>
      <c r="E5" s="388">
        <v>0</v>
      </c>
      <c r="F5" s="388">
        <v>4.2</v>
      </c>
      <c r="G5" s="388">
        <v>4.2</v>
      </c>
      <c r="H5" s="388">
        <v>0.5</v>
      </c>
      <c r="I5" s="388">
        <v>4.5</v>
      </c>
      <c r="J5" s="388">
        <v>4.5</v>
      </c>
      <c r="K5" s="388">
        <v>1</v>
      </c>
      <c r="L5" s="388">
        <v>4</v>
      </c>
      <c r="M5" s="388">
        <v>4</v>
      </c>
      <c r="N5">
        <f t="shared" ref="N5:N68" si="0">MAX(B5:D5)</f>
        <v>0.5</v>
      </c>
    </row>
    <row r="6" spans="1:14" x14ac:dyDescent="0.3">
      <c r="A6" s="388" t="s">
        <v>3299</v>
      </c>
      <c r="B6" s="390"/>
      <c r="C6" s="388">
        <v>0</v>
      </c>
      <c r="D6" s="388"/>
      <c r="E6" s="388">
        <v>0</v>
      </c>
      <c r="F6" s="388">
        <v>4.2</v>
      </c>
      <c r="G6" s="388">
        <v>4.2</v>
      </c>
      <c r="H6" s="388">
        <v>0</v>
      </c>
      <c r="I6" s="388">
        <v>4.5</v>
      </c>
      <c r="J6" s="388">
        <v>4.5</v>
      </c>
      <c r="K6" s="388">
        <v>0</v>
      </c>
      <c r="L6" s="388">
        <v>4</v>
      </c>
      <c r="M6" s="388">
        <v>4</v>
      </c>
      <c r="N6">
        <f t="shared" si="0"/>
        <v>0</v>
      </c>
    </row>
    <row r="7" spans="1:14" x14ac:dyDescent="0.3">
      <c r="A7" s="388" t="s">
        <v>3300</v>
      </c>
      <c r="B7" s="390"/>
      <c r="C7" s="388">
        <v>0</v>
      </c>
      <c r="D7" s="388"/>
      <c r="E7" s="388">
        <v>0</v>
      </c>
      <c r="F7" s="388">
        <v>4.2</v>
      </c>
      <c r="G7" s="388">
        <v>4.2</v>
      </c>
      <c r="H7" s="388">
        <v>0</v>
      </c>
      <c r="I7" s="388">
        <v>4.5</v>
      </c>
      <c r="J7" s="388">
        <v>4.5</v>
      </c>
      <c r="K7" s="388">
        <v>0</v>
      </c>
      <c r="L7" s="388">
        <v>4</v>
      </c>
      <c r="M7" s="388">
        <v>4</v>
      </c>
      <c r="N7">
        <f t="shared" si="0"/>
        <v>0</v>
      </c>
    </row>
    <row r="8" spans="1:14" x14ac:dyDescent="0.3">
      <c r="A8" s="388" t="s">
        <v>3301</v>
      </c>
      <c r="B8" s="390"/>
      <c r="C8" s="388">
        <v>0</v>
      </c>
      <c r="D8" s="388"/>
      <c r="E8" s="388">
        <v>0</v>
      </c>
      <c r="F8" s="388">
        <v>4.2</v>
      </c>
      <c r="G8" s="388">
        <v>4.2</v>
      </c>
      <c r="H8" s="388">
        <v>0</v>
      </c>
      <c r="I8" s="388">
        <v>4.5</v>
      </c>
      <c r="J8" s="388">
        <v>4.5</v>
      </c>
      <c r="K8" s="388">
        <v>0</v>
      </c>
      <c r="L8" s="388">
        <v>4</v>
      </c>
      <c r="M8" s="388">
        <v>4</v>
      </c>
      <c r="N8">
        <f t="shared" si="0"/>
        <v>0</v>
      </c>
    </row>
    <row r="9" spans="1:14" x14ac:dyDescent="0.3">
      <c r="A9" s="388" t="s">
        <v>3302</v>
      </c>
      <c r="B9" s="390"/>
      <c r="C9" s="388">
        <v>2</v>
      </c>
      <c r="D9" s="388"/>
      <c r="E9" s="388">
        <v>1.5</v>
      </c>
      <c r="F9" s="388">
        <v>5.7</v>
      </c>
      <c r="G9" s="388">
        <v>5.7</v>
      </c>
      <c r="H9" s="388">
        <v>1</v>
      </c>
      <c r="I9" s="388">
        <v>5.5</v>
      </c>
      <c r="J9" s="388">
        <v>5.5</v>
      </c>
      <c r="K9" s="388">
        <v>1</v>
      </c>
      <c r="L9" s="388">
        <v>5</v>
      </c>
      <c r="M9" s="388">
        <v>5</v>
      </c>
      <c r="N9">
        <f t="shared" si="0"/>
        <v>2</v>
      </c>
    </row>
    <row r="10" spans="1:14" x14ac:dyDescent="0.3">
      <c r="A10" s="388" t="s">
        <v>3303</v>
      </c>
      <c r="B10" s="390"/>
      <c r="C10" s="388">
        <v>0.5</v>
      </c>
      <c r="D10" s="388"/>
      <c r="E10" s="388">
        <v>0.2</v>
      </c>
      <c r="F10" s="388">
        <v>5.9</v>
      </c>
      <c r="G10" s="388">
        <v>5.9</v>
      </c>
      <c r="H10" s="388">
        <v>0.5</v>
      </c>
      <c r="I10" s="388">
        <v>6</v>
      </c>
      <c r="J10" s="388">
        <v>6</v>
      </c>
      <c r="K10" s="388">
        <v>0.5</v>
      </c>
      <c r="L10" s="388">
        <v>5.5</v>
      </c>
      <c r="M10" s="388">
        <v>5.5</v>
      </c>
      <c r="N10">
        <f t="shared" si="0"/>
        <v>0.5</v>
      </c>
    </row>
    <row r="11" spans="1:14" x14ac:dyDescent="0.3">
      <c r="A11" s="388" t="s">
        <v>3304</v>
      </c>
      <c r="B11" s="390"/>
      <c r="C11" s="388">
        <v>22.5</v>
      </c>
      <c r="D11" s="388"/>
      <c r="E11" s="388">
        <v>12.4</v>
      </c>
      <c r="F11" s="388">
        <v>18.3</v>
      </c>
      <c r="G11" s="388">
        <v>18.3</v>
      </c>
      <c r="H11" s="388">
        <v>15</v>
      </c>
      <c r="I11" s="388">
        <v>21</v>
      </c>
      <c r="J11" s="388">
        <v>21</v>
      </c>
      <c r="K11" s="388">
        <v>11</v>
      </c>
      <c r="L11" s="388">
        <v>16.5</v>
      </c>
      <c r="M11" s="388">
        <v>16.5</v>
      </c>
      <c r="N11">
        <f t="shared" si="0"/>
        <v>22.5</v>
      </c>
    </row>
    <row r="12" spans="1:14" x14ac:dyDescent="0.3">
      <c r="A12" s="388" t="s">
        <v>3305</v>
      </c>
      <c r="B12" s="390"/>
      <c r="C12" s="388">
        <v>4.5</v>
      </c>
      <c r="D12" s="388"/>
      <c r="E12" s="388">
        <v>2.8</v>
      </c>
      <c r="F12" s="388">
        <v>21.1</v>
      </c>
      <c r="G12" s="388">
        <v>21.1</v>
      </c>
      <c r="H12" s="388">
        <v>3</v>
      </c>
      <c r="I12" s="388">
        <v>24</v>
      </c>
      <c r="J12" s="388">
        <v>24</v>
      </c>
      <c r="K12" s="388">
        <v>3.5</v>
      </c>
      <c r="L12" s="388">
        <v>20</v>
      </c>
      <c r="M12" s="388">
        <v>20</v>
      </c>
      <c r="N12">
        <f t="shared" si="0"/>
        <v>4.5</v>
      </c>
    </row>
    <row r="13" spans="1:14" x14ac:dyDescent="0.3">
      <c r="A13" s="388" t="s">
        <v>3306</v>
      </c>
      <c r="B13" s="390"/>
      <c r="C13" s="388">
        <v>52.5</v>
      </c>
      <c r="D13" s="388"/>
      <c r="E13" s="388">
        <v>32</v>
      </c>
      <c r="F13" s="388">
        <v>53.1</v>
      </c>
      <c r="G13" s="388">
        <v>53.1</v>
      </c>
      <c r="H13" s="388">
        <v>44.5</v>
      </c>
      <c r="I13" s="388">
        <v>68.5</v>
      </c>
      <c r="J13" s="388">
        <v>68.5</v>
      </c>
      <c r="K13" s="388">
        <v>30.5</v>
      </c>
      <c r="L13" s="388">
        <v>50.5</v>
      </c>
      <c r="M13" s="388">
        <v>50.5</v>
      </c>
      <c r="N13">
        <f t="shared" si="0"/>
        <v>52.5</v>
      </c>
    </row>
    <row r="14" spans="1:14" x14ac:dyDescent="0.3">
      <c r="A14" s="388" t="s">
        <v>3307</v>
      </c>
      <c r="B14" s="390"/>
      <c r="C14" s="388">
        <v>0.5</v>
      </c>
      <c r="D14" s="388"/>
      <c r="E14" s="388">
        <v>0.2</v>
      </c>
      <c r="F14" s="388">
        <v>53.3</v>
      </c>
      <c r="G14" s="388">
        <v>53.3</v>
      </c>
      <c r="H14" s="388">
        <v>0.5</v>
      </c>
      <c r="I14" s="388">
        <v>69</v>
      </c>
      <c r="J14" s="388">
        <v>69</v>
      </c>
      <c r="K14" s="388">
        <v>0.5</v>
      </c>
      <c r="L14" s="388">
        <v>51</v>
      </c>
      <c r="M14" s="388">
        <v>51</v>
      </c>
      <c r="N14">
        <f t="shared" si="0"/>
        <v>0.5</v>
      </c>
    </row>
    <row r="15" spans="1:14" x14ac:dyDescent="0.3">
      <c r="A15" s="388" t="s">
        <v>3308</v>
      </c>
      <c r="B15" s="390"/>
      <c r="C15" s="388">
        <v>2</v>
      </c>
      <c r="D15" s="388"/>
      <c r="E15" s="388">
        <v>1</v>
      </c>
      <c r="F15" s="388">
        <v>54.3</v>
      </c>
      <c r="G15" s="388">
        <v>54.3</v>
      </c>
      <c r="H15" s="388">
        <v>1</v>
      </c>
      <c r="I15" s="388">
        <v>70</v>
      </c>
      <c r="J15" s="388">
        <v>70</v>
      </c>
      <c r="K15" s="388">
        <v>1.5</v>
      </c>
      <c r="L15" s="388">
        <v>52.5</v>
      </c>
      <c r="M15" s="388">
        <v>52.5</v>
      </c>
      <c r="N15">
        <f t="shared" si="0"/>
        <v>2</v>
      </c>
    </row>
    <row r="16" spans="1:14" x14ac:dyDescent="0.3">
      <c r="A16" s="388" t="s">
        <v>3309</v>
      </c>
      <c r="B16" s="390"/>
      <c r="C16" s="388">
        <v>85.5</v>
      </c>
      <c r="D16" s="388"/>
      <c r="E16" s="388">
        <v>28.6</v>
      </c>
      <c r="F16" s="388">
        <v>82.9</v>
      </c>
      <c r="G16" s="388">
        <v>82.9</v>
      </c>
      <c r="H16" s="388">
        <v>33</v>
      </c>
      <c r="I16" s="388">
        <v>103</v>
      </c>
      <c r="J16" s="388">
        <v>103</v>
      </c>
      <c r="K16" s="388">
        <v>34.5</v>
      </c>
      <c r="L16" s="388">
        <v>87</v>
      </c>
      <c r="M16" s="388">
        <v>87</v>
      </c>
      <c r="N16">
        <f t="shared" si="0"/>
        <v>85.5</v>
      </c>
    </row>
    <row r="17" spans="1:14" x14ac:dyDescent="0.3">
      <c r="A17" s="388" t="s">
        <v>3310</v>
      </c>
      <c r="B17" s="390"/>
      <c r="C17" s="388">
        <v>2</v>
      </c>
      <c r="D17" s="388"/>
      <c r="E17" s="388">
        <v>5.2</v>
      </c>
      <c r="F17" s="388">
        <v>88.1</v>
      </c>
      <c r="G17" s="388">
        <v>88.1</v>
      </c>
      <c r="H17" s="388">
        <v>5.5</v>
      </c>
      <c r="I17" s="388">
        <v>108.5</v>
      </c>
      <c r="J17" s="388">
        <v>108.5</v>
      </c>
      <c r="K17" s="388">
        <v>4.5</v>
      </c>
      <c r="L17" s="388">
        <v>91.5</v>
      </c>
      <c r="M17" s="388">
        <v>91.5</v>
      </c>
      <c r="N17">
        <f t="shared" si="0"/>
        <v>2</v>
      </c>
    </row>
    <row r="18" spans="1:14" x14ac:dyDescent="0.3">
      <c r="A18" s="388" t="s">
        <v>3311</v>
      </c>
      <c r="B18" s="390"/>
      <c r="C18" s="388">
        <v>15.5</v>
      </c>
      <c r="D18" s="388"/>
      <c r="E18" s="388">
        <v>12.4</v>
      </c>
      <c r="F18" s="388">
        <v>100.5</v>
      </c>
      <c r="G18" s="388">
        <v>100.5</v>
      </c>
      <c r="H18" s="388">
        <v>14.5</v>
      </c>
      <c r="I18" s="388">
        <v>123</v>
      </c>
      <c r="J18" s="388">
        <v>123</v>
      </c>
      <c r="K18" s="388">
        <v>8.5</v>
      </c>
      <c r="L18" s="388">
        <v>100</v>
      </c>
      <c r="M18" s="388">
        <v>100</v>
      </c>
      <c r="N18">
        <f t="shared" si="0"/>
        <v>15.5</v>
      </c>
    </row>
    <row r="19" spans="1:14" x14ac:dyDescent="0.3">
      <c r="A19" s="388" t="s">
        <v>3312</v>
      </c>
      <c r="B19" s="390"/>
      <c r="C19" s="388">
        <v>33</v>
      </c>
      <c r="D19" s="388"/>
      <c r="E19" s="388">
        <v>21.2</v>
      </c>
      <c r="F19" s="388">
        <v>121.7</v>
      </c>
      <c r="G19" s="388">
        <v>121.7</v>
      </c>
      <c r="H19" s="388">
        <v>23.5</v>
      </c>
      <c r="I19" s="388">
        <v>146.5</v>
      </c>
      <c r="J19" s="388">
        <v>146.5</v>
      </c>
      <c r="K19" s="388">
        <v>20.5</v>
      </c>
      <c r="L19" s="388">
        <v>120.5</v>
      </c>
      <c r="M19" s="388">
        <v>120.5</v>
      </c>
      <c r="N19">
        <f t="shared" si="0"/>
        <v>33</v>
      </c>
    </row>
    <row r="20" spans="1:14" x14ac:dyDescent="0.3">
      <c r="A20" s="388" t="s">
        <v>3313</v>
      </c>
      <c r="B20" s="390"/>
      <c r="C20" s="388">
        <v>50</v>
      </c>
      <c r="D20" s="388"/>
      <c r="E20" s="388">
        <v>27.6</v>
      </c>
      <c r="F20" s="388">
        <v>149.30000000000001</v>
      </c>
      <c r="G20" s="388">
        <v>149.30000000000001</v>
      </c>
      <c r="H20" s="388">
        <v>30.5</v>
      </c>
      <c r="I20" s="388">
        <v>177</v>
      </c>
      <c r="J20" s="388">
        <v>177</v>
      </c>
      <c r="K20" s="388">
        <v>16</v>
      </c>
      <c r="L20" s="388">
        <v>136.5</v>
      </c>
      <c r="M20" s="388">
        <v>136.5</v>
      </c>
      <c r="N20">
        <f t="shared" si="0"/>
        <v>50</v>
      </c>
    </row>
    <row r="21" spans="1:14" x14ac:dyDescent="0.3">
      <c r="A21" s="388" t="s">
        <v>3314</v>
      </c>
      <c r="B21" s="390"/>
      <c r="C21" s="388">
        <v>3.5</v>
      </c>
      <c r="D21" s="388"/>
      <c r="E21" s="388">
        <v>3.6</v>
      </c>
      <c r="F21" s="388">
        <v>152.9</v>
      </c>
      <c r="G21" s="388">
        <v>152.9</v>
      </c>
      <c r="H21" s="388">
        <v>4.5</v>
      </c>
      <c r="I21" s="388">
        <v>181.5</v>
      </c>
      <c r="J21" s="388">
        <v>181.5</v>
      </c>
      <c r="K21" s="388">
        <v>4</v>
      </c>
      <c r="L21" s="388">
        <v>140.5</v>
      </c>
      <c r="M21" s="388">
        <v>140.5</v>
      </c>
      <c r="N21">
        <f t="shared" si="0"/>
        <v>3.5</v>
      </c>
    </row>
    <row r="22" spans="1:14" x14ac:dyDescent="0.3">
      <c r="A22" s="388" t="s">
        <v>3315</v>
      </c>
      <c r="B22" s="390"/>
      <c r="C22" s="388">
        <v>4.5</v>
      </c>
      <c r="D22" s="388"/>
      <c r="E22" s="388">
        <v>2</v>
      </c>
      <c r="F22" s="388">
        <v>154.9</v>
      </c>
      <c r="G22" s="388">
        <v>154.9</v>
      </c>
      <c r="H22" s="388">
        <v>2.5</v>
      </c>
      <c r="I22" s="388">
        <v>184</v>
      </c>
      <c r="J22" s="388">
        <v>184</v>
      </c>
      <c r="K22" s="388">
        <v>2.5</v>
      </c>
      <c r="L22" s="388">
        <v>143</v>
      </c>
      <c r="M22" s="388">
        <v>143</v>
      </c>
      <c r="N22">
        <f t="shared" si="0"/>
        <v>4.5</v>
      </c>
    </row>
    <row r="23" spans="1:14" x14ac:dyDescent="0.3">
      <c r="A23" s="388" t="s">
        <v>3316</v>
      </c>
      <c r="B23" s="390"/>
      <c r="C23" s="388">
        <v>10.5</v>
      </c>
      <c r="D23" s="388"/>
      <c r="E23" s="388">
        <v>5.2</v>
      </c>
      <c r="F23" s="388">
        <v>160.1</v>
      </c>
      <c r="G23" s="388">
        <v>160.1</v>
      </c>
      <c r="H23" s="388">
        <v>5.5</v>
      </c>
      <c r="I23" s="388">
        <v>189.5</v>
      </c>
      <c r="J23" s="388">
        <v>189.5</v>
      </c>
      <c r="K23" s="388">
        <v>3.5</v>
      </c>
      <c r="L23" s="388">
        <v>146.5</v>
      </c>
      <c r="M23" s="388">
        <v>146.5</v>
      </c>
      <c r="N23">
        <f t="shared" si="0"/>
        <v>10.5</v>
      </c>
    </row>
    <row r="24" spans="1:14" x14ac:dyDescent="0.3">
      <c r="A24" s="388" t="s">
        <v>3317</v>
      </c>
      <c r="B24" s="390"/>
      <c r="C24" s="388">
        <v>30.5</v>
      </c>
      <c r="D24" s="388"/>
      <c r="E24" s="388">
        <v>29.2</v>
      </c>
      <c r="F24" s="388">
        <v>189.3</v>
      </c>
      <c r="G24" s="388">
        <v>189.3</v>
      </c>
      <c r="H24" s="388">
        <v>31.5</v>
      </c>
      <c r="I24" s="388">
        <v>221</v>
      </c>
      <c r="J24" s="388">
        <v>221</v>
      </c>
      <c r="K24" s="388">
        <v>31.5</v>
      </c>
      <c r="L24" s="388">
        <v>178</v>
      </c>
      <c r="M24" s="388">
        <v>178</v>
      </c>
      <c r="N24">
        <f t="shared" si="0"/>
        <v>30.5</v>
      </c>
    </row>
    <row r="25" spans="1:14" x14ac:dyDescent="0.3">
      <c r="A25" s="388" t="s">
        <v>3318</v>
      </c>
      <c r="B25" s="390"/>
      <c r="C25" s="388">
        <v>5</v>
      </c>
      <c r="D25" s="388"/>
      <c r="E25" s="388">
        <v>4.8</v>
      </c>
      <c r="F25" s="388">
        <v>194.1</v>
      </c>
      <c r="G25" s="388">
        <v>194.1</v>
      </c>
      <c r="H25" s="388">
        <v>5</v>
      </c>
      <c r="I25" s="388">
        <v>226</v>
      </c>
      <c r="J25" s="388">
        <v>226</v>
      </c>
      <c r="K25" s="388">
        <v>3</v>
      </c>
      <c r="L25" s="388">
        <v>181</v>
      </c>
      <c r="M25" s="388">
        <v>181</v>
      </c>
      <c r="N25">
        <f t="shared" si="0"/>
        <v>5</v>
      </c>
    </row>
    <row r="26" spans="1:14" x14ac:dyDescent="0.3">
      <c r="A26" s="388" t="s">
        <v>3319</v>
      </c>
      <c r="B26" s="390"/>
      <c r="C26" s="388">
        <v>2.5</v>
      </c>
      <c r="D26" s="388"/>
      <c r="E26" s="388">
        <v>0.2</v>
      </c>
      <c r="F26" s="388">
        <v>194.3</v>
      </c>
      <c r="G26" s="388">
        <v>194.3</v>
      </c>
      <c r="H26" s="388">
        <v>0.5</v>
      </c>
      <c r="I26" s="388">
        <v>226.5</v>
      </c>
      <c r="J26" s="388">
        <v>226.5</v>
      </c>
      <c r="K26" s="388">
        <v>0.5</v>
      </c>
      <c r="L26" s="388">
        <v>181.5</v>
      </c>
      <c r="M26" s="388">
        <v>181.5</v>
      </c>
      <c r="N26">
        <f t="shared" si="0"/>
        <v>2.5</v>
      </c>
    </row>
    <row r="27" spans="1:14" x14ac:dyDescent="0.3">
      <c r="A27" s="388" t="s">
        <v>3320</v>
      </c>
      <c r="B27" s="390"/>
      <c r="C27" s="388">
        <v>0</v>
      </c>
      <c r="D27" s="388"/>
      <c r="E27" s="388">
        <v>0</v>
      </c>
      <c r="F27" s="388">
        <v>194.3</v>
      </c>
      <c r="G27" s="388">
        <v>194.3</v>
      </c>
      <c r="H27" s="388">
        <v>0</v>
      </c>
      <c r="I27" s="388">
        <v>226.5</v>
      </c>
      <c r="J27" s="388">
        <v>226.5</v>
      </c>
      <c r="K27" s="388">
        <v>0</v>
      </c>
      <c r="L27" s="388">
        <v>181.5</v>
      </c>
      <c r="M27" s="388">
        <v>181.5</v>
      </c>
      <c r="N27">
        <f t="shared" si="0"/>
        <v>0</v>
      </c>
    </row>
    <row r="28" spans="1:14" x14ac:dyDescent="0.3">
      <c r="A28" s="388" t="s">
        <v>3321</v>
      </c>
      <c r="B28" s="390"/>
      <c r="C28" s="388">
        <v>0</v>
      </c>
      <c r="D28" s="388"/>
      <c r="E28" s="388">
        <v>0</v>
      </c>
      <c r="F28" s="388">
        <v>194.3</v>
      </c>
      <c r="G28" s="388">
        <v>194.3</v>
      </c>
      <c r="H28" s="388">
        <v>0</v>
      </c>
      <c r="I28" s="388">
        <v>226.5</v>
      </c>
      <c r="J28" s="388">
        <v>226.5</v>
      </c>
      <c r="K28" s="388">
        <v>0</v>
      </c>
      <c r="L28" s="388">
        <v>181.5</v>
      </c>
      <c r="M28" s="388">
        <v>181.5</v>
      </c>
      <c r="N28">
        <f t="shared" si="0"/>
        <v>0</v>
      </c>
    </row>
    <row r="29" spans="1:14" x14ac:dyDescent="0.3">
      <c r="A29" s="388" t="s">
        <v>3322</v>
      </c>
      <c r="B29" s="390"/>
      <c r="C29" s="388">
        <v>0</v>
      </c>
      <c r="D29" s="388"/>
      <c r="E29" s="388">
        <v>0</v>
      </c>
      <c r="F29" s="388">
        <v>194.3</v>
      </c>
      <c r="G29" s="388">
        <v>194.3</v>
      </c>
      <c r="H29" s="388">
        <v>0</v>
      </c>
      <c r="I29" s="388">
        <v>226.5</v>
      </c>
      <c r="J29" s="388">
        <v>226.5</v>
      </c>
      <c r="K29" s="388">
        <v>0.5</v>
      </c>
      <c r="L29" s="388">
        <v>182</v>
      </c>
      <c r="M29" s="388">
        <v>182</v>
      </c>
      <c r="N29">
        <f t="shared" si="0"/>
        <v>0</v>
      </c>
    </row>
    <row r="30" spans="1:14" x14ac:dyDescent="0.3">
      <c r="A30" s="388" t="s">
        <v>3323</v>
      </c>
      <c r="B30" s="390"/>
      <c r="C30" s="388">
        <v>0</v>
      </c>
      <c r="D30" s="388"/>
      <c r="E30" s="388">
        <v>0</v>
      </c>
      <c r="F30" s="388">
        <v>194.3</v>
      </c>
      <c r="G30" s="388">
        <v>194.3</v>
      </c>
      <c r="H30" s="388">
        <v>0</v>
      </c>
      <c r="I30" s="388">
        <v>226.5</v>
      </c>
      <c r="J30" s="388">
        <v>226.5</v>
      </c>
      <c r="K30" s="388">
        <v>0</v>
      </c>
      <c r="L30" s="388">
        <v>182</v>
      </c>
      <c r="M30" s="388">
        <v>182</v>
      </c>
      <c r="N30">
        <f t="shared" si="0"/>
        <v>0</v>
      </c>
    </row>
    <row r="31" spans="1:14" x14ac:dyDescent="0.3">
      <c r="A31" s="388" t="s">
        <v>3324</v>
      </c>
      <c r="B31" s="390"/>
      <c r="C31" s="388">
        <v>0.5</v>
      </c>
      <c r="D31" s="388"/>
      <c r="E31" s="388">
        <v>0</v>
      </c>
      <c r="F31" s="388">
        <v>194.3</v>
      </c>
      <c r="G31" s="388">
        <v>194.3</v>
      </c>
      <c r="H31" s="388">
        <v>0</v>
      </c>
      <c r="I31" s="388">
        <v>226.5</v>
      </c>
      <c r="J31" s="388">
        <v>226.5</v>
      </c>
      <c r="K31" s="388">
        <v>0.5</v>
      </c>
      <c r="L31" s="388">
        <v>182.5</v>
      </c>
      <c r="M31" s="388">
        <v>182.5</v>
      </c>
      <c r="N31">
        <f t="shared" si="0"/>
        <v>0.5</v>
      </c>
    </row>
    <row r="32" spans="1:14" x14ac:dyDescent="0.3">
      <c r="A32" s="388" t="s">
        <v>3325</v>
      </c>
      <c r="B32" s="390"/>
      <c r="C32" s="388">
        <v>0</v>
      </c>
      <c r="D32" s="388"/>
      <c r="E32" s="388">
        <v>0</v>
      </c>
      <c r="F32" s="388">
        <v>194.3</v>
      </c>
      <c r="G32" s="388">
        <v>194.3</v>
      </c>
      <c r="H32" s="388">
        <v>0</v>
      </c>
      <c r="I32" s="388">
        <v>226.5</v>
      </c>
      <c r="J32" s="388">
        <v>226.5</v>
      </c>
      <c r="K32" s="388">
        <v>0</v>
      </c>
      <c r="L32" s="388">
        <v>182.5</v>
      </c>
      <c r="M32" s="388">
        <v>182.5</v>
      </c>
      <c r="N32">
        <f t="shared" si="0"/>
        <v>0</v>
      </c>
    </row>
    <row r="33" spans="1:14" x14ac:dyDescent="0.3">
      <c r="A33" s="388" t="s">
        <v>3326</v>
      </c>
      <c r="B33" s="390"/>
      <c r="C33" s="388">
        <v>0.5</v>
      </c>
      <c r="D33" s="388"/>
      <c r="E33" s="388">
        <v>0.2</v>
      </c>
      <c r="F33" s="388">
        <v>194.5</v>
      </c>
      <c r="G33" s="388">
        <v>194.5</v>
      </c>
      <c r="H33" s="388">
        <v>0</v>
      </c>
      <c r="I33" s="388">
        <v>226.5</v>
      </c>
      <c r="J33" s="388">
        <v>226.5</v>
      </c>
      <c r="K33" s="388">
        <v>2</v>
      </c>
      <c r="L33" s="388">
        <v>184.5</v>
      </c>
      <c r="M33" s="388">
        <v>184.5</v>
      </c>
      <c r="N33">
        <f t="shared" si="0"/>
        <v>0.5</v>
      </c>
    </row>
    <row r="34" spans="1:14" s="338" customFormat="1" x14ac:dyDescent="0.3">
      <c r="A34" s="392" t="s">
        <v>3327</v>
      </c>
      <c r="B34" s="393"/>
      <c r="C34" s="392">
        <v>15.5</v>
      </c>
      <c r="D34" s="392"/>
      <c r="E34" s="392">
        <v>0.2</v>
      </c>
      <c r="F34" s="392">
        <v>194.7</v>
      </c>
      <c r="G34" s="392">
        <v>194.7</v>
      </c>
      <c r="H34" s="392">
        <v>0.5</v>
      </c>
      <c r="I34" s="392">
        <v>227</v>
      </c>
      <c r="J34" s="392">
        <v>227</v>
      </c>
      <c r="K34" s="392">
        <v>1</v>
      </c>
      <c r="L34" s="392">
        <v>185.5</v>
      </c>
      <c r="M34" s="392">
        <v>185.5</v>
      </c>
      <c r="N34">
        <f t="shared" si="0"/>
        <v>15.5</v>
      </c>
    </row>
    <row r="35" spans="1:14" x14ac:dyDescent="0.3">
      <c r="A35" s="388" t="s">
        <v>3328</v>
      </c>
      <c r="B35" s="390"/>
      <c r="C35" s="388">
        <v>0.5</v>
      </c>
      <c r="D35" s="388"/>
      <c r="E35" s="388">
        <v>0.2</v>
      </c>
      <c r="F35" s="388">
        <v>0.2</v>
      </c>
      <c r="G35" s="388">
        <v>194.9</v>
      </c>
      <c r="H35" s="388">
        <v>0.5</v>
      </c>
      <c r="I35" s="388">
        <v>0.5</v>
      </c>
      <c r="J35" s="388">
        <v>227.5</v>
      </c>
      <c r="K35" s="388">
        <v>1</v>
      </c>
      <c r="L35" s="388">
        <v>1</v>
      </c>
      <c r="M35" s="388">
        <v>186.5</v>
      </c>
      <c r="N35">
        <f t="shared" si="0"/>
        <v>0.5</v>
      </c>
    </row>
    <row r="36" spans="1:14" x14ac:dyDescent="0.3">
      <c r="A36" s="388" t="s">
        <v>3329</v>
      </c>
      <c r="B36" s="390"/>
      <c r="C36" s="388">
        <v>3</v>
      </c>
      <c r="D36" s="388"/>
      <c r="E36" s="388">
        <v>3.6</v>
      </c>
      <c r="F36" s="388">
        <v>3.8</v>
      </c>
      <c r="G36" s="388">
        <v>198.5</v>
      </c>
      <c r="H36" s="388">
        <v>4</v>
      </c>
      <c r="I36" s="388">
        <v>4.5</v>
      </c>
      <c r="J36" s="388">
        <v>231.5</v>
      </c>
      <c r="K36" s="388">
        <v>11.5</v>
      </c>
      <c r="L36" s="388">
        <v>12.5</v>
      </c>
      <c r="M36" s="388">
        <v>198</v>
      </c>
      <c r="N36">
        <f t="shared" si="0"/>
        <v>3</v>
      </c>
    </row>
    <row r="37" spans="1:14" x14ac:dyDescent="0.3">
      <c r="A37" s="388" t="s">
        <v>3330</v>
      </c>
      <c r="B37" s="390"/>
      <c r="C37" s="388">
        <v>14</v>
      </c>
      <c r="D37" s="388"/>
      <c r="E37" s="388">
        <v>2.8</v>
      </c>
      <c r="F37" s="388">
        <v>6.6</v>
      </c>
      <c r="G37" s="388">
        <v>201.3</v>
      </c>
      <c r="H37" s="388">
        <v>2.5</v>
      </c>
      <c r="I37" s="388">
        <v>7</v>
      </c>
      <c r="J37" s="388">
        <v>234</v>
      </c>
      <c r="K37" s="388">
        <v>2.5</v>
      </c>
      <c r="L37" s="388">
        <v>15</v>
      </c>
      <c r="M37" s="388">
        <v>200.5</v>
      </c>
      <c r="N37">
        <f t="shared" si="0"/>
        <v>14</v>
      </c>
    </row>
    <row r="38" spans="1:14" x14ac:dyDescent="0.3">
      <c r="A38" s="388" t="s">
        <v>3331</v>
      </c>
      <c r="B38" s="390"/>
      <c r="C38" s="388">
        <v>21</v>
      </c>
      <c r="D38" s="388"/>
      <c r="E38" s="388">
        <v>4.2</v>
      </c>
      <c r="F38" s="388">
        <v>10.8</v>
      </c>
      <c r="G38" s="388">
        <v>205.5</v>
      </c>
      <c r="H38" s="388">
        <v>5.5</v>
      </c>
      <c r="I38" s="388">
        <v>12.5</v>
      </c>
      <c r="J38" s="388">
        <v>239.5</v>
      </c>
      <c r="K38" s="388">
        <v>4</v>
      </c>
      <c r="L38" s="388">
        <v>19</v>
      </c>
      <c r="M38" s="388">
        <v>204.5</v>
      </c>
      <c r="N38">
        <f t="shared" si="0"/>
        <v>21</v>
      </c>
    </row>
    <row r="39" spans="1:14" x14ac:dyDescent="0.3">
      <c r="A39" s="388" t="s">
        <v>3332</v>
      </c>
      <c r="B39" s="390"/>
      <c r="C39" s="388">
        <v>59</v>
      </c>
      <c r="D39" s="388"/>
      <c r="E39" s="388">
        <v>36</v>
      </c>
      <c r="F39" s="388">
        <v>46.8</v>
      </c>
      <c r="G39" s="388">
        <v>241.5</v>
      </c>
      <c r="H39" s="388">
        <v>43</v>
      </c>
      <c r="I39" s="388">
        <v>55.5</v>
      </c>
      <c r="J39" s="388">
        <v>282.5</v>
      </c>
      <c r="K39" s="388">
        <v>41</v>
      </c>
      <c r="L39" s="388">
        <v>60</v>
      </c>
      <c r="M39" s="388">
        <v>245.5</v>
      </c>
      <c r="N39">
        <f t="shared" si="0"/>
        <v>59</v>
      </c>
    </row>
    <row r="40" spans="1:14" x14ac:dyDescent="0.3">
      <c r="A40" s="388" t="s">
        <v>3333</v>
      </c>
      <c r="B40" s="390"/>
      <c r="C40" s="388">
        <v>13</v>
      </c>
      <c r="D40" s="388"/>
      <c r="E40" s="388">
        <v>9.6</v>
      </c>
      <c r="F40" s="388">
        <v>56.4</v>
      </c>
      <c r="G40" s="388">
        <v>251.1</v>
      </c>
      <c r="H40" s="388">
        <v>10</v>
      </c>
      <c r="I40" s="388">
        <v>65.5</v>
      </c>
      <c r="J40" s="388">
        <v>292.5</v>
      </c>
      <c r="K40" s="388">
        <v>9.5</v>
      </c>
      <c r="L40" s="388">
        <v>69.5</v>
      </c>
      <c r="M40" s="388">
        <v>255</v>
      </c>
      <c r="N40">
        <f t="shared" si="0"/>
        <v>13</v>
      </c>
    </row>
    <row r="41" spans="1:14" x14ac:dyDescent="0.3">
      <c r="A41" s="388" t="s">
        <v>3334</v>
      </c>
      <c r="B41" s="390"/>
      <c r="C41" s="388">
        <v>32.5</v>
      </c>
      <c r="D41" s="388"/>
      <c r="E41" s="388">
        <v>19</v>
      </c>
      <c r="F41" s="388">
        <v>75.400000000000006</v>
      </c>
      <c r="G41" s="388">
        <v>270.10000000000002</v>
      </c>
      <c r="H41" s="388">
        <v>21</v>
      </c>
      <c r="I41" s="388">
        <v>86.5</v>
      </c>
      <c r="J41" s="388">
        <v>313.5</v>
      </c>
      <c r="K41" s="388">
        <v>9</v>
      </c>
      <c r="L41" s="388">
        <v>78.5</v>
      </c>
      <c r="M41" s="388">
        <v>264</v>
      </c>
      <c r="N41">
        <f t="shared" si="0"/>
        <v>32.5</v>
      </c>
    </row>
    <row r="42" spans="1:14" x14ac:dyDescent="0.3">
      <c r="A42" s="388" t="s">
        <v>3335</v>
      </c>
      <c r="B42" s="390"/>
      <c r="C42" s="388">
        <v>68</v>
      </c>
      <c r="D42" s="388"/>
      <c r="E42" s="388">
        <v>44.6</v>
      </c>
      <c r="F42" s="388">
        <v>120</v>
      </c>
      <c r="G42" s="388">
        <v>314.7</v>
      </c>
      <c r="H42" s="388">
        <v>56.5</v>
      </c>
      <c r="I42" s="388">
        <v>143</v>
      </c>
      <c r="J42" s="388">
        <v>370</v>
      </c>
      <c r="K42" s="388">
        <v>61</v>
      </c>
      <c r="L42" s="388">
        <v>139.5</v>
      </c>
      <c r="M42" s="388">
        <v>325</v>
      </c>
      <c r="N42">
        <f t="shared" si="0"/>
        <v>68</v>
      </c>
    </row>
    <row r="43" spans="1:14" x14ac:dyDescent="0.3">
      <c r="A43" s="388" t="s">
        <v>3336</v>
      </c>
      <c r="B43" s="390"/>
      <c r="C43" s="388">
        <v>43.5</v>
      </c>
      <c r="D43" s="388"/>
      <c r="E43" s="388">
        <v>34.4</v>
      </c>
      <c r="F43" s="388">
        <v>154.4</v>
      </c>
      <c r="G43" s="388">
        <v>349.1</v>
      </c>
      <c r="H43" s="388">
        <v>40</v>
      </c>
      <c r="I43" s="388">
        <v>183</v>
      </c>
      <c r="J43" s="388">
        <v>410</v>
      </c>
      <c r="K43" s="388">
        <v>28.5</v>
      </c>
      <c r="L43" s="388">
        <v>168</v>
      </c>
      <c r="M43" s="388">
        <v>353.5</v>
      </c>
      <c r="N43">
        <f t="shared" si="0"/>
        <v>43.5</v>
      </c>
    </row>
    <row r="44" spans="1:14" x14ac:dyDescent="0.3">
      <c r="A44" s="388" t="s">
        <v>3337</v>
      </c>
      <c r="B44" s="390"/>
      <c r="C44" s="388">
        <v>10.5</v>
      </c>
      <c r="D44" s="388"/>
      <c r="E44" s="388">
        <v>7.2</v>
      </c>
      <c r="F44" s="388">
        <v>161.6</v>
      </c>
      <c r="G44" s="388">
        <v>356.3</v>
      </c>
      <c r="H44" s="388">
        <v>7.2</v>
      </c>
      <c r="I44" s="388">
        <v>190.2</v>
      </c>
      <c r="J44" s="388">
        <v>417.2</v>
      </c>
      <c r="K44" s="388">
        <v>5</v>
      </c>
      <c r="L44" s="388">
        <v>173</v>
      </c>
      <c r="M44" s="388">
        <v>358.5</v>
      </c>
      <c r="N44">
        <f t="shared" si="0"/>
        <v>10.5</v>
      </c>
    </row>
    <row r="45" spans="1:14" x14ac:dyDescent="0.3">
      <c r="A45" s="388" t="s">
        <v>3338</v>
      </c>
      <c r="B45" s="390"/>
      <c r="C45" s="388">
        <v>1</v>
      </c>
      <c r="D45" s="388"/>
      <c r="E45" s="388">
        <v>0</v>
      </c>
      <c r="F45" s="388">
        <v>161.6</v>
      </c>
      <c r="G45" s="388">
        <v>356.3</v>
      </c>
      <c r="H45" s="388">
        <v>0.5</v>
      </c>
      <c r="I45" s="388">
        <v>190.7</v>
      </c>
      <c r="J45" s="388">
        <v>417.7</v>
      </c>
      <c r="K45" s="388">
        <v>0.5</v>
      </c>
      <c r="L45" s="388">
        <v>173.5</v>
      </c>
      <c r="M45" s="388">
        <v>359</v>
      </c>
      <c r="N45">
        <f t="shared" si="0"/>
        <v>1</v>
      </c>
    </row>
    <row r="46" spans="1:14" x14ac:dyDescent="0.3">
      <c r="A46" s="388" t="s">
        <v>3339</v>
      </c>
      <c r="B46" s="390"/>
      <c r="C46" s="388">
        <v>0</v>
      </c>
      <c r="D46" s="388"/>
      <c r="E46" s="388">
        <v>0</v>
      </c>
      <c r="F46" s="388">
        <v>161.6</v>
      </c>
      <c r="G46" s="388">
        <v>356.3</v>
      </c>
      <c r="H46" s="388">
        <v>0</v>
      </c>
      <c r="I46" s="388">
        <v>190.7</v>
      </c>
      <c r="J46" s="388">
        <v>417.7</v>
      </c>
      <c r="K46" s="388">
        <v>0</v>
      </c>
      <c r="L46" s="388">
        <v>173.5</v>
      </c>
      <c r="M46" s="388">
        <v>359</v>
      </c>
      <c r="N46">
        <f t="shared" si="0"/>
        <v>0</v>
      </c>
    </row>
    <row r="47" spans="1:14" x14ac:dyDescent="0.3">
      <c r="A47" s="388" t="s">
        <v>3340</v>
      </c>
      <c r="B47" s="390"/>
      <c r="C47" s="388">
        <v>32</v>
      </c>
      <c r="D47" s="388"/>
      <c r="E47" s="388">
        <v>15.2</v>
      </c>
      <c r="F47" s="388">
        <v>176.8</v>
      </c>
      <c r="G47" s="388">
        <v>371.5</v>
      </c>
      <c r="H47" s="388">
        <v>15.5</v>
      </c>
      <c r="I47" s="388">
        <v>206.2</v>
      </c>
      <c r="J47" s="388">
        <v>433.2</v>
      </c>
      <c r="K47" s="388">
        <v>12.5</v>
      </c>
      <c r="L47" s="388">
        <v>186</v>
      </c>
      <c r="M47" s="388">
        <v>371.5</v>
      </c>
      <c r="N47">
        <f t="shared" si="0"/>
        <v>32</v>
      </c>
    </row>
    <row r="48" spans="1:14" x14ac:dyDescent="0.3">
      <c r="A48" s="388" t="s">
        <v>3341</v>
      </c>
      <c r="B48" s="390"/>
      <c r="C48" s="388">
        <v>102.5</v>
      </c>
      <c r="D48" s="388"/>
      <c r="E48" s="388">
        <v>41</v>
      </c>
      <c r="F48" s="388">
        <v>217.8</v>
      </c>
      <c r="G48" s="388">
        <v>412.5</v>
      </c>
      <c r="H48" s="388">
        <v>43.5</v>
      </c>
      <c r="I48" s="388">
        <v>249.7</v>
      </c>
      <c r="J48" s="388">
        <v>476.7</v>
      </c>
      <c r="K48" s="388">
        <v>43.5</v>
      </c>
      <c r="L48" s="388">
        <v>229.5</v>
      </c>
      <c r="M48" s="388">
        <v>415</v>
      </c>
      <c r="N48">
        <f t="shared" si="0"/>
        <v>102.5</v>
      </c>
    </row>
    <row r="49" spans="1:14" x14ac:dyDescent="0.3">
      <c r="A49" s="388" t="s">
        <v>3342</v>
      </c>
      <c r="B49" s="390"/>
      <c r="C49" s="388">
        <v>26.5</v>
      </c>
      <c r="D49" s="388"/>
      <c r="E49" s="388">
        <v>10</v>
      </c>
      <c r="F49" s="388">
        <v>227.8</v>
      </c>
      <c r="G49" s="388">
        <v>422.5</v>
      </c>
      <c r="H49" s="388">
        <v>0</v>
      </c>
      <c r="I49" s="388">
        <v>249.7</v>
      </c>
      <c r="J49" s="388">
        <v>476.7</v>
      </c>
      <c r="K49" s="388">
        <v>16</v>
      </c>
      <c r="L49" s="388">
        <v>245.5</v>
      </c>
      <c r="M49" s="388">
        <v>431</v>
      </c>
      <c r="N49">
        <f t="shared" si="0"/>
        <v>26.5</v>
      </c>
    </row>
    <row r="50" spans="1:14" x14ac:dyDescent="0.3">
      <c r="A50" s="388" t="s">
        <v>3343</v>
      </c>
      <c r="B50" s="390"/>
      <c r="C50" s="388">
        <v>0.5</v>
      </c>
      <c r="D50" s="388"/>
      <c r="E50" s="388">
        <v>0</v>
      </c>
      <c r="F50" s="388">
        <v>227.8</v>
      </c>
      <c r="G50" s="388">
        <v>422.5</v>
      </c>
      <c r="H50" s="388">
        <v>0</v>
      </c>
      <c r="I50" s="388">
        <v>249.7</v>
      </c>
      <c r="J50" s="388">
        <v>476.7</v>
      </c>
      <c r="K50" s="388">
        <v>0</v>
      </c>
      <c r="L50" s="388">
        <v>245.5</v>
      </c>
      <c r="M50" s="388">
        <v>431</v>
      </c>
      <c r="N50">
        <f t="shared" si="0"/>
        <v>0.5</v>
      </c>
    </row>
    <row r="51" spans="1:14" x14ac:dyDescent="0.3">
      <c r="A51" s="388" t="s">
        <v>3344</v>
      </c>
      <c r="B51" s="390"/>
      <c r="C51" s="388">
        <v>1</v>
      </c>
      <c r="D51" s="388"/>
      <c r="E51" s="388">
        <v>0</v>
      </c>
      <c r="F51" s="388">
        <v>227.8</v>
      </c>
      <c r="G51" s="388">
        <v>422.5</v>
      </c>
      <c r="H51" s="388">
        <v>0</v>
      </c>
      <c r="I51" s="388">
        <v>249.7</v>
      </c>
      <c r="J51" s="388">
        <v>476.7</v>
      </c>
      <c r="K51" s="388">
        <v>0.5</v>
      </c>
      <c r="L51" s="388">
        <v>246</v>
      </c>
      <c r="M51" s="388">
        <v>431.5</v>
      </c>
      <c r="N51">
        <f t="shared" si="0"/>
        <v>1</v>
      </c>
    </row>
    <row r="52" spans="1:14" x14ac:dyDescent="0.3">
      <c r="A52" s="388" t="s">
        <v>3345</v>
      </c>
      <c r="B52" s="390"/>
      <c r="C52" s="388">
        <v>8.5</v>
      </c>
      <c r="D52" s="388"/>
      <c r="E52" s="388">
        <v>2</v>
      </c>
      <c r="F52" s="388">
        <v>229.8</v>
      </c>
      <c r="G52" s="388">
        <v>424.5</v>
      </c>
      <c r="H52" s="388">
        <v>0</v>
      </c>
      <c r="I52" s="388">
        <v>249.7</v>
      </c>
      <c r="J52" s="388">
        <v>476.7</v>
      </c>
      <c r="K52" s="388">
        <v>2</v>
      </c>
      <c r="L52" s="388">
        <v>248</v>
      </c>
      <c r="M52" s="388">
        <v>433.5</v>
      </c>
      <c r="N52">
        <f t="shared" si="0"/>
        <v>8.5</v>
      </c>
    </row>
    <row r="53" spans="1:14" x14ac:dyDescent="0.3">
      <c r="A53" s="388" t="s">
        <v>3346</v>
      </c>
      <c r="B53" s="390"/>
      <c r="C53" s="388">
        <v>0</v>
      </c>
      <c r="D53" s="388"/>
      <c r="E53" s="388">
        <v>0</v>
      </c>
      <c r="F53" s="388">
        <v>229.8</v>
      </c>
      <c r="G53" s="388">
        <v>424.5</v>
      </c>
      <c r="H53" s="388">
        <v>0</v>
      </c>
      <c r="I53" s="388">
        <v>249.7</v>
      </c>
      <c r="J53" s="388">
        <v>476.7</v>
      </c>
      <c r="K53" s="388">
        <v>0</v>
      </c>
      <c r="L53" s="388">
        <v>248</v>
      </c>
      <c r="M53" s="388">
        <v>433.5</v>
      </c>
      <c r="N53">
        <f t="shared" si="0"/>
        <v>0</v>
      </c>
    </row>
    <row r="54" spans="1:14" x14ac:dyDescent="0.3">
      <c r="A54" s="388" t="s">
        <v>3347</v>
      </c>
      <c r="B54" s="390"/>
      <c r="C54" s="388">
        <v>0</v>
      </c>
      <c r="D54" s="388"/>
      <c r="E54" s="388">
        <v>0</v>
      </c>
      <c r="F54" s="388">
        <v>229.8</v>
      </c>
      <c r="G54" s="388">
        <v>424.5</v>
      </c>
      <c r="H54" s="388">
        <v>0</v>
      </c>
      <c r="I54" s="388">
        <v>249.7</v>
      </c>
      <c r="J54" s="388">
        <v>476.7</v>
      </c>
      <c r="K54" s="388">
        <v>0</v>
      </c>
      <c r="L54" s="388">
        <v>248</v>
      </c>
      <c r="M54" s="388">
        <v>433.5</v>
      </c>
      <c r="N54">
        <f t="shared" si="0"/>
        <v>0</v>
      </c>
    </row>
    <row r="55" spans="1:14" x14ac:dyDescent="0.3">
      <c r="A55" s="388" t="s">
        <v>3348</v>
      </c>
      <c r="B55" s="390"/>
      <c r="C55" s="388">
        <v>0</v>
      </c>
      <c r="D55" s="388"/>
      <c r="E55" s="388">
        <v>0</v>
      </c>
      <c r="F55" s="388">
        <v>229.8</v>
      </c>
      <c r="G55" s="388">
        <v>424.5</v>
      </c>
      <c r="H55" s="388">
        <v>0</v>
      </c>
      <c r="I55" s="388">
        <v>249.7</v>
      </c>
      <c r="J55" s="388">
        <v>476.7</v>
      </c>
      <c r="K55" s="388">
        <v>0</v>
      </c>
      <c r="L55" s="388">
        <v>248</v>
      </c>
      <c r="M55" s="388">
        <v>433.5</v>
      </c>
      <c r="N55">
        <f t="shared" si="0"/>
        <v>0</v>
      </c>
    </row>
    <row r="56" spans="1:14" x14ac:dyDescent="0.3">
      <c r="A56" s="388" t="s">
        <v>3349</v>
      </c>
      <c r="B56" s="390"/>
      <c r="C56" s="388">
        <v>0.5</v>
      </c>
      <c r="D56" s="388"/>
      <c r="E56" s="388">
        <v>0</v>
      </c>
      <c r="F56" s="388">
        <v>229.8</v>
      </c>
      <c r="G56" s="388">
        <v>424.5</v>
      </c>
      <c r="H56" s="388">
        <v>0</v>
      </c>
      <c r="I56" s="388">
        <v>249.7</v>
      </c>
      <c r="J56" s="388">
        <v>476.7</v>
      </c>
      <c r="K56" s="388">
        <v>0</v>
      </c>
      <c r="L56" s="388">
        <v>248</v>
      </c>
      <c r="M56" s="388">
        <v>433.5</v>
      </c>
      <c r="N56">
        <f t="shared" si="0"/>
        <v>0.5</v>
      </c>
    </row>
    <row r="57" spans="1:14" x14ac:dyDescent="0.3">
      <c r="A57" s="388" t="s">
        <v>3350</v>
      </c>
      <c r="B57" s="390"/>
      <c r="C57" s="388">
        <v>0</v>
      </c>
      <c r="D57" s="388"/>
      <c r="E57" s="388">
        <v>0</v>
      </c>
      <c r="F57" s="388">
        <v>229.8</v>
      </c>
      <c r="G57" s="388">
        <v>424.5</v>
      </c>
      <c r="H57" s="388">
        <v>0</v>
      </c>
      <c r="I57" s="388">
        <v>249.7</v>
      </c>
      <c r="J57" s="388">
        <v>476.7</v>
      </c>
      <c r="K57" s="388">
        <v>0</v>
      </c>
      <c r="L57" s="388">
        <v>248</v>
      </c>
      <c r="M57" s="388">
        <v>433.5</v>
      </c>
      <c r="N57">
        <f t="shared" si="0"/>
        <v>0</v>
      </c>
    </row>
    <row r="58" spans="1:14" x14ac:dyDescent="0.3">
      <c r="A58" s="388" t="s">
        <v>3351</v>
      </c>
      <c r="B58" s="390"/>
      <c r="C58" s="388">
        <v>1</v>
      </c>
      <c r="D58" s="388"/>
      <c r="E58" s="388">
        <v>1.8</v>
      </c>
      <c r="F58" s="388">
        <v>231.6</v>
      </c>
      <c r="G58" s="388">
        <v>426.3</v>
      </c>
      <c r="H58" s="388">
        <v>0</v>
      </c>
      <c r="I58" s="388">
        <v>249.7</v>
      </c>
      <c r="J58" s="388">
        <v>476.7</v>
      </c>
      <c r="K58" s="388">
        <v>1.5</v>
      </c>
      <c r="L58" s="388">
        <v>249.5</v>
      </c>
      <c r="M58" s="388">
        <v>435</v>
      </c>
      <c r="N58">
        <f t="shared" si="0"/>
        <v>1</v>
      </c>
    </row>
    <row r="59" spans="1:14" x14ac:dyDescent="0.3">
      <c r="A59" s="388" t="s">
        <v>3352</v>
      </c>
      <c r="B59" s="390"/>
      <c r="C59" s="388">
        <v>97</v>
      </c>
      <c r="D59" s="388"/>
      <c r="E59" s="388">
        <v>50.6</v>
      </c>
      <c r="F59" s="388">
        <v>282.2</v>
      </c>
      <c r="G59" s="388">
        <v>476.9</v>
      </c>
      <c r="H59" s="388">
        <v>0</v>
      </c>
      <c r="I59" s="388">
        <v>249.7</v>
      </c>
      <c r="J59" s="388">
        <v>476.7</v>
      </c>
      <c r="K59" s="388">
        <v>46</v>
      </c>
      <c r="L59" s="388">
        <v>295.5</v>
      </c>
      <c r="M59" s="388">
        <v>481</v>
      </c>
      <c r="N59">
        <f t="shared" si="0"/>
        <v>97</v>
      </c>
    </row>
    <row r="60" spans="1:14" x14ac:dyDescent="0.3">
      <c r="A60" s="388" t="s">
        <v>3353</v>
      </c>
      <c r="B60" s="390"/>
      <c r="C60" s="388">
        <v>2.5</v>
      </c>
      <c r="D60" s="388"/>
      <c r="E60" s="388">
        <v>4.8</v>
      </c>
      <c r="F60" s="388">
        <v>287</v>
      </c>
      <c r="G60" s="388">
        <v>481.7</v>
      </c>
      <c r="H60" s="388">
        <v>0</v>
      </c>
      <c r="I60" s="388">
        <v>249.7</v>
      </c>
      <c r="J60" s="388">
        <v>476.7</v>
      </c>
      <c r="K60" s="388">
        <v>2.5</v>
      </c>
      <c r="L60" s="388">
        <v>298</v>
      </c>
      <c r="M60" s="388">
        <v>483.5</v>
      </c>
      <c r="N60">
        <f t="shared" si="0"/>
        <v>2.5</v>
      </c>
    </row>
    <row r="61" spans="1:14" x14ac:dyDescent="0.3">
      <c r="A61" s="388" t="s">
        <v>3354</v>
      </c>
      <c r="B61" s="390"/>
      <c r="C61" s="388">
        <v>1</v>
      </c>
      <c r="D61" s="388"/>
      <c r="E61" s="388">
        <v>0.4</v>
      </c>
      <c r="F61" s="388">
        <v>287.39999999999998</v>
      </c>
      <c r="G61" s="388">
        <v>482.1</v>
      </c>
      <c r="H61" s="388">
        <v>0</v>
      </c>
      <c r="I61" s="388">
        <v>249.7</v>
      </c>
      <c r="J61" s="388">
        <v>476.7</v>
      </c>
      <c r="K61" s="388">
        <v>0.5</v>
      </c>
      <c r="L61" s="388">
        <v>298.5</v>
      </c>
      <c r="M61" s="388">
        <v>484</v>
      </c>
      <c r="N61">
        <f t="shared" si="0"/>
        <v>1</v>
      </c>
    </row>
    <row r="62" spans="1:14" s="338" customFormat="1" x14ac:dyDescent="0.3">
      <c r="A62" s="392" t="s">
        <v>3355</v>
      </c>
      <c r="B62" s="393"/>
      <c r="C62" s="392">
        <v>0</v>
      </c>
      <c r="D62" s="392"/>
      <c r="E62" s="392">
        <v>0</v>
      </c>
      <c r="F62" s="392">
        <v>287.39999999999998</v>
      </c>
      <c r="G62" s="392">
        <v>482.1</v>
      </c>
      <c r="H62" s="392">
        <v>0</v>
      </c>
      <c r="I62" s="392">
        <v>249.7</v>
      </c>
      <c r="J62" s="392">
        <v>476.7</v>
      </c>
      <c r="K62" s="392">
        <v>0</v>
      </c>
      <c r="L62" s="392">
        <v>298.5</v>
      </c>
      <c r="M62" s="392">
        <v>484</v>
      </c>
      <c r="N62">
        <f t="shared" si="0"/>
        <v>0</v>
      </c>
    </row>
    <row r="63" spans="1:14" x14ac:dyDescent="0.3">
      <c r="A63" s="388" t="s">
        <v>3356</v>
      </c>
      <c r="B63" s="390"/>
      <c r="C63" s="388">
        <v>3.5</v>
      </c>
      <c r="D63" s="388"/>
      <c r="E63" s="388">
        <v>1</v>
      </c>
      <c r="F63" s="388">
        <v>1</v>
      </c>
      <c r="G63" s="388">
        <v>483.1</v>
      </c>
      <c r="H63" s="388">
        <v>0</v>
      </c>
      <c r="I63" s="388">
        <v>0</v>
      </c>
      <c r="J63" s="388">
        <v>476.7</v>
      </c>
      <c r="K63" s="388">
        <v>4.5</v>
      </c>
      <c r="L63" s="388">
        <v>4.5</v>
      </c>
      <c r="M63" s="388">
        <v>488.5</v>
      </c>
      <c r="N63">
        <f t="shared" si="0"/>
        <v>3.5</v>
      </c>
    </row>
    <row r="64" spans="1:14" x14ac:dyDescent="0.3">
      <c r="A64" s="388" t="s">
        <v>3357</v>
      </c>
      <c r="B64" s="390"/>
      <c r="C64" s="388">
        <v>0</v>
      </c>
      <c r="D64" s="388"/>
      <c r="E64" s="388">
        <v>0</v>
      </c>
      <c r="F64" s="388">
        <v>1</v>
      </c>
      <c r="G64" s="388">
        <v>483.1</v>
      </c>
      <c r="H64" s="388">
        <v>0</v>
      </c>
      <c r="I64" s="388">
        <v>0</v>
      </c>
      <c r="J64" s="388">
        <v>476.7</v>
      </c>
      <c r="K64" s="388">
        <v>0.5</v>
      </c>
      <c r="L64" s="388">
        <v>5</v>
      </c>
      <c r="M64" s="388">
        <v>489</v>
      </c>
      <c r="N64">
        <f t="shared" si="0"/>
        <v>0</v>
      </c>
    </row>
    <row r="65" spans="1:14" x14ac:dyDescent="0.3">
      <c r="A65" s="388" t="s">
        <v>3358</v>
      </c>
      <c r="B65" s="390"/>
      <c r="C65" s="388">
        <v>4.5</v>
      </c>
      <c r="D65" s="388"/>
      <c r="E65" s="388">
        <v>2.4</v>
      </c>
      <c r="F65" s="388">
        <v>3.4</v>
      </c>
      <c r="G65" s="388">
        <v>485.5</v>
      </c>
      <c r="H65" s="388">
        <v>0</v>
      </c>
      <c r="I65" s="388">
        <v>0</v>
      </c>
      <c r="J65" s="388">
        <v>476.7</v>
      </c>
      <c r="K65" s="388">
        <v>3</v>
      </c>
      <c r="L65" s="388">
        <v>8</v>
      </c>
      <c r="M65" s="388">
        <v>492</v>
      </c>
      <c r="N65">
        <f t="shared" si="0"/>
        <v>4.5</v>
      </c>
    </row>
    <row r="66" spans="1:14" x14ac:dyDescent="0.3">
      <c r="A66" s="388" t="s">
        <v>3359</v>
      </c>
      <c r="B66" s="390"/>
      <c r="C66" s="388">
        <v>1.5</v>
      </c>
      <c r="D66" s="388"/>
      <c r="E66" s="388">
        <v>0.2</v>
      </c>
      <c r="F66" s="388">
        <v>3.6</v>
      </c>
      <c r="G66" s="388">
        <v>485.7</v>
      </c>
      <c r="H66" s="388">
        <v>0</v>
      </c>
      <c r="I66" s="388">
        <v>0</v>
      </c>
      <c r="J66" s="388">
        <v>476.7</v>
      </c>
      <c r="K66" s="388">
        <v>2.5</v>
      </c>
      <c r="L66" s="388">
        <v>10.5</v>
      </c>
      <c r="M66" s="388">
        <v>494.5</v>
      </c>
      <c r="N66">
        <f t="shared" si="0"/>
        <v>1.5</v>
      </c>
    </row>
    <row r="67" spans="1:14" x14ac:dyDescent="0.3">
      <c r="A67" s="388" t="s">
        <v>3360</v>
      </c>
      <c r="B67" s="390"/>
      <c r="C67" s="388">
        <v>2</v>
      </c>
      <c r="D67" s="388"/>
      <c r="E67" s="388">
        <v>0.8</v>
      </c>
      <c r="F67" s="388">
        <v>4.4000000000000004</v>
      </c>
      <c r="G67" s="388">
        <v>486.5</v>
      </c>
      <c r="H67" s="388">
        <v>0</v>
      </c>
      <c r="I67" s="388">
        <v>0</v>
      </c>
      <c r="J67" s="388">
        <v>476.7</v>
      </c>
      <c r="K67" s="388">
        <v>1.5</v>
      </c>
      <c r="L67" s="388">
        <v>12</v>
      </c>
      <c r="M67" s="388">
        <v>496</v>
      </c>
      <c r="N67">
        <f t="shared" si="0"/>
        <v>2</v>
      </c>
    </row>
    <row r="68" spans="1:14" x14ac:dyDescent="0.3">
      <c r="A68" s="388" t="s">
        <v>3361</v>
      </c>
      <c r="B68" s="390"/>
      <c r="C68" s="388">
        <v>0</v>
      </c>
      <c r="D68" s="388"/>
      <c r="E68" s="388">
        <v>0</v>
      </c>
      <c r="F68" s="388">
        <v>4.4000000000000004</v>
      </c>
      <c r="G68" s="388">
        <v>486.5</v>
      </c>
      <c r="H68" s="388">
        <v>0</v>
      </c>
      <c r="I68" s="388">
        <v>0</v>
      </c>
      <c r="J68" s="388">
        <v>476.7</v>
      </c>
      <c r="K68" s="388">
        <v>0</v>
      </c>
      <c r="L68" s="388">
        <v>12</v>
      </c>
      <c r="M68" s="388">
        <v>496</v>
      </c>
      <c r="N68">
        <f t="shared" si="0"/>
        <v>0</v>
      </c>
    </row>
    <row r="69" spans="1:14" x14ac:dyDescent="0.3">
      <c r="A69" s="388" t="s">
        <v>3362</v>
      </c>
      <c r="B69" s="390"/>
      <c r="C69" s="388">
        <v>0</v>
      </c>
      <c r="D69" s="388"/>
      <c r="E69" s="388">
        <v>0</v>
      </c>
      <c r="F69" s="388">
        <v>4.4000000000000004</v>
      </c>
      <c r="G69" s="388">
        <v>486.5</v>
      </c>
      <c r="H69" s="388">
        <v>0</v>
      </c>
      <c r="I69" s="388">
        <v>0</v>
      </c>
      <c r="J69" s="388">
        <v>476.7</v>
      </c>
      <c r="K69" s="388">
        <v>0.5</v>
      </c>
      <c r="L69" s="388">
        <v>12.5</v>
      </c>
      <c r="M69" s="388">
        <v>496.5</v>
      </c>
      <c r="N69">
        <f t="shared" ref="N69:N132" si="1">MAX(B69:D69)</f>
        <v>0</v>
      </c>
    </row>
    <row r="70" spans="1:14" x14ac:dyDescent="0.3">
      <c r="A70" s="388" t="s">
        <v>3363</v>
      </c>
      <c r="B70" s="390"/>
      <c r="C70" s="388">
        <v>0</v>
      </c>
      <c r="D70" s="388"/>
      <c r="E70" s="388">
        <v>0</v>
      </c>
      <c r="F70" s="388">
        <v>4.4000000000000004</v>
      </c>
      <c r="G70" s="388">
        <v>486.5</v>
      </c>
      <c r="H70" s="388">
        <v>0</v>
      </c>
      <c r="I70" s="388">
        <v>0</v>
      </c>
      <c r="J70" s="388">
        <v>476.7</v>
      </c>
      <c r="K70" s="388">
        <v>0</v>
      </c>
      <c r="L70" s="388">
        <v>12.5</v>
      </c>
      <c r="M70" s="388">
        <v>496.5</v>
      </c>
      <c r="N70">
        <f t="shared" si="1"/>
        <v>0</v>
      </c>
    </row>
    <row r="71" spans="1:14" x14ac:dyDescent="0.3">
      <c r="A71" s="388" t="s">
        <v>3364</v>
      </c>
      <c r="B71" s="390"/>
      <c r="C71" s="388">
        <v>0</v>
      </c>
      <c r="D71" s="388"/>
      <c r="E71" s="388">
        <v>0</v>
      </c>
      <c r="F71" s="388">
        <v>4.4000000000000004</v>
      </c>
      <c r="G71" s="388">
        <v>486.5</v>
      </c>
      <c r="H71" s="388">
        <v>0</v>
      </c>
      <c r="I71" s="388">
        <v>0</v>
      </c>
      <c r="J71" s="388">
        <v>476.7</v>
      </c>
      <c r="K71" s="388">
        <v>0</v>
      </c>
      <c r="L71" s="388">
        <v>12.5</v>
      </c>
      <c r="M71" s="388">
        <v>496.5</v>
      </c>
      <c r="N71">
        <f t="shared" si="1"/>
        <v>0</v>
      </c>
    </row>
    <row r="72" spans="1:14" x14ac:dyDescent="0.3">
      <c r="A72" s="388" t="s">
        <v>3365</v>
      </c>
      <c r="B72" s="390"/>
      <c r="C72" s="388">
        <v>3</v>
      </c>
      <c r="D72" s="388"/>
      <c r="E72" s="388">
        <v>4</v>
      </c>
      <c r="F72" s="388">
        <v>8.4</v>
      </c>
      <c r="G72" s="388">
        <v>490.5</v>
      </c>
      <c r="H72" s="388">
        <v>0</v>
      </c>
      <c r="I72" s="388">
        <v>0</v>
      </c>
      <c r="J72" s="388">
        <v>476.7</v>
      </c>
      <c r="K72" s="388">
        <v>1</v>
      </c>
      <c r="L72" s="388">
        <v>13.5</v>
      </c>
      <c r="M72" s="388">
        <v>497.5</v>
      </c>
      <c r="N72">
        <f t="shared" si="1"/>
        <v>3</v>
      </c>
    </row>
    <row r="73" spans="1:14" x14ac:dyDescent="0.3">
      <c r="A73" s="388" t="s">
        <v>3366</v>
      </c>
      <c r="B73" s="390"/>
      <c r="C73" s="388">
        <v>42.5</v>
      </c>
      <c r="D73" s="388"/>
      <c r="E73" s="388">
        <v>27</v>
      </c>
      <c r="F73" s="388">
        <v>35.4</v>
      </c>
      <c r="G73" s="388">
        <v>517.5</v>
      </c>
      <c r="H73" s="388">
        <v>0</v>
      </c>
      <c r="I73" s="388">
        <v>0</v>
      </c>
      <c r="J73" s="388">
        <v>476.7</v>
      </c>
      <c r="K73" s="388">
        <v>13.5</v>
      </c>
      <c r="L73" s="388">
        <v>27</v>
      </c>
      <c r="M73" s="388">
        <v>511</v>
      </c>
      <c r="N73">
        <f t="shared" si="1"/>
        <v>42.5</v>
      </c>
    </row>
    <row r="74" spans="1:14" x14ac:dyDescent="0.3">
      <c r="A74" s="388" t="s">
        <v>3367</v>
      </c>
      <c r="B74" s="390"/>
      <c r="C74" s="388">
        <v>0</v>
      </c>
      <c r="D74" s="388"/>
      <c r="E74" s="388">
        <v>0</v>
      </c>
      <c r="F74" s="388">
        <v>35.4</v>
      </c>
      <c r="G74" s="388">
        <v>517.5</v>
      </c>
      <c r="H74" s="388">
        <v>0</v>
      </c>
      <c r="I74" s="388">
        <v>0</v>
      </c>
      <c r="J74" s="388">
        <v>476.7</v>
      </c>
      <c r="K74" s="388">
        <v>0</v>
      </c>
      <c r="L74" s="388">
        <v>27</v>
      </c>
      <c r="M74" s="388">
        <v>511</v>
      </c>
      <c r="N74">
        <f t="shared" si="1"/>
        <v>0</v>
      </c>
    </row>
    <row r="75" spans="1:14" x14ac:dyDescent="0.3">
      <c r="A75" s="388"/>
      <c r="B75" s="390"/>
      <c r="C75" s="388"/>
      <c r="D75" s="388"/>
      <c r="E75" s="388"/>
      <c r="F75" s="388"/>
      <c r="G75" s="388"/>
      <c r="H75" s="388"/>
      <c r="I75" s="388"/>
      <c r="J75" s="388"/>
      <c r="K75" s="388"/>
      <c r="L75" s="388"/>
      <c r="M75" s="388"/>
      <c r="N75">
        <f t="shared" si="1"/>
        <v>0</v>
      </c>
    </row>
    <row r="76" spans="1:14" x14ac:dyDescent="0.3">
      <c r="A76" s="388" t="s">
        <v>3368</v>
      </c>
      <c r="B76" s="390">
        <v>0</v>
      </c>
      <c r="C76" s="388">
        <v>0</v>
      </c>
      <c r="D76" s="388">
        <v>0</v>
      </c>
      <c r="E76" s="388">
        <v>0</v>
      </c>
      <c r="F76" s="388">
        <v>35.4</v>
      </c>
      <c r="G76" s="388">
        <v>517.5</v>
      </c>
      <c r="H76" s="388">
        <v>0</v>
      </c>
      <c r="I76" s="388">
        <v>0</v>
      </c>
      <c r="J76" s="388">
        <v>476.7</v>
      </c>
      <c r="K76" s="388">
        <v>0</v>
      </c>
      <c r="L76" s="388">
        <v>27</v>
      </c>
      <c r="M76" s="388">
        <v>511</v>
      </c>
      <c r="N76">
        <f t="shared" si="1"/>
        <v>0</v>
      </c>
    </row>
    <row r="77" spans="1:14" x14ac:dyDescent="0.3">
      <c r="A77" s="388" t="s">
        <v>3369</v>
      </c>
      <c r="B77" s="390">
        <v>0</v>
      </c>
      <c r="C77" s="388">
        <v>0</v>
      </c>
      <c r="D77" s="388">
        <v>0</v>
      </c>
      <c r="E77" s="388">
        <v>0</v>
      </c>
      <c r="F77" s="388">
        <v>35.4</v>
      </c>
      <c r="G77" s="388">
        <v>517.5</v>
      </c>
      <c r="H77" s="388">
        <v>0</v>
      </c>
      <c r="I77" s="388">
        <v>0</v>
      </c>
      <c r="J77" s="388">
        <v>476.7</v>
      </c>
      <c r="K77" s="388">
        <v>0</v>
      </c>
      <c r="L77" s="388">
        <v>27</v>
      </c>
      <c r="M77" s="388">
        <v>511</v>
      </c>
      <c r="N77">
        <f t="shared" si="1"/>
        <v>0</v>
      </c>
    </row>
    <row r="78" spans="1:14" x14ac:dyDescent="0.3">
      <c r="A78" s="388" t="s">
        <v>3370</v>
      </c>
      <c r="B78" s="390">
        <v>3.5</v>
      </c>
      <c r="C78" s="388">
        <v>8</v>
      </c>
      <c r="D78" s="388">
        <v>2.5</v>
      </c>
      <c r="E78" s="388">
        <v>4.4000000000000004</v>
      </c>
      <c r="F78" s="388">
        <v>39.799999999999997</v>
      </c>
      <c r="G78" s="388">
        <v>521.9</v>
      </c>
      <c r="H78" s="388">
        <v>5</v>
      </c>
      <c r="I78" s="388">
        <v>5</v>
      </c>
      <c r="J78" s="388">
        <v>481.7</v>
      </c>
      <c r="K78" s="388">
        <v>4.5</v>
      </c>
      <c r="L78" s="388">
        <v>31.5</v>
      </c>
      <c r="M78" s="388">
        <v>515.5</v>
      </c>
      <c r="N78">
        <f t="shared" si="1"/>
        <v>8</v>
      </c>
    </row>
    <row r="79" spans="1:14" x14ac:dyDescent="0.3">
      <c r="A79" s="388" t="s">
        <v>3371</v>
      </c>
      <c r="B79" s="390">
        <v>42</v>
      </c>
      <c r="C79" s="388">
        <v>25</v>
      </c>
      <c r="D79" s="388">
        <v>31</v>
      </c>
      <c r="E79" s="388">
        <v>38</v>
      </c>
      <c r="F79" s="388">
        <v>77.8</v>
      </c>
      <c r="G79" s="388">
        <v>559.9</v>
      </c>
      <c r="H79" s="388">
        <v>44</v>
      </c>
      <c r="I79" s="388">
        <v>49</v>
      </c>
      <c r="J79" s="388">
        <v>525.70000000000005</v>
      </c>
      <c r="K79" s="388">
        <v>33</v>
      </c>
      <c r="L79" s="388">
        <v>64.5</v>
      </c>
      <c r="M79" s="388">
        <v>548.5</v>
      </c>
      <c r="N79">
        <f t="shared" si="1"/>
        <v>42</v>
      </c>
    </row>
    <row r="80" spans="1:14" x14ac:dyDescent="0.3">
      <c r="A80" s="388" t="s">
        <v>3372</v>
      </c>
      <c r="B80" s="390">
        <v>5</v>
      </c>
      <c r="C80" s="388">
        <v>4.5</v>
      </c>
      <c r="D80" s="388">
        <v>5.5</v>
      </c>
      <c r="E80" s="388">
        <v>3.6</v>
      </c>
      <c r="F80" s="388">
        <v>81.400000000000006</v>
      </c>
      <c r="G80" s="388">
        <v>563.5</v>
      </c>
      <c r="H80" s="388">
        <v>3.5</v>
      </c>
      <c r="I80" s="388">
        <v>52.5</v>
      </c>
      <c r="J80" s="388">
        <v>529.20000000000005</v>
      </c>
      <c r="K80" s="388">
        <v>8</v>
      </c>
      <c r="L80" s="388">
        <v>72.5</v>
      </c>
      <c r="M80" s="388">
        <v>556.5</v>
      </c>
      <c r="N80">
        <f t="shared" si="1"/>
        <v>5.5</v>
      </c>
    </row>
    <row r="81" spans="1:14" x14ac:dyDescent="0.3">
      <c r="A81" s="388" t="s">
        <v>3373</v>
      </c>
      <c r="B81" s="390">
        <v>19</v>
      </c>
      <c r="C81" s="388">
        <v>26</v>
      </c>
      <c r="D81" s="388">
        <v>18</v>
      </c>
      <c r="E81" s="388">
        <v>14</v>
      </c>
      <c r="F81" s="388">
        <v>95.4</v>
      </c>
      <c r="G81" s="388">
        <v>577.5</v>
      </c>
      <c r="H81" s="388">
        <v>17</v>
      </c>
      <c r="I81" s="388">
        <v>69.5</v>
      </c>
      <c r="J81" s="388">
        <v>546.20000000000005</v>
      </c>
      <c r="K81" s="388">
        <v>18.5</v>
      </c>
      <c r="L81" s="388">
        <v>91</v>
      </c>
      <c r="M81" s="388">
        <v>575</v>
      </c>
      <c r="N81">
        <f t="shared" si="1"/>
        <v>26</v>
      </c>
    </row>
    <row r="82" spans="1:14" x14ac:dyDescent="0.3">
      <c r="A82" s="388" t="s">
        <v>3374</v>
      </c>
      <c r="B82" s="390">
        <v>2.5</v>
      </c>
      <c r="C82" s="388">
        <v>6</v>
      </c>
      <c r="D82" s="388">
        <v>1.5</v>
      </c>
      <c r="E82" s="388">
        <v>3.4</v>
      </c>
      <c r="F82" s="388">
        <v>98.8</v>
      </c>
      <c r="G82" s="388">
        <v>580.9</v>
      </c>
      <c r="H82" s="388">
        <v>3.5</v>
      </c>
      <c r="I82" s="388">
        <v>73</v>
      </c>
      <c r="J82" s="388">
        <v>549.70000000000005</v>
      </c>
      <c r="K82" s="388">
        <v>4</v>
      </c>
      <c r="L82" s="388">
        <v>95</v>
      </c>
      <c r="M82" s="388">
        <v>579</v>
      </c>
      <c r="N82">
        <f t="shared" si="1"/>
        <v>6</v>
      </c>
    </row>
    <row r="83" spans="1:14" x14ac:dyDescent="0.3">
      <c r="A83" s="388" t="s">
        <v>3375</v>
      </c>
      <c r="B83" s="390">
        <v>8</v>
      </c>
      <c r="C83" s="388">
        <v>5.5</v>
      </c>
      <c r="D83" s="388">
        <v>14.5</v>
      </c>
      <c r="E83" s="388">
        <v>3.2</v>
      </c>
      <c r="F83" s="388">
        <v>102</v>
      </c>
      <c r="G83" s="388">
        <v>584.1</v>
      </c>
      <c r="H83" s="388">
        <v>3.5</v>
      </c>
      <c r="I83" s="388">
        <v>76.5</v>
      </c>
      <c r="J83" s="388">
        <v>553.20000000000005</v>
      </c>
      <c r="K83" s="388">
        <v>4.5</v>
      </c>
      <c r="L83" s="388">
        <v>99.5</v>
      </c>
      <c r="M83" s="388">
        <v>583.5</v>
      </c>
      <c r="N83">
        <f t="shared" si="1"/>
        <v>14.5</v>
      </c>
    </row>
    <row r="84" spans="1:14" x14ac:dyDescent="0.3">
      <c r="A84" s="388" t="s">
        <v>3376</v>
      </c>
      <c r="B84" s="390">
        <v>0</v>
      </c>
      <c r="C84" s="388">
        <v>0</v>
      </c>
      <c r="D84" s="388">
        <v>0</v>
      </c>
      <c r="E84" s="388">
        <v>0</v>
      </c>
      <c r="F84" s="388">
        <v>102</v>
      </c>
      <c r="G84" s="388">
        <v>584.1</v>
      </c>
      <c r="H84" s="388">
        <v>0</v>
      </c>
      <c r="I84" s="388">
        <v>76.5</v>
      </c>
      <c r="J84" s="388">
        <v>553.20000000000005</v>
      </c>
      <c r="K84" s="388">
        <v>0</v>
      </c>
      <c r="L84" s="388">
        <v>99.5</v>
      </c>
      <c r="M84" s="388">
        <v>583.5</v>
      </c>
      <c r="N84">
        <f t="shared" si="1"/>
        <v>0</v>
      </c>
    </row>
    <row r="85" spans="1:14" x14ac:dyDescent="0.3">
      <c r="A85" s="388" t="s">
        <v>3377</v>
      </c>
      <c r="B85" s="390">
        <v>0</v>
      </c>
      <c r="C85" s="388">
        <v>0</v>
      </c>
      <c r="D85" s="388">
        <v>0</v>
      </c>
      <c r="E85" s="388">
        <v>0</v>
      </c>
      <c r="F85" s="388">
        <v>102</v>
      </c>
      <c r="G85" s="388">
        <v>584.1</v>
      </c>
      <c r="H85" s="388">
        <v>0</v>
      </c>
      <c r="I85" s="388">
        <v>76.5</v>
      </c>
      <c r="J85" s="388">
        <v>553.20000000000005</v>
      </c>
      <c r="K85" s="388">
        <v>0.5</v>
      </c>
      <c r="L85" s="388">
        <v>100</v>
      </c>
      <c r="M85" s="388">
        <v>584</v>
      </c>
      <c r="N85">
        <f t="shared" si="1"/>
        <v>0</v>
      </c>
    </row>
    <row r="86" spans="1:14" x14ac:dyDescent="0.3">
      <c r="A86" s="388" t="s">
        <v>3378</v>
      </c>
      <c r="B86" s="390">
        <v>0</v>
      </c>
      <c r="C86" s="388">
        <v>0</v>
      </c>
      <c r="D86" s="388">
        <v>0</v>
      </c>
      <c r="E86" s="388">
        <v>0</v>
      </c>
      <c r="F86" s="388">
        <v>102</v>
      </c>
      <c r="G86" s="388">
        <v>584.1</v>
      </c>
      <c r="H86" s="388">
        <v>0</v>
      </c>
      <c r="I86" s="388">
        <v>76.5</v>
      </c>
      <c r="J86" s="388">
        <v>553.20000000000005</v>
      </c>
      <c r="K86" s="388">
        <v>0</v>
      </c>
      <c r="L86" s="388">
        <v>100</v>
      </c>
      <c r="M86" s="388">
        <v>584</v>
      </c>
      <c r="N86">
        <f t="shared" si="1"/>
        <v>0</v>
      </c>
    </row>
    <row r="87" spans="1:14" x14ac:dyDescent="0.3">
      <c r="A87" s="388" t="s">
        <v>3379</v>
      </c>
      <c r="B87" s="390">
        <v>0</v>
      </c>
      <c r="C87" s="388">
        <v>0</v>
      </c>
      <c r="D87" s="388">
        <v>0</v>
      </c>
      <c r="E87" s="388">
        <v>0</v>
      </c>
      <c r="F87" s="388">
        <v>102</v>
      </c>
      <c r="G87" s="388">
        <v>584.1</v>
      </c>
      <c r="H87" s="388">
        <v>0</v>
      </c>
      <c r="I87" s="388">
        <v>76.5</v>
      </c>
      <c r="J87" s="388">
        <v>553.20000000000005</v>
      </c>
      <c r="K87" s="388">
        <v>0</v>
      </c>
      <c r="L87" s="388">
        <v>100</v>
      </c>
      <c r="M87" s="388">
        <v>584</v>
      </c>
      <c r="N87">
        <f t="shared" si="1"/>
        <v>0</v>
      </c>
    </row>
    <row r="88" spans="1:14" x14ac:dyDescent="0.3">
      <c r="A88" s="388" t="s">
        <v>3380</v>
      </c>
      <c r="B88" s="390">
        <v>0</v>
      </c>
      <c r="C88" s="388">
        <v>0</v>
      </c>
      <c r="D88" s="388">
        <v>0</v>
      </c>
      <c r="E88" s="388">
        <v>0</v>
      </c>
      <c r="F88" s="388">
        <v>102</v>
      </c>
      <c r="G88" s="388">
        <v>584.1</v>
      </c>
      <c r="H88" s="388">
        <v>0</v>
      </c>
      <c r="I88" s="388">
        <v>76.5</v>
      </c>
      <c r="J88" s="388">
        <v>553.20000000000005</v>
      </c>
      <c r="K88" s="388">
        <v>0</v>
      </c>
      <c r="L88" s="388">
        <v>100</v>
      </c>
      <c r="M88" s="388">
        <v>584</v>
      </c>
      <c r="N88">
        <f t="shared" si="1"/>
        <v>0</v>
      </c>
    </row>
    <row r="89" spans="1:14" x14ac:dyDescent="0.3">
      <c r="A89" s="388" t="s">
        <v>3381</v>
      </c>
      <c r="B89" s="390">
        <v>0</v>
      </c>
      <c r="C89" s="388">
        <v>0</v>
      </c>
      <c r="D89" s="388">
        <v>0</v>
      </c>
      <c r="E89" s="388">
        <v>0</v>
      </c>
      <c r="F89" s="388">
        <v>102</v>
      </c>
      <c r="G89" s="388">
        <v>584.1</v>
      </c>
      <c r="H89" s="388">
        <v>0</v>
      </c>
      <c r="I89" s="388">
        <v>76.5</v>
      </c>
      <c r="J89" s="388">
        <v>553.20000000000005</v>
      </c>
      <c r="K89" s="388">
        <v>0</v>
      </c>
      <c r="L89" s="388">
        <v>100</v>
      </c>
      <c r="M89" s="388">
        <v>584</v>
      </c>
      <c r="N89">
        <f t="shared" si="1"/>
        <v>0</v>
      </c>
    </row>
    <row r="90" spans="1:14" x14ac:dyDescent="0.3">
      <c r="A90" s="388" t="s">
        <v>3382</v>
      </c>
      <c r="B90" s="390">
        <v>4</v>
      </c>
      <c r="C90" s="388">
        <v>59</v>
      </c>
      <c r="D90" s="388">
        <v>4.5</v>
      </c>
      <c r="E90" s="388">
        <v>4.5999999999999996</v>
      </c>
      <c r="F90" s="388">
        <v>106.6</v>
      </c>
      <c r="G90" s="388">
        <v>588.70000000000005</v>
      </c>
      <c r="H90" s="388">
        <v>5</v>
      </c>
      <c r="I90" s="388">
        <v>81.5</v>
      </c>
      <c r="J90" s="388">
        <v>558.20000000000005</v>
      </c>
      <c r="K90" s="388">
        <v>10.5</v>
      </c>
      <c r="L90" s="388">
        <v>110.5</v>
      </c>
      <c r="M90" s="388">
        <v>594.5</v>
      </c>
      <c r="N90">
        <f t="shared" si="1"/>
        <v>59</v>
      </c>
    </row>
    <row r="91" spans="1:14" x14ac:dyDescent="0.3">
      <c r="A91" s="388" t="s">
        <v>3383</v>
      </c>
      <c r="B91" s="390">
        <v>2</v>
      </c>
      <c r="C91" s="388">
        <v>7.5</v>
      </c>
      <c r="D91" s="388">
        <v>2</v>
      </c>
      <c r="E91" s="388">
        <v>1.2</v>
      </c>
      <c r="F91" s="388">
        <v>107.8</v>
      </c>
      <c r="G91" s="388">
        <v>589.9</v>
      </c>
      <c r="H91" s="388">
        <v>1</v>
      </c>
      <c r="I91" s="388">
        <v>82.5</v>
      </c>
      <c r="J91" s="388">
        <v>559.20000000000005</v>
      </c>
      <c r="K91" s="388">
        <v>4.2</v>
      </c>
      <c r="L91" s="388">
        <v>114.7</v>
      </c>
      <c r="M91" s="388">
        <v>598.70000000000005</v>
      </c>
      <c r="N91">
        <f t="shared" si="1"/>
        <v>7.5</v>
      </c>
    </row>
    <row r="92" spans="1:14" x14ac:dyDescent="0.3">
      <c r="A92" s="388" t="s">
        <v>3384</v>
      </c>
      <c r="B92" s="390">
        <v>0.5</v>
      </c>
      <c r="C92" s="388">
        <v>0</v>
      </c>
      <c r="D92" s="388">
        <v>2</v>
      </c>
      <c r="E92" s="388">
        <v>0</v>
      </c>
      <c r="F92" s="388">
        <v>107.8</v>
      </c>
      <c r="G92" s="388">
        <v>589.9</v>
      </c>
      <c r="H92" s="388">
        <v>0</v>
      </c>
      <c r="I92" s="388">
        <v>82.5</v>
      </c>
      <c r="J92" s="388">
        <v>559.20000000000005</v>
      </c>
      <c r="K92" s="388">
        <v>0.5</v>
      </c>
      <c r="L92" s="388">
        <v>115.2</v>
      </c>
      <c r="M92" s="388">
        <v>599.20000000000005</v>
      </c>
      <c r="N92">
        <f t="shared" si="1"/>
        <v>2</v>
      </c>
    </row>
    <row r="93" spans="1:14" s="338" customFormat="1" x14ac:dyDescent="0.3">
      <c r="A93" s="392" t="s">
        <v>3385</v>
      </c>
      <c r="B93" s="393">
        <v>16</v>
      </c>
      <c r="C93" s="392">
        <v>8</v>
      </c>
      <c r="D93" s="392">
        <v>20</v>
      </c>
      <c r="E93" s="392">
        <v>14</v>
      </c>
      <c r="F93" s="392">
        <v>121.8</v>
      </c>
      <c r="G93" s="392">
        <v>603.9</v>
      </c>
      <c r="H93" s="392">
        <v>17</v>
      </c>
      <c r="I93" s="392">
        <v>99.5</v>
      </c>
      <c r="J93" s="392">
        <v>576.20000000000005</v>
      </c>
      <c r="K93" s="392">
        <v>13</v>
      </c>
      <c r="L93" s="392">
        <v>128.19999999999999</v>
      </c>
      <c r="M93" s="392">
        <v>612.20000000000005</v>
      </c>
      <c r="N93">
        <f t="shared" si="1"/>
        <v>20</v>
      </c>
    </row>
    <row r="94" spans="1:14" x14ac:dyDescent="0.3">
      <c r="A94" s="388" t="s">
        <v>3386</v>
      </c>
      <c r="B94" s="390">
        <v>53</v>
      </c>
      <c r="C94" s="388">
        <v>42</v>
      </c>
      <c r="D94" s="388">
        <v>62</v>
      </c>
      <c r="E94" s="388">
        <v>35.4</v>
      </c>
      <c r="F94" s="388">
        <v>35.4</v>
      </c>
      <c r="G94" s="388">
        <v>639.29999999999995</v>
      </c>
      <c r="H94" s="388">
        <v>47</v>
      </c>
      <c r="I94" s="388">
        <v>47</v>
      </c>
      <c r="J94" s="388">
        <v>623.20000000000005</v>
      </c>
      <c r="K94" s="388">
        <v>40</v>
      </c>
      <c r="L94" s="388">
        <v>40</v>
      </c>
      <c r="M94" s="388">
        <v>652.20000000000005</v>
      </c>
      <c r="N94">
        <f t="shared" si="1"/>
        <v>62</v>
      </c>
    </row>
    <row r="95" spans="1:14" x14ac:dyDescent="0.3">
      <c r="A95" s="388" t="s">
        <v>3387</v>
      </c>
      <c r="B95" s="390">
        <v>0.5</v>
      </c>
      <c r="C95" s="388">
        <v>0.5</v>
      </c>
      <c r="D95" s="388">
        <v>0</v>
      </c>
      <c r="E95" s="388">
        <v>0.5</v>
      </c>
      <c r="F95" s="388">
        <v>35.9</v>
      </c>
      <c r="G95" s="388">
        <v>639.79999999999995</v>
      </c>
      <c r="H95" s="388">
        <v>0.2</v>
      </c>
      <c r="I95" s="388">
        <v>47.2</v>
      </c>
      <c r="J95" s="388">
        <v>623.4</v>
      </c>
      <c r="K95" s="388">
        <v>0.5</v>
      </c>
      <c r="L95" s="388">
        <v>40.5</v>
      </c>
      <c r="M95" s="388">
        <v>652.70000000000005</v>
      </c>
      <c r="N95">
        <f t="shared" si="1"/>
        <v>0.5</v>
      </c>
    </row>
    <row r="96" spans="1:14" x14ac:dyDescent="0.3">
      <c r="A96" s="388" t="s">
        <v>3388</v>
      </c>
      <c r="B96" s="390">
        <v>0.5</v>
      </c>
      <c r="C96" s="388">
        <v>0.5</v>
      </c>
      <c r="D96" s="388">
        <v>0.5</v>
      </c>
      <c r="E96" s="388">
        <v>0</v>
      </c>
      <c r="F96" s="388">
        <v>35.9</v>
      </c>
      <c r="G96" s="388">
        <v>639.79999999999995</v>
      </c>
      <c r="H96" s="388">
        <v>0.5</v>
      </c>
      <c r="I96" s="388">
        <v>47.7</v>
      </c>
      <c r="J96" s="388">
        <v>623.9</v>
      </c>
      <c r="K96" s="388">
        <v>0.5</v>
      </c>
      <c r="L96" s="388">
        <v>41</v>
      </c>
      <c r="M96" s="388">
        <v>653.20000000000005</v>
      </c>
      <c r="N96">
        <f t="shared" si="1"/>
        <v>0.5</v>
      </c>
    </row>
    <row r="97" spans="1:14" x14ac:dyDescent="0.3">
      <c r="A97" s="388" t="s">
        <v>3389</v>
      </c>
      <c r="B97" s="390">
        <v>5</v>
      </c>
      <c r="C97" s="388">
        <v>7.5</v>
      </c>
      <c r="D97" s="388">
        <v>6.5</v>
      </c>
      <c r="E97" s="388">
        <v>4.2</v>
      </c>
      <c r="F97" s="388">
        <v>40.1</v>
      </c>
      <c r="G97" s="388">
        <v>644</v>
      </c>
      <c r="H97" s="388">
        <v>4.5</v>
      </c>
      <c r="I97" s="388">
        <v>52.2</v>
      </c>
      <c r="J97" s="388">
        <v>628.4</v>
      </c>
      <c r="K97" s="388">
        <v>5.5</v>
      </c>
      <c r="L97" s="388">
        <v>46.5</v>
      </c>
      <c r="M97" s="388">
        <v>658.7</v>
      </c>
      <c r="N97">
        <f t="shared" si="1"/>
        <v>7.5</v>
      </c>
    </row>
    <row r="98" spans="1:14" x14ac:dyDescent="0.3">
      <c r="A98" s="388" t="s">
        <v>3390</v>
      </c>
      <c r="B98" s="390">
        <v>14</v>
      </c>
      <c r="C98" s="388">
        <v>17</v>
      </c>
      <c r="D98" s="388">
        <v>6.5</v>
      </c>
      <c r="E98" s="388">
        <v>0</v>
      </c>
      <c r="F98" s="388">
        <v>40.1</v>
      </c>
      <c r="G98" s="388">
        <v>644</v>
      </c>
      <c r="H98" s="388">
        <v>16</v>
      </c>
      <c r="I98" s="388">
        <v>68.2</v>
      </c>
      <c r="J98" s="388">
        <v>644.4</v>
      </c>
      <c r="K98" s="388">
        <v>12</v>
      </c>
      <c r="L98" s="388">
        <v>58.5</v>
      </c>
      <c r="M98" s="388">
        <v>670.7</v>
      </c>
      <c r="N98">
        <f t="shared" si="1"/>
        <v>17</v>
      </c>
    </row>
    <row r="99" spans="1:14" x14ac:dyDescent="0.3">
      <c r="A99" s="388" t="s">
        <v>3391</v>
      </c>
      <c r="B99" s="390">
        <v>0</v>
      </c>
      <c r="C99" s="388">
        <v>0</v>
      </c>
      <c r="D99" s="388">
        <v>0</v>
      </c>
      <c r="E99" s="388">
        <v>0</v>
      </c>
      <c r="F99" s="388">
        <v>40.1</v>
      </c>
      <c r="G99" s="388">
        <v>644</v>
      </c>
      <c r="H99" s="388">
        <v>0</v>
      </c>
      <c r="I99" s="388">
        <v>68.2</v>
      </c>
      <c r="J99" s="388">
        <v>644.4</v>
      </c>
      <c r="K99" s="388">
        <v>0</v>
      </c>
      <c r="L99" s="388">
        <v>58.5</v>
      </c>
      <c r="M99" s="388">
        <v>670.7</v>
      </c>
      <c r="N99">
        <f t="shared" si="1"/>
        <v>0</v>
      </c>
    </row>
    <row r="100" spans="1:14" x14ac:dyDescent="0.3">
      <c r="A100" s="388" t="s">
        <v>3392</v>
      </c>
      <c r="B100" s="390">
        <v>0</v>
      </c>
      <c r="C100" s="388">
        <v>0</v>
      </c>
      <c r="D100" s="388">
        <v>0</v>
      </c>
      <c r="E100" s="388">
        <v>0</v>
      </c>
      <c r="F100" s="388">
        <v>40.1</v>
      </c>
      <c r="G100" s="388">
        <v>644</v>
      </c>
      <c r="H100" s="388">
        <v>0</v>
      </c>
      <c r="I100" s="388">
        <v>68.2</v>
      </c>
      <c r="J100" s="388">
        <v>644.4</v>
      </c>
      <c r="K100" s="388">
        <v>0</v>
      </c>
      <c r="L100" s="388">
        <v>58.5</v>
      </c>
      <c r="M100" s="388">
        <v>670.7</v>
      </c>
      <c r="N100">
        <f t="shared" si="1"/>
        <v>0</v>
      </c>
    </row>
    <row r="101" spans="1:14" x14ac:dyDescent="0.3">
      <c r="A101" s="388" t="s">
        <v>3393</v>
      </c>
      <c r="B101" s="390">
        <v>0</v>
      </c>
      <c r="C101" s="388">
        <v>0</v>
      </c>
      <c r="D101" s="388">
        <v>0</v>
      </c>
      <c r="E101" s="388">
        <v>0</v>
      </c>
      <c r="F101" s="388">
        <v>40.1</v>
      </c>
      <c r="G101" s="388">
        <v>644</v>
      </c>
      <c r="H101" s="388">
        <v>0</v>
      </c>
      <c r="I101" s="388">
        <v>68.2</v>
      </c>
      <c r="J101" s="388">
        <v>644.4</v>
      </c>
      <c r="K101" s="388">
        <v>0</v>
      </c>
      <c r="L101" s="388">
        <v>58.5</v>
      </c>
      <c r="M101" s="388">
        <v>670.7</v>
      </c>
      <c r="N101">
        <f t="shared" si="1"/>
        <v>0</v>
      </c>
    </row>
    <row r="102" spans="1:14" x14ac:dyDescent="0.3">
      <c r="A102" s="388" t="s">
        <v>3394</v>
      </c>
      <c r="B102" s="390">
        <v>7</v>
      </c>
      <c r="C102" s="388">
        <v>13.5</v>
      </c>
      <c r="D102" s="388">
        <v>10.5</v>
      </c>
      <c r="E102" s="388">
        <v>4.4000000000000004</v>
      </c>
      <c r="F102" s="388">
        <v>44.5</v>
      </c>
      <c r="G102" s="388">
        <v>648.4</v>
      </c>
      <c r="H102" s="388">
        <v>5</v>
      </c>
      <c r="I102" s="388">
        <v>73.2</v>
      </c>
      <c r="J102" s="388">
        <v>649.4</v>
      </c>
      <c r="K102" s="388">
        <v>10</v>
      </c>
      <c r="L102" s="388">
        <v>68.5</v>
      </c>
      <c r="M102" s="388">
        <v>680.7</v>
      </c>
      <c r="N102">
        <f t="shared" si="1"/>
        <v>13.5</v>
      </c>
    </row>
    <row r="103" spans="1:14" x14ac:dyDescent="0.3">
      <c r="A103" s="388" t="s">
        <v>3395</v>
      </c>
      <c r="B103" s="390">
        <v>0</v>
      </c>
      <c r="C103" s="388">
        <v>0.5</v>
      </c>
      <c r="D103" s="388">
        <v>0</v>
      </c>
      <c r="E103" s="388">
        <v>0.2</v>
      </c>
      <c r="F103" s="388">
        <v>44.7</v>
      </c>
      <c r="G103" s="388">
        <v>648.6</v>
      </c>
      <c r="H103" s="388">
        <v>0</v>
      </c>
      <c r="I103" s="388">
        <v>73.2</v>
      </c>
      <c r="J103" s="388">
        <v>649.4</v>
      </c>
      <c r="K103" s="388">
        <v>0</v>
      </c>
      <c r="L103" s="388">
        <v>68.5</v>
      </c>
      <c r="M103" s="388">
        <v>680.7</v>
      </c>
      <c r="N103">
        <f t="shared" si="1"/>
        <v>0.5</v>
      </c>
    </row>
    <row r="104" spans="1:14" x14ac:dyDescent="0.3">
      <c r="A104" s="388" t="s">
        <v>3396</v>
      </c>
      <c r="B104" s="390">
        <v>5</v>
      </c>
      <c r="C104" s="388">
        <v>2</v>
      </c>
      <c r="D104" s="388">
        <v>6.5</v>
      </c>
      <c r="E104" s="388">
        <v>2.6</v>
      </c>
      <c r="F104" s="388">
        <v>47.3</v>
      </c>
      <c r="G104" s="388">
        <v>651.20000000000005</v>
      </c>
      <c r="H104" s="388">
        <v>2.5</v>
      </c>
      <c r="I104" s="388">
        <v>75.7</v>
      </c>
      <c r="J104" s="388">
        <v>651.9</v>
      </c>
      <c r="K104" s="388">
        <v>4</v>
      </c>
      <c r="L104" s="388">
        <v>72.5</v>
      </c>
      <c r="M104" s="388">
        <v>684.7</v>
      </c>
      <c r="N104">
        <f t="shared" si="1"/>
        <v>6.5</v>
      </c>
    </row>
    <row r="105" spans="1:14" x14ac:dyDescent="0.3">
      <c r="A105" s="388" t="s">
        <v>3397</v>
      </c>
      <c r="B105" s="390">
        <v>0</v>
      </c>
      <c r="C105" s="388">
        <v>0</v>
      </c>
      <c r="D105" s="388">
        <v>0</v>
      </c>
      <c r="E105" s="388">
        <v>0</v>
      </c>
      <c r="F105" s="388">
        <v>47.3</v>
      </c>
      <c r="G105" s="388">
        <v>651.20000000000005</v>
      </c>
      <c r="H105" s="388">
        <v>0</v>
      </c>
      <c r="I105" s="388">
        <v>75.7</v>
      </c>
      <c r="J105" s="388">
        <v>651.9</v>
      </c>
      <c r="K105" s="388">
        <v>0</v>
      </c>
      <c r="L105" s="388">
        <v>72.5</v>
      </c>
      <c r="M105" s="388">
        <v>684.7</v>
      </c>
      <c r="N105">
        <f t="shared" si="1"/>
        <v>0</v>
      </c>
    </row>
    <row r="106" spans="1:14" x14ac:dyDescent="0.3">
      <c r="A106" s="388" t="s">
        <v>3398</v>
      </c>
      <c r="B106" s="390">
        <v>0</v>
      </c>
      <c r="C106" s="388">
        <v>0</v>
      </c>
      <c r="D106" s="388">
        <v>0</v>
      </c>
      <c r="E106" s="388">
        <v>0</v>
      </c>
      <c r="F106" s="388">
        <v>47.3</v>
      </c>
      <c r="G106" s="388">
        <v>651.20000000000005</v>
      </c>
      <c r="H106" s="388">
        <v>0</v>
      </c>
      <c r="I106" s="388">
        <v>75.7</v>
      </c>
      <c r="J106" s="388">
        <v>651.9</v>
      </c>
      <c r="K106" s="388">
        <v>0</v>
      </c>
      <c r="L106" s="388">
        <v>72.5</v>
      </c>
      <c r="M106" s="388">
        <v>684.7</v>
      </c>
      <c r="N106">
        <f t="shared" si="1"/>
        <v>0</v>
      </c>
    </row>
    <row r="107" spans="1:14" x14ac:dyDescent="0.3">
      <c r="A107" s="388" t="s">
        <v>3399</v>
      </c>
      <c r="B107" s="390">
        <v>12.5</v>
      </c>
      <c r="C107" s="388">
        <v>56.5</v>
      </c>
      <c r="D107" s="388">
        <v>3.5</v>
      </c>
      <c r="E107" s="388">
        <v>16.399999999999999</v>
      </c>
      <c r="F107" s="388">
        <v>63.7</v>
      </c>
      <c r="G107" s="388">
        <v>667.6</v>
      </c>
      <c r="H107" s="388">
        <v>18</v>
      </c>
      <c r="I107" s="388">
        <v>93.7</v>
      </c>
      <c r="J107" s="388">
        <v>669.9</v>
      </c>
      <c r="K107" s="388">
        <v>22.5</v>
      </c>
      <c r="L107" s="388">
        <v>95</v>
      </c>
      <c r="M107" s="388">
        <v>707.2</v>
      </c>
      <c r="N107">
        <f t="shared" si="1"/>
        <v>56.5</v>
      </c>
    </row>
    <row r="108" spans="1:14" x14ac:dyDescent="0.3">
      <c r="A108" s="388" t="s">
        <v>3400</v>
      </c>
      <c r="B108" s="390">
        <v>11.5</v>
      </c>
      <c r="C108" s="388">
        <v>7</v>
      </c>
      <c r="D108" s="388">
        <v>19.5</v>
      </c>
      <c r="E108" s="388">
        <v>5.8</v>
      </c>
      <c r="F108" s="388">
        <v>69.5</v>
      </c>
      <c r="G108" s="388">
        <v>673.4</v>
      </c>
      <c r="H108" s="388">
        <v>6.5</v>
      </c>
      <c r="I108" s="388">
        <v>100.2</v>
      </c>
      <c r="J108" s="388">
        <v>676.4</v>
      </c>
      <c r="K108" s="388">
        <v>8.5</v>
      </c>
      <c r="L108" s="388">
        <v>103.5</v>
      </c>
      <c r="M108" s="388">
        <v>715.7</v>
      </c>
      <c r="N108">
        <f t="shared" si="1"/>
        <v>19.5</v>
      </c>
    </row>
    <row r="109" spans="1:14" x14ac:dyDescent="0.3">
      <c r="A109" s="388" t="s">
        <v>3401</v>
      </c>
      <c r="B109" s="390">
        <v>0</v>
      </c>
      <c r="C109" s="388">
        <v>0</v>
      </c>
      <c r="D109" s="388">
        <v>0</v>
      </c>
      <c r="E109" s="388">
        <v>0</v>
      </c>
      <c r="F109" s="388">
        <v>69.5</v>
      </c>
      <c r="G109" s="388">
        <v>673.4</v>
      </c>
      <c r="H109" s="388">
        <v>0</v>
      </c>
      <c r="I109" s="388">
        <v>100.2</v>
      </c>
      <c r="J109" s="388">
        <v>676.4</v>
      </c>
      <c r="K109" s="388">
        <v>0</v>
      </c>
      <c r="L109" s="388">
        <v>103.5</v>
      </c>
      <c r="M109" s="388">
        <v>715.7</v>
      </c>
      <c r="N109">
        <f t="shared" si="1"/>
        <v>0</v>
      </c>
    </row>
    <row r="110" spans="1:14" x14ac:dyDescent="0.3">
      <c r="A110" s="388" t="s">
        <v>3402</v>
      </c>
      <c r="B110" s="390">
        <v>14</v>
      </c>
      <c r="C110" s="388">
        <v>6.5</v>
      </c>
      <c r="D110" s="388">
        <v>27</v>
      </c>
      <c r="E110" s="388">
        <v>9.6</v>
      </c>
      <c r="F110" s="388">
        <v>79.099999999999994</v>
      </c>
      <c r="G110" s="388">
        <v>683</v>
      </c>
      <c r="H110" s="388">
        <v>12.5</v>
      </c>
      <c r="I110" s="388">
        <v>112.7</v>
      </c>
      <c r="J110" s="388">
        <v>688.9</v>
      </c>
      <c r="K110" s="388">
        <v>10.5</v>
      </c>
      <c r="L110" s="388">
        <v>114</v>
      </c>
      <c r="M110" s="388">
        <v>726.2</v>
      </c>
      <c r="N110">
        <f t="shared" si="1"/>
        <v>27</v>
      </c>
    </row>
    <row r="111" spans="1:14" x14ac:dyDescent="0.3">
      <c r="A111" s="388" t="s">
        <v>3403</v>
      </c>
      <c r="B111" s="390">
        <v>1.5</v>
      </c>
      <c r="C111" s="388">
        <v>1</v>
      </c>
      <c r="D111" s="388">
        <v>7.5</v>
      </c>
      <c r="E111" s="388">
        <v>0.8</v>
      </c>
      <c r="F111" s="388">
        <v>79.900000000000006</v>
      </c>
      <c r="G111" s="388">
        <v>683.8</v>
      </c>
      <c r="H111" s="388">
        <v>1.5</v>
      </c>
      <c r="I111" s="388">
        <v>114.2</v>
      </c>
      <c r="J111" s="388">
        <v>690.4</v>
      </c>
      <c r="K111" s="388">
        <v>4.5</v>
      </c>
      <c r="L111" s="388">
        <v>118.5</v>
      </c>
      <c r="M111" s="388">
        <v>730.7</v>
      </c>
      <c r="N111">
        <f t="shared" si="1"/>
        <v>7.5</v>
      </c>
    </row>
    <row r="112" spans="1:14" x14ac:dyDescent="0.3">
      <c r="A112" s="388" t="s">
        <v>3404</v>
      </c>
      <c r="B112" s="390">
        <v>23.5</v>
      </c>
      <c r="C112" s="388">
        <v>24.5</v>
      </c>
      <c r="D112" s="388">
        <v>7</v>
      </c>
      <c r="E112" s="388">
        <v>15.2</v>
      </c>
      <c r="F112" s="388">
        <v>95.1</v>
      </c>
      <c r="G112" s="388">
        <v>699</v>
      </c>
      <c r="H112" s="388">
        <v>18.5</v>
      </c>
      <c r="I112" s="388">
        <v>132.69999999999999</v>
      </c>
      <c r="J112" s="388">
        <v>708.9</v>
      </c>
      <c r="K112" s="388">
        <v>15</v>
      </c>
      <c r="L112" s="388">
        <v>133.5</v>
      </c>
      <c r="M112" s="388">
        <v>745.7</v>
      </c>
      <c r="N112">
        <f t="shared" si="1"/>
        <v>24.5</v>
      </c>
    </row>
    <row r="113" spans="1:14" x14ac:dyDescent="0.3">
      <c r="A113" s="388" t="s">
        <v>3405</v>
      </c>
      <c r="B113" s="390">
        <v>62.5</v>
      </c>
      <c r="C113" s="388">
        <v>108</v>
      </c>
      <c r="D113" s="388">
        <v>65.5</v>
      </c>
      <c r="E113" s="388">
        <v>45.6</v>
      </c>
      <c r="F113" s="388">
        <v>140.69999999999999</v>
      </c>
      <c r="G113" s="388">
        <v>744.6</v>
      </c>
      <c r="H113" s="388">
        <v>66.5</v>
      </c>
      <c r="I113" s="388">
        <v>199.2</v>
      </c>
      <c r="J113" s="388">
        <v>775.4</v>
      </c>
      <c r="K113" s="388">
        <v>50.5</v>
      </c>
      <c r="L113" s="388">
        <v>184</v>
      </c>
      <c r="M113" s="388">
        <v>796.2</v>
      </c>
      <c r="N113">
        <f t="shared" si="1"/>
        <v>108</v>
      </c>
    </row>
    <row r="114" spans="1:14" x14ac:dyDescent="0.3">
      <c r="A114" s="388" t="s">
        <v>3406</v>
      </c>
      <c r="B114" s="390">
        <v>2</v>
      </c>
      <c r="C114" s="388">
        <v>25</v>
      </c>
      <c r="D114" s="388">
        <v>1.5</v>
      </c>
      <c r="E114" s="388">
        <v>2.6</v>
      </c>
      <c r="F114" s="388">
        <v>143.30000000000001</v>
      </c>
      <c r="G114" s="388">
        <v>747.2</v>
      </c>
      <c r="H114" s="388">
        <v>3</v>
      </c>
      <c r="I114" s="388">
        <v>202.2</v>
      </c>
      <c r="J114" s="388">
        <v>778.4</v>
      </c>
      <c r="K114" s="388">
        <v>1.5</v>
      </c>
      <c r="L114" s="388">
        <v>185.5</v>
      </c>
      <c r="M114" s="388">
        <v>797.7</v>
      </c>
      <c r="N114">
        <f t="shared" si="1"/>
        <v>25</v>
      </c>
    </row>
    <row r="115" spans="1:14" x14ac:dyDescent="0.3">
      <c r="A115" s="388" t="s">
        <v>3407</v>
      </c>
      <c r="B115" s="390">
        <v>0</v>
      </c>
      <c r="C115" s="388">
        <v>0</v>
      </c>
      <c r="D115" s="388">
        <v>0</v>
      </c>
      <c r="E115" s="388">
        <v>0</v>
      </c>
      <c r="F115" s="388">
        <v>143.30000000000001</v>
      </c>
      <c r="G115" s="388">
        <v>747.2</v>
      </c>
      <c r="H115" s="388">
        <v>0</v>
      </c>
      <c r="I115" s="388">
        <v>202.2</v>
      </c>
      <c r="J115" s="388">
        <v>778.4</v>
      </c>
      <c r="K115" s="388">
        <v>0</v>
      </c>
      <c r="L115" s="388">
        <v>185.5</v>
      </c>
      <c r="M115" s="388">
        <v>797.7</v>
      </c>
      <c r="N115">
        <f t="shared" si="1"/>
        <v>0</v>
      </c>
    </row>
    <row r="116" spans="1:14" x14ac:dyDescent="0.3">
      <c r="A116" s="388" t="s">
        <v>3408</v>
      </c>
      <c r="B116" s="390">
        <v>0</v>
      </c>
      <c r="C116" s="388">
        <v>0</v>
      </c>
      <c r="D116" s="388">
        <v>0</v>
      </c>
      <c r="E116" s="388">
        <v>0</v>
      </c>
      <c r="F116" s="388">
        <v>143.30000000000001</v>
      </c>
      <c r="G116" s="388">
        <v>747.2</v>
      </c>
      <c r="H116" s="388">
        <v>0</v>
      </c>
      <c r="I116" s="388">
        <v>202.2</v>
      </c>
      <c r="J116" s="388">
        <v>778.4</v>
      </c>
      <c r="K116" s="388">
        <v>0</v>
      </c>
      <c r="L116" s="388">
        <v>185.5</v>
      </c>
      <c r="M116" s="388">
        <v>797.7</v>
      </c>
      <c r="N116">
        <f t="shared" si="1"/>
        <v>0</v>
      </c>
    </row>
    <row r="117" spans="1:14" x14ac:dyDescent="0.3">
      <c r="A117" s="388" t="s">
        <v>3409</v>
      </c>
      <c r="B117" s="390">
        <v>6</v>
      </c>
      <c r="C117" s="388">
        <v>13.5</v>
      </c>
      <c r="D117" s="388">
        <v>9</v>
      </c>
      <c r="E117" s="388">
        <v>5.6</v>
      </c>
      <c r="F117" s="388">
        <v>148.9</v>
      </c>
      <c r="G117" s="388">
        <v>752.8</v>
      </c>
      <c r="H117" s="388">
        <v>6.5</v>
      </c>
      <c r="I117" s="388">
        <v>208.7</v>
      </c>
      <c r="J117" s="388">
        <v>784.9</v>
      </c>
      <c r="K117" s="388">
        <v>5</v>
      </c>
      <c r="L117" s="388">
        <v>190.5</v>
      </c>
      <c r="M117" s="388">
        <v>802.7</v>
      </c>
      <c r="N117">
        <f t="shared" si="1"/>
        <v>13.5</v>
      </c>
    </row>
    <row r="118" spans="1:14" x14ac:dyDescent="0.3">
      <c r="A118" s="388" t="s">
        <v>3410</v>
      </c>
      <c r="B118" s="390">
        <v>2.5</v>
      </c>
      <c r="C118" s="388">
        <v>22</v>
      </c>
      <c r="D118" s="388">
        <v>14.5</v>
      </c>
      <c r="E118" s="388">
        <v>2.2000000000000002</v>
      </c>
      <c r="F118" s="388">
        <v>151.1</v>
      </c>
      <c r="G118" s="388">
        <v>755</v>
      </c>
      <c r="H118" s="388">
        <v>2.5</v>
      </c>
      <c r="I118" s="388">
        <v>211.2</v>
      </c>
      <c r="J118" s="388">
        <v>787.4</v>
      </c>
      <c r="K118" s="388">
        <v>8.5</v>
      </c>
      <c r="L118" s="388">
        <v>199</v>
      </c>
      <c r="M118" s="388">
        <v>811.2</v>
      </c>
      <c r="N118">
        <f t="shared" si="1"/>
        <v>22</v>
      </c>
    </row>
    <row r="119" spans="1:14" x14ac:dyDescent="0.3">
      <c r="A119" s="388" t="s">
        <v>3411</v>
      </c>
      <c r="B119" s="390">
        <v>5.5</v>
      </c>
      <c r="C119" s="388">
        <v>6.5</v>
      </c>
      <c r="D119" s="388">
        <v>12.5</v>
      </c>
      <c r="E119" s="388">
        <v>4.4000000000000004</v>
      </c>
      <c r="F119" s="388">
        <v>155.5</v>
      </c>
      <c r="G119" s="388">
        <v>759.4</v>
      </c>
      <c r="H119" s="388">
        <v>5</v>
      </c>
      <c r="I119" s="388">
        <v>216.2</v>
      </c>
      <c r="J119" s="388">
        <v>792.4</v>
      </c>
      <c r="K119" s="388">
        <v>7.5</v>
      </c>
      <c r="L119" s="388">
        <v>206.5</v>
      </c>
      <c r="M119" s="388">
        <v>818.7</v>
      </c>
      <c r="N119">
        <f t="shared" si="1"/>
        <v>12.5</v>
      </c>
    </row>
    <row r="120" spans="1:14" x14ac:dyDescent="0.3">
      <c r="A120" s="388" t="s">
        <v>3412</v>
      </c>
      <c r="B120" s="390">
        <v>0</v>
      </c>
      <c r="C120" s="388">
        <v>1</v>
      </c>
      <c r="D120" s="388">
        <v>0.5</v>
      </c>
      <c r="E120" s="388">
        <v>0</v>
      </c>
      <c r="F120" s="388">
        <v>155.5</v>
      </c>
      <c r="G120" s="388">
        <v>759.4</v>
      </c>
      <c r="H120" s="388">
        <v>0</v>
      </c>
      <c r="I120" s="388">
        <v>216.2</v>
      </c>
      <c r="J120" s="388">
        <v>792.4</v>
      </c>
      <c r="K120" s="388">
        <v>0.5</v>
      </c>
      <c r="L120" s="388">
        <v>207</v>
      </c>
      <c r="M120" s="388">
        <v>819.2</v>
      </c>
      <c r="N120">
        <f t="shared" si="1"/>
        <v>1</v>
      </c>
    </row>
    <row r="121" spans="1:14" x14ac:dyDescent="0.3">
      <c r="A121" s="388" t="s">
        <v>3413</v>
      </c>
      <c r="B121" s="390">
        <v>0</v>
      </c>
      <c r="C121" s="388">
        <v>0</v>
      </c>
      <c r="D121" s="388">
        <v>0</v>
      </c>
      <c r="E121" s="388">
        <v>0</v>
      </c>
      <c r="F121" s="388">
        <v>155.5</v>
      </c>
      <c r="G121" s="388">
        <v>759.4</v>
      </c>
      <c r="H121" s="388">
        <v>0</v>
      </c>
      <c r="I121" s="388">
        <v>216.2</v>
      </c>
      <c r="J121" s="388">
        <v>792.4</v>
      </c>
      <c r="K121" s="388">
        <v>0</v>
      </c>
      <c r="L121" s="388">
        <v>207</v>
      </c>
      <c r="M121" s="388">
        <v>819.2</v>
      </c>
      <c r="N121">
        <f t="shared" si="1"/>
        <v>0</v>
      </c>
    </row>
    <row r="122" spans="1:14" x14ac:dyDescent="0.3">
      <c r="A122" s="388" t="s">
        <v>3414</v>
      </c>
      <c r="B122" s="390">
        <v>24.5</v>
      </c>
      <c r="C122" s="388">
        <v>23.5</v>
      </c>
      <c r="D122" s="388">
        <v>14.5</v>
      </c>
      <c r="E122" s="388">
        <v>20.399999999999999</v>
      </c>
      <c r="F122" s="388">
        <v>175.9</v>
      </c>
      <c r="G122" s="388">
        <v>779.8</v>
      </c>
      <c r="H122" s="388">
        <v>22.5</v>
      </c>
      <c r="I122" s="388">
        <v>238.7</v>
      </c>
      <c r="J122" s="388">
        <v>814.9</v>
      </c>
      <c r="K122" s="388">
        <v>22.5</v>
      </c>
      <c r="L122" s="388">
        <v>229.5</v>
      </c>
      <c r="M122" s="388">
        <v>841.7</v>
      </c>
      <c r="N122">
        <f t="shared" si="1"/>
        <v>24.5</v>
      </c>
    </row>
    <row r="123" spans="1:14" s="338" customFormat="1" x14ac:dyDescent="0.3">
      <c r="A123" s="392" t="s">
        <v>3415</v>
      </c>
      <c r="B123" s="393">
        <v>0.5</v>
      </c>
      <c r="C123" s="392">
        <v>1</v>
      </c>
      <c r="D123" s="392">
        <v>0.5</v>
      </c>
      <c r="E123" s="392">
        <v>0.2</v>
      </c>
      <c r="F123" s="392">
        <v>176.1</v>
      </c>
      <c r="G123" s="392">
        <v>780</v>
      </c>
      <c r="H123" s="392">
        <v>0.5</v>
      </c>
      <c r="I123" s="392">
        <v>239.2</v>
      </c>
      <c r="J123" s="392">
        <v>815.4</v>
      </c>
      <c r="K123" s="392">
        <v>0.5</v>
      </c>
      <c r="L123" s="392">
        <v>230</v>
      </c>
      <c r="M123" s="392">
        <v>842.2</v>
      </c>
      <c r="N123">
        <f t="shared" si="1"/>
        <v>1</v>
      </c>
    </row>
    <row r="124" spans="1:14" x14ac:dyDescent="0.3">
      <c r="A124" s="388" t="s">
        <v>3416</v>
      </c>
      <c r="B124" s="390">
        <v>26.5</v>
      </c>
      <c r="C124" s="388">
        <v>31.5</v>
      </c>
      <c r="D124" s="388">
        <v>27</v>
      </c>
      <c r="E124" s="388">
        <v>22</v>
      </c>
      <c r="F124" s="388">
        <v>22</v>
      </c>
      <c r="G124" s="388">
        <v>802</v>
      </c>
      <c r="H124" s="388">
        <v>25.5</v>
      </c>
      <c r="I124" s="388">
        <v>25.5</v>
      </c>
      <c r="J124" s="388">
        <v>840.9</v>
      </c>
      <c r="K124" s="388">
        <v>19</v>
      </c>
      <c r="L124" s="388">
        <v>19</v>
      </c>
      <c r="M124" s="388">
        <v>861.2</v>
      </c>
      <c r="N124">
        <f t="shared" si="1"/>
        <v>31.5</v>
      </c>
    </row>
    <row r="125" spans="1:14" x14ac:dyDescent="0.3">
      <c r="A125" s="388" t="s">
        <v>3417</v>
      </c>
      <c r="B125" s="390">
        <v>0</v>
      </c>
      <c r="C125" s="388">
        <v>0</v>
      </c>
      <c r="D125" s="388">
        <v>0</v>
      </c>
      <c r="E125" s="388">
        <v>0</v>
      </c>
      <c r="F125" s="388">
        <v>22</v>
      </c>
      <c r="G125" s="388">
        <v>802</v>
      </c>
      <c r="H125" s="388">
        <v>0</v>
      </c>
      <c r="I125" s="388">
        <v>25.5</v>
      </c>
      <c r="J125" s="388">
        <v>840.9</v>
      </c>
      <c r="K125" s="388">
        <v>0</v>
      </c>
      <c r="L125" s="388">
        <v>19</v>
      </c>
      <c r="M125" s="388">
        <v>861.2</v>
      </c>
      <c r="N125">
        <f t="shared" si="1"/>
        <v>0</v>
      </c>
    </row>
    <row r="126" spans="1:14" x14ac:dyDescent="0.3">
      <c r="A126" s="388" t="s">
        <v>3418</v>
      </c>
      <c r="B126" s="390">
        <v>20</v>
      </c>
      <c r="C126" s="388">
        <v>27</v>
      </c>
      <c r="D126" s="388">
        <v>35.5</v>
      </c>
      <c r="E126" s="388">
        <v>15</v>
      </c>
      <c r="F126" s="388">
        <v>37</v>
      </c>
      <c r="G126" s="388">
        <v>817</v>
      </c>
      <c r="H126" s="388">
        <v>16</v>
      </c>
      <c r="I126" s="388">
        <v>41.5</v>
      </c>
      <c r="J126" s="388">
        <v>856.9</v>
      </c>
      <c r="K126" s="388">
        <v>19.5</v>
      </c>
      <c r="L126" s="388">
        <v>38.5</v>
      </c>
      <c r="M126" s="388">
        <v>880.7</v>
      </c>
      <c r="N126">
        <f t="shared" si="1"/>
        <v>35.5</v>
      </c>
    </row>
    <row r="127" spans="1:14" x14ac:dyDescent="0.3">
      <c r="A127" s="388" t="s">
        <v>3419</v>
      </c>
      <c r="B127" s="390">
        <v>6</v>
      </c>
      <c r="C127" s="388">
        <v>7</v>
      </c>
      <c r="D127" s="388">
        <v>11.5</v>
      </c>
      <c r="E127" s="388">
        <v>7.4</v>
      </c>
      <c r="F127" s="388">
        <v>44.4</v>
      </c>
      <c r="G127" s="388">
        <v>824.4</v>
      </c>
      <c r="H127" s="388">
        <v>7.5</v>
      </c>
      <c r="I127" s="388">
        <v>49</v>
      </c>
      <c r="J127" s="388">
        <v>864.4</v>
      </c>
      <c r="K127" s="388">
        <v>5.5</v>
      </c>
      <c r="L127" s="388">
        <v>44</v>
      </c>
      <c r="M127" s="388">
        <v>886.2</v>
      </c>
      <c r="N127">
        <f t="shared" si="1"/>
        <v>11.5</v>
      </c>
    </row>
    <row r="128" spans="1:14" x14ac:dyDescent="0.3">
      <c r="A128" s="388" t="s">
        <v>3420</v>
      </c>
      <c r="B128" s="390">
        <v>18</v>
      </c>
      <c r="C128" s="388">
        <v>27</v>
      </c>
      <c r="D128" s="388">
        <v>22.5</v>
      </c>
      <c r="E128" s="388">
        <v>20.399999999999999</v>
      </c>
      <c r="F128" s="388">
        <v>64.8</v>
      </c>
      <c r="G128" s="388">
        <v>844.8</v>
      </c>
      <c r="H128" s="388">
        <v>23.5</v>
      </c>
      <c r="I128" s="388">
        <v>72.5</v>
      </c>
      <c r="J128" s="388">
        <v>887.9</v>
      </c>
      <c r="K128" s="388">
        <v>18.5</v>
      </c>
      <c r="L128" s="388">
        <v>62.5</v>
      </c>
      <c r="M128" s="388">
        <v>904.7</v>
      </c>
      <c r="N128">
        <f t="shared" si="1"/>
        <v>27</v>
      </c>
    </row>
    <row r="129" spans="1:14" x14ac:dyDescent="0.3">
      <c r="A129" s="388" t="s">
        <v>3421</v>
      </c>
      <c r="B129" s="390">
        <v>1.5</v>
      </c>
      <c r="C129" s="388">
        <v>3</v>
      </c>
      <c r="D129" s="388">
        <v>2.5</v>
      </c>
      <c r="E129" s="388">
        <v>1</v>
      </c>
      <c r="F129" s="388">
        <v>65.8</v>
      </c>
      <c r="G129" s="388">
        <v>845.8</v>
      </c>
      <c r="H129" s="388">
        <v>1</v>
      </c>
      <c r="I129" s="388">
        <v>73.5</v>
      </c>
      <c r="J129" s="388">
        <v>888.9</v>
      </c>
      <c r="K129" s="388">
        <v>3</v>
      </c>
      <c r="L129" s="388">
        <v>65.5</v>
      </c>
      <c r="M129" s="388">
        <v>907.7</v>
      </c>
      <c r="N129">
        <f t="shared" si="1"/>
        <v>3</v>
      </c>
    </row>
    <row r="130" spans="1:14" x14ac:dyDescent="0.3">
      <c r="A130" s="388" t="s">
        <v>3422</v>
      </c>
      <c r="B130" s="390">
        <v>24</v>
      </c>
      <c r="C130" s="388">
        <v>82</v>
      </c>
      <c r="D130" s="388">
        <v>23.5</v>
      </c>
      <c r="E130" s="388">
        <v>18</v>
      </c>
      <c r="F130" s="388">
        <v>83.8</v>
      </c>
      <c r="G130" s="388">
        <v>863.8</v>
      </c>
      <c r="H130" s="388">
        <v>24</v>
      </c>
      <c r="I130" s="388">
        <v>97.5</v>
      </c>
      <c r="J130" s="388">
        <v>912.9</v>
      </c>
      <c r="K130" s="388">
        <v>23</v>
      </c>
      <c r="L130" s="388">
        <v>88.5</v>
      </c>
      <c r="M130" s="388">
        <v>930.7</v>
      </c>
      <c r="N130">
        <f t="shared" si="1"/>
        <v>82</v>
      </c>
    </row>
    <row r="131" spans="1:14" x14ac:dyDescent="0.3">
      <c r="A131" s="388" t="s">
        <v>3423</v>
      </c>
      <c r="B131" s="390">
        <v>1</v>
      </c>
      <c r="C131" s="388">
        <v>1.5</v>
      </c>
      <c r="D131" s="388">
        <v>1</v>
      </c>
      <c r="E131" s="388">
        <v>1.2</v>
      </c>
      <c r="F131" s="388">
        <v>85</v>
      </c>
      <c r="G131" s="388">
        <v>865</v>
      </c>
      <c r="H131" s="388">
        <v>1</v>
      </c>
      <c r="I131" s="388">
        <v>98.5</v>
      </c>
      <c r="J131" s="388">
        <v>913.9</v>
      </c>
      <c r="K131" s="388">
        <v>0.5</v>
      </c>
      <c r="L131" s="388">
        <v>89</v>
      </c>
      <c r="M131" s="388">
        <v>931.2</v>
      </c>
      <c r="N131">
        <f t="shared" si="1"/>
        <v>1.5</v>
      </c>
    </row>
    <row r="132" spans="1:14" x14ac:dyDescent="0.3">
      <c r="A132" s="388" t="s">
        <v>3424</v>
      </c>
      <c r="B132" s="390">
        <v>0</v>
      </c>
      <c r="C132" s="388">
        <v>0</v>
      </c>
      <c r="D132" s="388">
        <v>0</v>
      </c>
      <c r="E132" s="388">
        <v>0</v>
      </c>
      <c r="F132" s="388">
        <v>85</v>
      </c>
      <c r="G132" s="388">
        <v>865</v>
      </c>
      <c r="H132" s="388">
        <v>0</v>
      </c>
      <c r="I132" s="388">
        <v>98.5</v>
      </c>
      <c r="J132" s="388">
        <v>913.9</v>
      </c>
      <c r="K132" s="388">
        <v>0</v>
      </c>
      <c r="L132" s="388">
        <v>89</v>
      </c>
      <c r="M132" s="388">
        <v>931.2</v>
      </c>
      <c r="N132">
        <f t="shared" si="1"/>
        <v>0</v>
      </c>
    </row>
    <row r="133" spans="1:14" x14ac:dyDescent="0.3">
      <c r="A133" s="388" t="s">
        <v>3425</v>
      </c>
      <c r="B133" s="390">
        <v>0.5</v>
      </c>
      <c r="C133" s="388">
        <v>0.5</v>
      </c>
      <c r="D133" s="388">
        <v>0.5</v>
      </c>
      <c r="E133" s="388">
        <v>0.4</v>
      </c>
      <c r="F133" s="388">
        <v>85.4</v>
      </c>
      <c r="G133" s="388">
        <v>865.4</v>
      </c>
      <c r="H133" s="388">
        <v>0.5</v>
      </c>
      <c r="I133" s="388">
        <v>99</v>
      </c>
      <c r="J133" s="388">
        <v>914.4</v>
      </c>
      <c r="K133" s="388">
        <v>0.5</v>
      </c>
      <c r="L133" s="388">
        <v>89.5</v>
      </c>
      <c r="M133" s="388">
        <v>931.7</v>
      </c>
      <c r="N133">
        <f t="shared" ref="N133:N196" si="2">MAX(B133:D133)</f>
        <v>0.5</v>
      </c>
    </row>
    <row r="134" spans="1:14" x14ac:dyDescent="0.3">
      <c r="A134" s="388" t="s">
        <v>3426</v>
      </c>
      <c r="B134" s="390">
        <v>0</v>
      </c>
      <c r="C134" s="388">
        <v>0</v>
      </c>
      <c r="D134" s="388">
        <v>0</v>
      </c>
      <c r="E134" s="388">
        <v>0</v>
      </c>
      <c r="F134" s="388">
        <v>85.4</v>
      </c>
      <c r="G134" s="388">
        <v>865.4</v>
      </c>
      <c r="H134" s="388">
        <v>0</v>
      </c>
      <c r="I134" s="388">
        <v>99</v>
      </c>
      <c r="J134" s="388">
        <v>914.4</v>
      </c>
      <c r="K134" s="388">
        <v>0</v>
      </c>
      <c r="L134" s="388">
        <v>89.5</v>
      </c>
      <c r="M134" s="388">
        <v>931.7</v>
      </c>
      <c r="N134">
        <f t="shared" si="2"/>
        <v>0</v>
      </c>
    </row>
    <row r="135" spans="1:14" x14ac:dyDescent="0.3">
      <c r="A135" s="388" t="s">
        <v>3427</v>
      </c>
      <c r="B135" s="390">
        <v>0.5</v>
      </c>
      <c r="C135" s="388">
        <v>1</v>
      </c>
      <c r="D135" s="388">
        <v>0.5</v>
      </c>
      <c r="E135" s="388">
        <v>0.4</v>
      </c>
      <c r="F135" s="388">
        <v>85.8</v>
      </c>
      <c r="G135" s="388">
        <v>865.8</v>
      </c>
      <c r="H135" s="388">
        <v>0.5</v>
      </c>
      <c r="I135" s="388">
        <v>99.5</v>
      </c>
      <c r="J135" s="388">
        <v>914.9</v>
      </c>
      <c r="K135" s="388">
        <v>1</v>
      </c>
      <c r="L135" s="388">
        <v>90.5</v>
      </c>
      <c r="M135" s="388">
        <v>932.7</v>
      </c>
      <c r="N135">
        <f t="shared" si="2"/>
        <v>1</v>
      </c>
    </row>
    <row r="136" spans="1:14" x14ac:dyDescent="0.3">
      <c r="A136" s="388" t="s">
        <v>3428</v>
      </c>
      <c r="B136" s="390">
        <v>2.5</v>
      </c>
      <c r="C136" s="388">
        <v>6</v>
      </c>
      <c r="D136" s="388">
        <v>1</v>
      </c>
      <c r="E136" s="388">
        <v>0.6</v>
      </c>
      <c r="F136" s="388">
        <v>86.4</v>
      </c>
      <c r="G136" s="388">
        <v>866.4</v>
      </c>
      <c r="H136" s="388">
        <v>1</v>
      </c>
      <c r="I136" s="388">
        <v>100.5</v>
      </c>
      <c r="J136" s="388">
        <v>915.9</v>
      </c>
      <c r="K136" s="388">
        <v>2</v>
      </c>
      <c r="L136" s="388">
        <v>92.5</v>
      </c>
      <c r="M136" s="388">
        <v>934.7</v>
      </c>
      <c r="N136">
        <f t="shared" si="2"/>
        <v>6</v>
      </c>
    </row>
    <row r="137" spans="1:14" x14ac:dyDescent="0.3">
      <c r="A137" s="388" t="s">
        <v>3429</v>
      </c>
      <c r="B137" s="390">
        <v>28</v>
      </c>
      <c r="C137" s="388">
        <v>74.5</v>
      </c>
      <c r="D137" s="388">
        <v>17.5</v>
      </c>
      <c r="E137" s="388">
        <v>24.6</v>
      </c>
      <c r="F137" s="388">
        <v>111</v>
      </c>
      <c r="G137" s="388">
        <v>891</v>
      </c>
      <c r="H137" s="388">
        <v>26</v>
      </c>
      <c r="I137" s="388">
        <v>126.5</v>
      </c>
      <c r="J137" s="388">
        <v>941.9</v>
      </c>
      <c r="K137" s="388">
        <v>35.5</v>
      </c>
      <c r="L137" s="388">
        <v>128</v>
      </c>
      <c r="M137" s="388">
        <v>970.2</v>
      </c>
      <c r="N137">
        <f t="shared" si="2"/>
        <v>74.5</v>
      </c>
    </row>
    <row r="138" spans="1:14" x14ac:dyDescent="0.3">
      <c r="A138" s="388" t="s">
        <v>3430</v>
      </c>
      <c r="B138" s="390">
        <v>20</v>
      </c>
      <c r="C138" s="388">
        <v>25.5</v>
      </c>
      <c r="D138" s="388">
        <v>24.5</v>
      </c>
      <c r="E138" s="388">
        <v>13</v>
      </c>
      <c r="F138" s="388">
        <v>124</v>
      </c>
      <c r="G138" s="388">
        <v>904</v>
      </c>
      <c r="H138" s="388">
        <v>16</v>
      </c>
      <c r="I138" s="388">
        <v>142.5</v>
      </c>
      <c r="J138" s="388">
        <v>957.9</v>
      </c>
      <c r="K138" s="388">
        <v>9.5</v>
      </c>
      <c r="L138" s="388">
        <v>137.5</v>
      </c>
      <c r="M138" s="388">
        <v>979.7</v>
      </c>
      <c r="N138">
        <f t="shared" si="2"/>
        <v>25.5</v>
      </c>
    </row>
    <row r="139" spans="1:14" x14ac:dyDescent="0.3">
      <c r="A139" s="388" t="s">
        <v>3431</v>
      </c>
      <c r="B139" s="390">
        <v>38</v>
      </c>
      <c r="C139" s="388">
        <v>75</v>
      </c>
      <c r="D139" s="388">
        <v>48</v>
      </c>
      <c r="E139" s="388">
        <v>33.200000000000003</v>
      </c>
      <c r="F139" s="388">
        <v>157.19999999999999</v>
      </c>
      <c r="G139" s="388">
        <v>937.2</v>
      </c>
      <c r="H139" s="388">
        <v>39.5</v>
      </c>
      <c r="I139" s="388">
        <v>182</v>
      </c>
      <c r="J139" s="388">
        <v>997.4</v>
      </c>
      <c r="K139" s="388">
        <v>34</v>
      </c>
      <c r="L139" s="388">
        <v>171.5</v>
      </c>
      <c r="M139" s="388">
        <v>1013.7</v>
      </c>
      <c r="N139">
        <f t="shared" si="2"/>
        <v>75</v>
      </c>
    </row>
    <row r="140" spans="1:14" x14ac:dyDescent="0.3">
      <c r="A140" s="388" t="s">
        <v>3432</v>
      </c>
      <c r="B140" s="390">
        <v>8</v>
      </c>
      <c r="C140" s="388">
        <v>14</v>
      </c>
      <c r="D140" s="388">
        <v>6</v>
      </c>
      <c r="E140" s="388">
        <v>7.2</v>
      </c>
      <c r="F140" s="388">
        <v>164.4</v>
      </c>
      <c r="G140" s="388">
        <v>944.4</v>
      </c>
      <c r="H140" s="388">
        <v>9.1999999999999993</v>
      </c>
      <c r="I140" s="388">
        <v>191.2</v>
      </c>
      <c r="J140" s="388">
        <v>1006.6</v>
      </c>
      <c r="K140" s="388">
        <v>9</v>
      </c>
      <c r="L140" s="388">
        <v>180.5</v>
      </c>
      <c r="M140" s="388">
        <v>1022.7</v>
      </c>
      <c r="N140">
        <f t="shared" si="2"/>
        <v>14</v>
      </c>
    </row>
    <row r="141" spans="1:14" x14ac:dyDescent="0.3">
      <c r="A141" s="388" t="s">
        <v>3433</v>
      </c>
      <c r="B141" s="390">
        <v>2.5</v>
      </c>
      <c r="C141" s="388">
        <v>5</v>
      </c>
      <c r="D141" s="388">
        <v>2</v>
      </c>
      <c r="E141" s="388">
        <v>1.2</v>
      </c>
      <c r="F141" s="388">
        <v>165.6</v>
      </c>
      <c r="G141" s="388">
        <v>945.6</v>
      </c>
      <c r="H141" s="388">
        <v>1</v>
      </c>
      <c r="I141" s="388">
        <v>192.2</v>
      </c>
      <c r="J141" s="388">
        <v>1007.6</v>
      </c>
      <c r="K141" s="388">
        <v>1</v>
      </c>
      <c r="L141" s="388">
        <v>181.5</v>
      </c>
      <c r="M141" s="388">
        <v>1023.7</v>
      </c>
      <c r="N141">
        <f t="shared" si="2"/>
        <v>5</v>
      </c>
    </row>
    <row r="142" spans="1:14" x14ac:dyDescent="0.3">
      <c r="A142" s="388" t="s">
        <v>3434</v>
      </c>
      <c r="B142" s="390">
        <v>0</v>
      </c>
      <c r="C142" s="388">
        <v>0</v>
      </c>
      <c r="D142" s="388">
        <v>0</v>
      </c>
      <c r="E142" s="388">
        <v>0</v>
      </c>
      <c r="F142" s="388">
        <v>165.6</v>
      </c>
      <c r="G142" s="388">
        <v>945.6</v>
      </c>
      <c r="H142" s="388">
        <v>0</v>
      </c>
      <c r="I142" s="388">
        <v>192.2</v>
      </c>
      <c r="J142" s="388">
        <v>1007.6</v>
      </c>
      <c r="K142" s="388">
        <v>0</v>
      </c>
      <c r="L142" s="388">
        <v>181.5</v>
      </c>
      <c r="M142" s="388">
        <v>1023.7</v>
      </c>
      <c r="N142">
        <f t="shared" si="2"/>
        <v>0</v>
      </c>
    </row>
    <row r="143" spans="1:14" x14ac:dyDescent="0.3">
      <c r="A143" s="388" t="s">
        <v>3435</v>
      </c>
      <c r="B143" s="390">
        <v>0</v>
      </c>
      <c r="C143" s="388">
        <v>0</v>
      </c>
      <c r="D143" s="388">
        <v>0</v>
      </c>
      <c r="E143" s="388">
        <v>0</v>
      </c>
      <c r="F143" s="388">
        <v>165.6</v>
      </c>
      <c r="G143" s="388">
        <v>945.6</v>
      </c>
      <c r="H143" s="388">
        <v>0</v>
      </c>
      <c r="I143" s="388">
        <v>192.2</v>
      </c>
      <c r="J143" s="388">
        <v>1007.6</v>
      </c>
      <c r="K143" s="388">
        <v>0</v>
      </c>
      <c r="L143" s="388">
        <v>181.5</v>
      </c>
      <c r="M143" s="388">
        <v>1023.7</v>
      </c>
      <c r="N143">
        <f t="shared" si="2"/>
        <v>0</v>
      </c>
    </row>
    <row r="144" spans="1:14" x14ac:dyDescent="0.3">
      <c r="A144" s="388" t="s">
        <v>3436</v>
      </c>
      <c r="B144" s="390">
        <v>0</v>
      </c>
      <c r="C144" s="388">
        <v>0</v>
      </c>
      <c r="D144" s="388">
        <v>0</v>
      </c>
      <c r="E144" s="388">
        <v>0</v>
      </c>
      <c r="F144" s="388">
        <v>165.6</v>
      </c>
      <c r="G144" s="388">
        <v>945.6</v>
      </c>
      <c r="H144" s="388">
        <v>0</v>
      </c>
      <c r="I144" s="388">
        <v>192.2</v>
      </c>
      <c r="J144" s="388">
        <v>1007.6</v>
      </c>
      <c r="K144" s="388">
        <v>0</v>
      </c>
      <c r="L144" s="388">
        <v>181.5</v>
      </c>
      <c r="M144" s="388">
        <v>1023.7</v>
      </c>
      <c r="N144">
        <f t="shared" si="2"/>
        <v>0</v>
      </c>
    </row>
    <row r="145" spans="1:14" x14ac:dyDescent="0.3">
      <c r="A145" s="388" t="s">
        <v>3437</v>
      </c>
      <c r="B145" s="390">
        <v>10</v>
      </c>
      <c r="C145" s="388">
        <v>19</v>
      </c>
      <c r="D145" s="388">
        <v>11</v>
      </c>
      <c r="E145" s="388">
        <v>10.8</v>
      </c>
      <c r="F145" s="388">
        <v>176.4</v>
      </c>
      <c r="G145" s="388">
        <v>956.4</v>
      </c>
      <c r="H145" s="388">
        <v>12</v>
      </c>
      <c r="I145" s="388">
        <v>204.2</v>
      </c>
      <c r="J145" s="388">
        <v>1019.6</v>
      </c>
      <c r="K145" s="388">
        <v>13</v>
      </c>
      <c r="L145" s="388">
        <v>194.5</v>
      </c>
      <c r="M145" s="388">
        <v>1036.7</v>
      </c>
      <c r="N145">
        <f t="shared" si="2"/>
        <v>19</v>
      </c>
    </row>
    <row r="146" spans="1:14" x14ac:dyDescent="0.3">
      <c r="A146" s="388" t="s">
        <v>3438</v>
      </c>
      <c r="B146" s="390">
        <v>21.5</v>
      </c>
      <c r="C146" s="388">
        <v>36</v>
      </c>
      <c r="D146" s="388">
        <v>21.5</v>
      </c>
      <c r="E146" s="388">
        <v>13.5</v>
      </c>
      <c r="F146" s="388">
        <v>189.9</v>
      </c>
      <c r="G146" s="388">
        <v>969.9</v>
      </c>
      <c r="H146" s="388">
        <v>18</v>
      </c>
      <c r="I146" s="388">
        <v>222.2</v>
      </c>
      <c r="J146" s="388">
        <v>1037.5999999999999</v>
      </c>
      <c r="K146" s="388">
        <v>18.5</v>
      </c>
      <c r="L146" s="388">
        <v>213</v>
      </c>
      <c r="M146" s="388">
        <v>1055.2</v>
      </c>
      <c r="N146">
        <f t="shared" si="2"/>
        <v>36</v>
      </c>
    </row>
    <row r="147" spans="1:14" x14ac:dyDescent="0.3">
      <c r="A147" s="388" t="s">
        <v>3439</v>
      </c>
      <c r="B147" s="390">
        <v>8.5</v>
      </c>
      <c r="C147" s="388">
        <v>8.5</v>
      </c>
      <c r="D147" s="388">
        <v>7.5</v>
      </c>
      <c r="E147" s="388">
        <v>10.8</v>
      </c>
      <c r="F147" s="388">
        <v>200.7</v>
      </c>
      <c r="G147" s="388">
        <v>980.7</v>
      </c>
      <c r="H147" s="388">
        <v>12</v>
      </c>
      <c r="I147" s="388">
        <v>234.2</v>
      </c>
      <c r="J147" s="388">
        <v>1049.5999999999999</v>
      </c>
      <c r="K147" s="388">
        <v>12.5</v>
      </c>
      <c r="L147" s="388">
        <v>225.5</v>
      </c>
      <c r="M147" s="388">
        <v>1067.7</v>
      </c>
      <c r="N147">
        <f t="shared" si="2"/>
        <v>8.5</v>
      </c>
    </row>
    <row r="148" spans="1:14" x14ac:dyDescent="0.3">
      <c r="A148" s="388" t="s">
        <v>3440</v>
      </c>
      <c r="B148" s="390">
        <v>0.5</v>
      </c>
      <c r="C148" s="388">
        <v>0</v>
      </c>
      <c r="D148" s="388">
        <v>0</v>
      </c>
      <c r="E148" s="388">
        <v>0.2</v>
      </c>
      <c r="F148" s="388">
        <v>200.9</v>
      </c>
      <c r="G148" s="388">
        <v>980.9</v>
      </c>
      <c r="H148" s="388">
        <v>0.5</v>
      </c>
      <c r="I148" s="388">
        <v>234.7</v>
      </c>
      <c r="J148" s="388">
        <v>1050.0999999999999</v>
      </c>
      <c r="K148" s="388">
        <v>0</v>
      </c>
      <c r="L148" s="388">
        <v>225.5</v>
      </c>
      <c r="M148" s="388">
        <v>1067.7</v>
      </c>
      <c r="N148">
        <f t="shared" si="2"/>
        <v>0.5</v>
      </c>
    </row>
    <row r="149" spans="1:14" x14ac:dyDescent="0.3">
      <c r="A149" s="388" t="s">
        <v>3441</v>
      </c>
      <c r="B149" s="390">
        <v>0</v>
      </c>
      <c r="C149" s="388">
        <v>0</v>
      </c>
      <c r="D149" s="388">
        <v>0</v>
      </c>
      <c r="E149" s="388">
        <v>0</v>
      </c>
      <c r="F149" s="388">
        <v>200.9</v>
      </c>
      <c r="G149" s="388">
        <v>980.9</v>
      </c>
      <c r="H149" s="388">
        <v>0</v>
      </c>
      <c r="I149" s="388">
        <v>234.7</v>
      </c>
      <c r="J149" s="388">
        <v>1050.0999999999999</v>
      </c>
      <c r="K149" s="388">
        <v>0</v>
      </c>
      <c r="L149" s="388">
        <v>225.5</v>
      </c>
      <c r="M149" s="388">
        <v>1067.7</v>
      </c>
      <c r="N149">
        <f t="shared" si="2"/>
        <v>0</v>
      </c>
    </row>
    <row r="150" spans="1:14" x14ac:dyDescent="0.3">
      <c r="A150" s="388" t="s">
        <v>3442</v>
      </c>
      <c r="B150" s="390">
        <v>0</v>
      </c>
      <c r="C150" s="388">
        <v>0</v>
      </c>
      <c r="D150" s="388">
        <v>0</v>
      </c>
      <c r="E150" s="388">
        <v>0</v>
      </c>
      <c r="F150" s="388">
        <v>200.9</v>
      </c>
      <c r="G150" s="388">
        <v>980.9</v>
      </c>
      <c r="H150" s="388">
        <v>0</v>
      </c>
      <c r="I150" s="388">
        <v>234.7</v>
      </c>
      <c r="J150" s="388">
        <v>1050.0999999999999</v>
      </c>
      <c r="K150" s="388">
        <v>0</v>
      </c>
      <c r="L150" s="388">
        <v>225.5</v>
      </c>
      <c r="M150" s="388">
        <v>1067.7</v>
      </c>
      <c r="N150">
        <f t="shared" si="2"/>
        <v>0</v>
      </c>
    </row>
    <row r="151" spans="1:14" x14ac:dyDescent="0.3">
      <c r="A151" s="388" t="s">
        <v>3443</v>
      </c>
      <c r="B151" s="390">
        <v>0</v>
      </c>
      <c r="C151" s="388">
        <v>0</v>
      </c>
      <c r="D151" s="388">
        <v>0</v>
      </c>
      <c r="E151" s="388">
        <v>0</v>
      </c>
      <c r="F151" s="388">
        <v>200.9</v>
      </c>
      <c r="G151" s="388">
        <v>980.9</v>
      </c>
      <c r="H151" s="388">
        <v>0</v>
      </c>
      <c r="I151" s="388">
        <v>234.7</v>
      </c>
      <c r="J151" s="388">
        <v>1050.0999999999999</v>
      </c>
      <c r="K151" s="388">
        <v>0</v>
      </c>
      <c r="L151" s="388">
        <v>225.5</v>
      </c>
      <c r="M151" s="388">
        <v>1067.7</v>
      </c>
      <c r="N151">
        <f t="shared" si="2"/>
        <v>0</v>
      </c>
    </row>
    <row r="152" spans="1:14" x14ac:dyDescent="0.3">
      <c r="A152" s="388" t="s">
        <v>3444</v>
      </c>
      <c r="B152" s="390">
        <v>0</v>
      </c>
      <c r="C152" s="388">
        <v>0</v>
      </c>
      <c r="D152" s="388">
        <v>0</v>
      </c>
      <c r="E152" s="388">
        <v>0</v>
      </c>
      <c r="F152" s="388">
        <v>200.9</v>
      </c>
      <c r="G152" s="388">
        <v>980.9</v>
      </c>
      <c r="H152" s="388">
        <v>0</v>
      </c>
      <c r="I152" s="388">
        <v>234.7</v>
      </c>
      <c r="J152" s="388">
        <v>1050.0999999999999</v>
      </c>
      <c r="K152" s="388">
        <v>0</v>
      </c>
      <c r="L152" s="388">
        <v>225.5</v>
      </c>
      <c r="M152" s="388">
        <v>1067.7</v>
      </c>
      <c r="N152">
        <f t="shared" si="2"/>
        <v>0</v>
      </c>
    </row>
    <row r="153" spans="1:14" x14ac:dyDescent="0.3">
      <c r="A153" s="388" t="s">
        <v>3445</v>
      </c>
      <c r="B153" s="390">
        <v>1</v>
      </c>
      <c r="C153" s="388">
        <v>1.5</v>
      </c>
      <c r="D153" s="388">
        <v>0.5</v>
      </c>
      <c r="E153" s="388">
        <v>0.6</v>
      </c>
      <c r="F153" s="388">
        <v>201.5</v>
      </c>
      <c r="G153" s="388">
        <v>981.5</v>
      </c>
      <c r="H153" s="388">
        <v>1</v>
      </c>
      <c r="I153" s="388">
        <v>235.7</v>
      </c>
      <c r="J153" s="388">
        <v>1051.0999999999999</v>
      </c>
      <c r="K153" s="388">
        <v>1.5</v>
      </c>
      <c r="L153" s="388">
        <v>227</v>
      </c>
      <c r="M153" s="388">
        <v>1069.2</v>
      </c>
      <c r="N153">
        <f t="shared" si="2"/>
        <v>1.5</v>
      </c>
    </row>
    <row r="154" spans="1:14" s="338" customFormat="1" x14ac:dyDescent="0.3">
      <c r="A154" s="392" t="s">
        <v>3446</v>
      </c>
      <c r="B154" s="393">
        <v>0</v>
      </c>
      <c r="C154" s="392">
        <v>0</v>
      </c>
      <c r="D154" s="392">
        <v>0</v>
      </c>
      <c r="E154" s="392">
        <v>0</v>
      </c>
      <c r="F154" s="392">
        <v>201.5</v>
      </c>
      <c r="G154" s="392">
        <v>981.5</v>
      </c>
      <c r="H154" s="392">
        <v>0</v>
      </c>
      <c r="I154" s="392">
        <v>235.7</v>
      </c>
      <c r="J154" s="392">
        <v>1051.0999999999999</v>
      </c>
      <c r="K154" s="392">
        <v>0</v>
      </c>
      <c r="L154" s="392">
        <v>227</v>
      </c>
      <c r="M154" s="392">
        <v>1069.2</v>
      </c>
      <c r="N154">
        <f t="shared" si="2"/>
        <v>0</v>
      </c>
    </row>
    <row r="155" spans="1:14" x14ac:dyDescent="0.3">
      <c r="A155" s="388" t="s">
        <v>3447</v>
      </c>
      <c r="B155" s="390">
        <v>0</v>
      </c>
      <c r="C155" s="388">
        <v>0</v>
      </c>
      <c r="D155" s="388">
        <v>0</v>
      </c>
      <c r="E155" s="388">
        <v>0</v>
      </c>
      <c r="F155" s="388">
        <v>0</v>
      </c>
      <c r="G155" s="388">
        <v>981.5</v>
      </c>
      <c r="H155" s="388">
        <v>0</v>
      </c>
      <c r="I155" s="388">
        <v>0</v>
      </c>
      <c r="J155" s="388">
        <v>1051.0999999999999</v>
      </c>
      <c r="K155" s="388">
        <v>0</v>
      </c>
      <c r="L155" s="388">
        <v>0</v>
      </c>
      <c r="M155" s="388">
        <v>1069.2</v>
      </c>
      <c r="N155">
        <f t="shared" si="2"/>
        <v>0</v>
      </c>
    </row>
    <row r="156" spans="1:14" x14ac:dyDescent="0.3">
      <c r="A156" s="388" t="s">
        <v>3448</v>
      </c>
      <c r="B156" s="390">
        <v>0</v>
      </c>
      <c r="C156" s="388">
        <v>0</v>
      </c>
      <c r="D156" s="388">
        <v>0</v>
      </c>
      <c r="E156" s="388">
        <v>0</v>
      </c>
      <c r="F156" s="388">
        <v>0</v>
      </c>
      <c r="G156" s="388">
        <v>981.5</v>
      </c>
      <c r="H156" s="388">
        <v>0</v>
      </c>
      <c r="I156" s="388">
        <v>0</v>
      </c>
      <c r="J156" s="388">
        <v>1051.0999999999999</v>
      </c>
      <c r="K156" s="388">
        <v>0</v>
      </c>
      <c r="L156" s="388">
        <v>0</v>
      </c>
      <c r="M156" s="388">
        <v>1069.2</v>
      </c>
      <c r="N156">
        <f t="shared" si="2"/>
        <v>0</v>
      </c>
    </row>
    <row r="157" spans="1:14" x14ac:dyDescent="0.3">
      <c r="A157" s="388" t="s">
        <v>3449</v>
      </c>
      <c r="B157" s="390">
        <v>0</v>
      </c>
      <c r="C157" s="388">
        <v>0</v>
      </c>
      <c r="D157" s="388">
        <v>0</v>
      </c>
      <c r="E157" s="388">
        <v>0</v>
      </c>
      <c r="F157" s="388">
        <v>0</v>
      </c>
      <c r="G157" s="388">
        <v>981.5</v>
      </c>
      <c r="H157" s="388">
        <v>0</v>
      </c>
      <c r="I157" s="388">
        <v>0</v>
      </c>
      <c r="J157" s="388">
        <v>1051.0999999999999</v>
      </c>
      <c r="K157" s="388">
        <v>0</v>
      </c>
      <c r="L157" s="388">
        <v>0</v>
      </c>
      <c r="M157" s="388">
        <v>1069.2</v>
      </c>
      <c r="N157">
        <f t="shared" si="2"/>
        <v>0</v>
      </c>
    </row>
    <row r="158" spans="1:14" x14ac:dyDescent="0.3">
      <c r="A158" s="388" t="s">
        <v>3450</v>
      </c>
      <c r="B158" s="390">
        <v>0.5</v>
      </c>
      <c r="C158" s="388">
        <v>1.5</v>
      </c>
      <c r="D158" s="388">
        <v>0.5</v>
      </c>
      <c r="E158" s="388">
        <v>0.6</v>
      </c>
      <c r="F158" s="388">
        <v>0.6</v>
      </c>
      <c r="G158" s="388">
        <v>982.1</v>
      </c>
      <c r="H158" s="388">
        <v>0.5</v>
      </c>
      <c r="I158" s="388">
        <v>0.5</v>
      </c>
      <c r="J158" s="388">
        <v>1051.5999999999999</v>
      </c>
      <c r="K158" s="388">
        <v>1</v>
      </c>
      <c r="L158" s="388">
        <v>1</v>
      </c>
      <c r="M158" s="388">
        <v>1070.2</v>
      </c>
      <c r="N158">
        <f t="shared" si="2"/>
        <v>1.5</v>
      </c>
    </row>
    <row r="159" spans="1:14" x14ac:dyDescent="0.3">
      <c r="A159" s="388" t="s">
        <v>3451</v>
      </c>
      <c r="B159" s="390">
        <v>1</v>
      </c>
      <c r="C159" s="388">
        <v>1.5</v>
      </c>
      <c r="D159" s="388">
        <v>2.5</v>
      </c>
      <c r="E159" s="388">
        <v>0.4</v>
      </c>
      <c r="F159" s="388">
        <v>1</v>
      </c>
      <c r="G159" s="388">
        <v>982.5</v>
      </c>
      <c r="H159" s="388">
        <v>1</v>
      </c>
      <c r="I159" s="388">
        <v>1.5</v>
      </c>
      <c r="J159" s="388">
        <v>1052.5999999999999</v>
      </c>
      <c r="K159" s="388">
        <v>1</v>
      </c>
      <c r="L159" s="388">
        <v>2</v>
      </c>
      <c r="M159" s="388">
        <v>1071.2</v>
      </c>
      <c r="N159">
        <f t="shared" si="2"/>
        <v>2.5</v>
      </c>
    </row>
    <row r="160" spans="1:14" x14ac:dyDescent="0.3">
      <c r="A160" s="388" t="s">
        <v>3452</v>
      </c>
      <c r="B160" s="390">
        <v>10.5</v>
      </c>
      <c r="C160" s="388">
        <v>35</v>
      </c>
      <c r="D160" s="388">
        <v>5.5</v>
      </c>
      <c r="E160" s="388">
        <v>10.4</v>
      </c>
      <c r="F160" s="388">
        <v>11.4</v>
      </c>
      <c r="G160" s="388">
        <v>992.9</v>
      </c>
      <c r="H160" s="388">
        <v>11</v>
      </c>
      <c r="I160" s="388">
        <v>12.5</v>
      </c>
      <c r="J160" s="388">
        <v>1063.5999999999999</v>
      </c>
      <c r="K160" s="388">
        <v>10</v>
      </c>
      <c r="L160" s="388">
        <v>12</v>
      </c>
      <c r="M160" s="388">
        <v>1081.2</v>
      </c>
      <c r="N160">
        <f t="shared" si="2"/>
        <v>35</v>
      </c>
    </row>
    <row r="161" spans="1:14" x14ac:dyDescent="0.3">
      <c r="A161" s="388" t="s">
        <v>3453</v>
      </c>
      <c r="B161" s="390">
        <v>40.5</v>
      </c>
      <c r="C161" s="388">
        <v>75.5</v>
      </c>
      <c r="D161" s="388">
        <v>36</v>
      </c>
      <c r="E161" s="388">
        <v>34.799999999999997</v>
      </c>
      <c r="F161" s="388">
        <v>46.2</v>
      </c>
      <c r="G161" s="388">
        <v>1027.7</v>
      </c>
      <c r="H161" s="388">
        <v>40.5</v>
      </c>
      <c r="I161" s="388">
        <v>53</v>
      </c>
      <c r="J161" s="388">
        <v>1104.0999999999999</v>
      </c>
      <c r="K161" s="388">
        <v>33</v>
      </c>
      <c r="L161" s="388">
        <v>45</v>
      </c>
      <c r="M161" s="388">
        <v>1114.2</v>
      </c>
      <c r="N161">
        <f t="shared" si="2"/>
        <v>75.5</v>
      </c>
    </row>
    <row r="162" spans="1:14" x14ac:dyDescent="0.3">
      <c r="A162" s="388" t="s">
        <v>3454</v>
      </c>
      <c r="B162" s="390">
        <v>19.5</v>
      </c>
      <c r="C162" s="388">
        <v>32</v>
      </c>
      <c r="D162" s="388">
        <v>23</v>
      </c>
      <c r="E162" s="388">
        <v>13.8</v>
      </c>
      <c r="F162" s="388">
        <v>60</v>
      </c>
      <c r="G162" s="388">
        <v>1041.5</v>
      </c>
      <c r="H162" s="388">
        <v>19</v>
      </c>
      <c r="I162" s="388">
        <v>72</v>
      </c>
      <c r="J162" s="388">
        <v>1123.0999999999999</v>
      </c>
      <c r="K162" s="388">
        <v>19.5</v>
      </c>
      <c r="L162" s="388">
        <v>64.5</v>
      </c>
      <c r="M162" s="388">
        <v>1133.7</v>
      </c>
      <c r="N162">
        <f t="shared" si="2"/>
        <v>32</v>
      </c>
    </row>
    <row r="163" spans="1:14" x14ac:dyDescent="0.3">
      <c r="A163" s="388" t="s">
        <v>3455</v>
      </c>
      <c r="B163" s="390">
        <v>3</v>
      </c>
      <c r="C163" s="388">
        <v>1</v>
      </c>
      <c r="D163" s="388">
        <v>0.5</v>
      </c>
      <c r="E163" s="388">
        <v>2.6</v>
      </c>
      <c r="F163" s="388">
        <v>62.6</v>
      </c>
      <c r="G163" s="388">
        <v>1044.0999999999999</v>
      </c>
      <c r="H163" s="388">
        <v>2.5</v>
      </c>
      <c r="I163" s="388">
        <v>74.5</v>
      </c>
      <c r="J163" s="388">
        <v>1125.5999999999999</v>
      </c>
      <c r="K163" s="388">
        <v>4</v>
      </c>
      <c r="L163" s="388">
        <v>68.5</v>
      </c>
      <c r="M163" s="388">
        <v>1137.7</v>
      </c>
      <c r="N163">
        <f t="shared" si="2"/>
        <v>3</v>
      </c>
    </row>
    <row r="164" spans="1:14" x14ac:dyDescent="0.3">
      <c r="A164" s="388" t="s">
        <v>3456</v>
      </c>
      <c r="B164" s="390">
        <v>28.5</v>
      </c>
      <c r="C164" s="388">
        <v>88.5</v>
      </c>
      <c r="D164" s="388">
        <v>17</v>
      </c>
      <c r="E164" s="388">
        <v>31.8</v>
      </c>
      <c r="F164" s="388">
        <v>94.4</v>
      </c>
      <c r="G164" s="388">
        <v>1075.9000000000001</v>
      </c>
      <c r="H164" s="388">
        <v>36</v>
      </c>
      <c r="I164" s="388">
        <v>110.5</v>
      </c>
      <c r="J164" s="388">
        <v>1161.5999999999999</v>
      </c>
      <c r="K164" s="388">
        <v>22</v>
      </c>
      <c r="L164" s="388">
        <v>90.5</v>
      </c>
      <c r="M164" s="388">
        <v>1159.7</v>
      </c>
      <c r="N164">
        <f t="shared" si="2"/>
        <v>88.5</v>
      </c>
    </row>
    <row r="165" spans="1:14" x14ac:dyDescent="0.3">
      <c r="A165" s="388" t="s">
        <v>3457</v>
      </c>
      <c r="B165" s="390">
        <v>6.5</v>
      </c>
      <c r="C165" s="388">
        <v>5</v>
      </c>
      <c r="D165" s="388">
        <v>2.5</v>
      </c>
      <c r="E165" s="388">
        <v>4.5999999999999996</v>
      </c>
      <c r="F165" s="388">
        <v>99</v>
      </c>
      <c r="G165" s="388">
        <v>1080.5</v>
      </c>
      <c r="H165" s="388">
        <v>5.5</v>
      </c>
      <c r="I165" s="388">
        <v>116</v>
      </c>
      <c r="J165" s="388">
        <v>1167.0999999999999</v>
      </c>
      <c r="K165" s="388">
        <v>5</v>
      </c>
      <c r="L165" s="388">
        <v>95.5</v>
      </c>
      <c r="M165" s="388">
        <v>1164.7</v>
      </c>
      <c r="N165">
        <f t="shared" si="2"/>
        <v>6.5</v>
      </c>
    </row>
    <row r="166" spans="1:14" x14ac:dyDescent="0.3">
      <c r="A166" s="388" t="s">
        <v>3458</v>
      </c>
      <c r="B166" s="390">
        <v>5.5</v>
      </c>
      <c r="C166" s="388">
        <v>11</v>
      </c>
      <c r="D166" s="388">
        <v>10.5</v>
      </c>
      <c r="E166" s="388">
        <v>5.8</v>
      </c>
      <c r="F166" s="388">
        <v>104.8</v>
      </c>
      <c r="G166" s="388">
        <v>1086.3</v>
      </c>
      <c r="H166" s="388">
        <v>6</v>
      </c>
      <c r="I166" s="388">
        <v>122</v>
      </c>
      <c r="J166" s="388">
        <v>1173.0999999999999</v>
      </c>
      <c r="K166" s="388">
        <v>6</v>
      </c>
      <c r="L166" s="388">
        <v>101.5</v>
      </c>
      <c r="M166" s="388">
        <v>1170.7</v>
      </c>
      <c r="N166">
        <f t="shared" si="2"/>
        <v>11</v>
      </c>
    </row>
    <row r="167" spans="1:14" x14ac:dyDescent="0.3">
      <c r="A167" s="388" t="s">
        <v>3459</v>
      </c>
      <c r="B167" s="390">
        <v>11</v>
      </c>
      <c r="C167" s="388">
        <v>32.5</v>
      </c>
      <c r="D167" s="388">
        <v>9.5</v>
      </c>
      <c r="E167" s="388">
        <v>13.4</v>
      </c>
      <c r="F167" s="388">
        <v>118.2</v>
      </c>
      <c r="G167" s="388">
        <v>1099.7</v>
      </c>
      <c r="H167" s="388">
        <v>16</v>
      </c>
      <c r="I167" s="388">
        <v>138</v>
      </c>
      <c r="J167" s="388">
        <v>1189.0999999999999</v>
      </c>
      <c r="K167" s="388">
        <v>14</v>
      </c>
      <c r="L167" s="388">
        <v>115.5</v>
      </c>
      <c r="M167" s="388">
        <v>1184.7</v>
      </c>
      <c r="N167">
        <f t="shared" si="2"/>
        <v>32.5</v>
      </c>
    </row>
    <row r="168" spans="1:14" x14ac:dyDescent="0.3">
      <c r="A168" s="388" t="s">
        <v>3460</v>
      </c>
      <c r="B168" s="390">
        <v>6.5</v>
      </c>
      <c r="C168" s="388">
        <v>15</v>
      </c>
      <c r="D168" s="388">
        <v>7</v>
      </c>
      <c r="E168" s="388">
        <v>5</v>
      </c>
      <c r="F168" s="388">
        <v>123.2</v>
      </c>
      <c r="G168" s="388">
        <v>1104.7</v>
      </c>
      <c r="H168" s="388">
        <v>5.5</v>
      </c>
      <c r="I168" s="388">
        <v>143.5</v>
      </c>
      <c r="J168" s="388">
        <v>1194.5999999999999</v>
      </c>
      <c r="K168" s="388">
        <v>7</v>
      </c>
      <c r="L168" s="388">
        <v>122.5</v>
      </c>
      <c r="M168" s="388">
        <v>1191.7</v>
      </c>
      <c r="N168">
        <f t="shared" si="2"/>
        <v>15</v>
      </c>
    </row>
    <row r="169" spans="1:14" x14ac:dyDescent="0.3">
      <c r="A169" s="388" t="s">
        <v>3461</v>
      </c>
      <c r="B169" s="390">
        <v>1</v>
      </c>
      <c r="C169" s="388">
        <v>2</v>
      </c>
      <c r="D169" s="388">
        <v>1.5</v>
      </c>
      <c r="E169" s="388">
        <v>0.6</v>
      </c>
      <c r="F169" s="388">
        <v>123.8</v>
      </c>
      <c r="G169" s="388">
        <v>1105.3</v>
      </c>
      <c r="H169" s="388">
        <v>0.5</v>
      </c>
      <c r="I169" s="388">
        <v>144</v>
      </c>
      <c r="J169" s="388">
        <v>1195.0999999999999</v>
      </c>
      <c r="K169" s="388">
        <v>1.5</v>
      </c>
      <c r="L169" s="388">
        <v>124</v>
      </c>
      <c r="M169" s="388">
        <v>1193.2</v>
      </c>
      <c r="N169">
        <f t="shared" si="2"/>
        <v>2</v>
      </c>
    </row>
    <row r="170" spans="1:14" x14ac:dyDescent="0.3">
      <c r="A170" s="388" t="s">
        <v>3462</v>
      </c>
      <c r="B170" s="390">
        <v>8</v>
      </c>
      <c r="C170" s="388">
        <v>10</v>
      </c>
      <c r="D170" s="388">
        <v>10</v>
      </c>
      <c r="E170" s="388">
        <v>7.6</v>
      </c>
      <c r="F170" s="388">
        <v>131.4</v>
      </c>
      <c r="G170" s="388">
        <v>1112.9000000000001</v>
      </c>
      <c r="H170" s="388">
        <v>8</v>
      </c>
      <c r="I170" s="388">
        <v>152</v>
      </c>
      <c r="J170" s="388">
        <v>1203.0999999999999</v>
      </c>
      <c r="K170" s="388">
        <v>5</v>
      </c>
      <c r="L170" s="388">
        <v>129</v>
      </c>
      <c r="M170" s="388">
        <v>1198.2</v>
      </c>
      <c r="N170">
        <f t="shared" si="2"/>
        <v>10</v>
      </c>
    </row>
    <row r="171" spans="1:14" x14ac:dyDescent="0.3">
      <c r="A171" s="388" t="s">
        <v>3463</v>
      </c>
      <c r="B171" s="390">
        <v>2</v>
      </c>
      <c r="C171" s="388">
        <v>1.5</v>
      </c>
      <c r="D171" s="388">
        <v>1</v>
      </c>
      <c r="E171" s="388">
        <v>1.6</v>
      </c>
      <c r="F171" s="388">
        <v>133</v>
      </c>
      <c r="G171" s="388">
        <v>1114.5</v>
      </c>
      <c r="H171" s="388">
        <v>2</v>
      </c>
      <c r="I171" s="388">
        <v>154</v>
      </c>
      <c r="J171" s="388">
        <v>1205.0999999999999</v>
      </c>
      <c r="K171" s="388">
        <v>2</v>
      </c>
      <c r="L171" s="388">
        <v>131</v>
      </c>
      <c r="M171" s="388">
        <v>1200.2</v>
      </c>
      <c r="N171">
        <f t="shared" si="2"/>
        <v>2</v>
      </c>
    </row>
    <row r="172" spans="1:14" x14ac:dyDescent="0.3">
      <c r="A172" s="388" t="s">
        <v>3464</v>
      </c>
      <c r="B172" s="390">
        <v>75</v>
      </c>
      <c r="C172" s="388">
        <v>85</v>
      </c>
      <c r="D172" s="388">
        <v>43</v>
      </c>
      <c r="E172" s="388">
        <v>64.2</v>
      </c>
      <c r="F172" s="388">
        <v>197.2</v>
      </c>
      <c r="G172" s="388">
        <v>1178.7</v>
      </c>
      <c r="H172" s="388">
        <v>75</v>
      </c>
      <c r="I172" s="388">
        <v>229</v>
      </c>
      <c r="J172" s="388">
        <v>1280.0999999999999</v>
      </c>
      <c r="K172" s="388">
        <v>64</v>
      </c>
      <c r="L172" s="388">
        <v>195</v>
      </c>
      <c r="M172" s="388">
        <v>1264.2</v>
      </c>
      <c r="N172">
        <f t="shared" si="2"/>
        <v>85</v>
      </c>
    </row>
    <row r="173" spans="1:14" x14ac:dyDescent="0.3">
      <c r="A173" s="388" t="s">
        <v>3465</v>
      </c>
      <c r="B173" s="390">
        <v>28</v>
      </c>
      <c r="C173" s="388">
        <v>46</v>
      </c>
      <c r="D173" s="388">
        <v>21.5</v>
      </c>
      <c r="E173" s="388">
        <v>24.6</v>
      </c>
      <c r="F173" s="388">
        <v>221.8</v>
      </c>
      <c r="G173" s="388">
        <v>1203.3</v>
      </c>
      <c r="H173" s="388">
        <v>27.5</v>
      </c>
      <c r="I173" s="388">
        <v>256.5</v>
      </c>
      <c r="J173" s="388">
        <v>1307.5999999999999</v>
      </c>
      <c r="K173" s="388">
        <v>22.5</v>
      </c>
      <c r="L173" s="388">
        <v>217.5</v>
      </c>
      <c r="M173" s="388">
        <v>1286.7</v>
      </c>
      <c r="N173">
        <f t="shared" si="2"/>
        <v>46</v>
      </c>
    </row>
    <row r="174" spans="1:14" x14ac:dyDescent="0.3">
      <c r="A174" s="388" t="s">
        <v>3466</v>
      </c>
      <c r="B174" s="390">
        <v>3.5</v>
      </c>
      <c r="C174" s="388">
        <v>4</v>
      </c>
      <c r="D174" s="388">
        <v>4.5</v>
      </c>
      <c r="E174" s="388">
        <v>2.8</v>
      </c>
      <c r="F174" s="388">
        <v>224.6</v>
      </c>
      <c r="G174" s="388">
        <v>1206.0999999999999</v>
      </c>
      <c r="H174" s="388">
        <v>3</v>
      </c>
      <c r="I174" s="388">
        <v>259.5</v>
      </c>
      <c r="J174" s="388">
        <v>1310.5999999999999</v>
      </c>
      <c r="K174" s="388">
        <v>3.5</v>
      </c>
      <c r="L174" s="388">
        <v>221</v>
      </c>
      <c r="M174" s="388">
        <v>1290.2</v>
      </c>
      <c r="N174">
        <f t="shared" si="2"/>
        <v>4.5</v>
      </c>
    </row>
    <row r="175" spans="1:14" x14ac:dyDescent="0.3">
      <c r="A175" s="388" t="s">
        <v>3467</v>
      </c>
      <c r="B175" s="390">
        <v>0</v>
      </c>
      <c r="C175" s="388">
        <v>0</v>
      </c>
      <c r="D175" s="388">
        <v>0</v>
      </c>
      <c r="E175" s="388">
        <v>0</v>
      </c>
      <c r="F175" s="388">
        <v>224.6</v>
      </c>
      <c r="G175" s="388">
        <v>1206.0999999999999</v>
      </c>
      <c r="H175" s="388">
        <v>0</v>
      </c>
      <c r="I175" s="388">
        <v>259.5</v>
      </c>
      <c r="J175" s="388">
        <v>1310.5999999999999</v>
      </c>
      <c r="K175" s="388">
        <v>0</v>
      </c>
      <c r="L175" s="388">
        <v>221</v>
      </c>
      <c r="M175" s="388">
        <v>1290.2</v>
      </c>
      <c r="N175">
        <f t="shared" si="2"/>
        <v>0</v>
      </c>
    </row>
    <row r="176" spans="1:14" x14ac:dyDescent="0.3">
      <c r="A176" s="388" t="s">
        <v>3468</v>
      </c>
      <c r="B176" s="390">
        <v>12.5</v>
      </c>
      <c r="C176" s="388">
        <v>17</v>
      </c>
      <c r="D176" s="388">
        <v>14.5</v>
      </c>
      <c r="E176" s="388">
        <v>14.6</v>
      </c>
      <c r="F176" s="388">
        <v>239.2</v>
      </c>
      <c r="G176" s="388">
        <v>1220.7</v>
      </c>
      <c r="H176" s="388">
        <v>14.5</v>
      </c>
      <c r="I176" s="388">
        <v>274</v>
      </c>
      <c r="J176" s="388">
        <v>1325.1</v>
      </c>
      <c r="K176" s="388">
        <v>17.5</v>
      </c>
      <c r="L176" s="388">
        <v>238.5</v>
      </c>
      <c r="M176" s="388">
        <v>1307.7</v>
      </c>
      <c r="N176">
        <f t="shared" si="2"/>
        <v>17</v>
      </c>
    </row>
    <row r="177" spans="1:14" x14ac:dyDescent="0.3">
      <c r="A177" s="388" t="s">
        <v>3469</v>
      </c>
      <c r="B177" s="390">
        <v>0.5</v>
      </c>
      <c r="C177" s="388">
        <v>1.5</v>
      </c>
      <c r="D177" s="388">
        <v>0.5</v>
      </c>
      <c r="E177" s="388">
        <v>0.6</v>
      </c>
      <c r="F177" s="388">
        <v>239.8</v>
      </c>
      <c r="G177" s="388">
        <v>1221.3</v>
      </c>
      <c r="H177" s="388">
        <v>1</v>
      </c>
      <c r="I177" s="388">
        <v>275</v>
      </c>
      <c r="J177" s="388">
        <v>1326.1</v>
      </c>
      <c r="K177" s="388">
        <v>2</v>
      </c>
      <c r="L177" s="388">
        <v>240.5</v>
      </c>
      <c r="M177" s="388">
        <v>1309.7</v>
      </c>
      <c r="N177">
        <f t="shared" si="2"/>
        <v>1.5</v>
      </c>
    </row>
    <row r="178" spans="1:14" x14ac:dyDescent="0.3">
      <c r="A178" s="388" t="s">
        <v>3470</v>
      </c>
      <c r="B178" s="390">
        <v>3.5</v>
      </c>
      <c r="C178" s="388">
        <v>4.5</v>
      </c>
      <c r="D178" s="388">
        <v>8</v>
      </c>
      <c r="E178" s="388">
        <v>2.8</v>
      </c>
      <c r="F178" s="388">
        <v>242.6</v>
      </c>
      <c r="G178" s="388">
        <v>1224.0999999999999</v>
      </c>
      <c r="H178" s="388">
        <v>4</v>
      </c>
      <c r="I178" s="388">
        <v>279</v>
      </c>
      <c r="J178" s="388">
        <v>1330.1</v>
      </c>
      <c r="K178" s="388">
        <v>3</v>
      </c>
      <c r="L178" s="388">
        <v>243.5</v>
      </c>
      <c r="M178" s="388">
        <v>1312.7</v>
      </c>
      <c r="N178">
        <f t="shared" si="2"/>
        <v>8</v>
      </c>
    </row>
    <row r="179" spans="1:14" x14ac:dyDescent="0.3">
      <c r="A179" s="388" t="s">
        <v>3471</v>
      </c>
      <c r="B179" s="390">
        <v>10</v>
      </c>
      <c r="C179" s="388">
        <v>12.5</v>
      </c>
      <c r="D179" s="388">
        <v>6</v>
      </c>
      <c r="E179" s="388">
        <v>8.8000000000000007</v>
      </c>
      <c r="F179" s="388">
        <v>251.4</v>
      </c>
      <c r="G179" s="388">
        <v>1232.9000000000001</v>
      </c>
      <c r="H179" s="388">
        <v>10.5</v>
      </c>
      <c r="I179" s="388">
        <v>289.5</v>
      </c>
      <c r="J179" s="388">
        <v>1340.6</v>
      </c>
      <c r="K179" s="388">
        <v>5.5</v>
      </c>
      <c r="L179" s="388">
        <v>249</v>
      </c>
      <c r="M179" s="388">
        <v>1318.2</v>
      </c>
      <c r="N179">
        <f t="shared" si="2"/>
        <v>12.5</v>
      </c>
    </row>
    <row r="180" spans="1:14" x14ac:dyDescent="0.3">
      <c r="A180" s="388" t="s">
        <v>3472</v>
      </c>
      <c r="B180" s="390">
        <v>1</v>
      </c>
      <c r="C180" s="388">
        <v>1.5</v>
      </c>
      <c r="D180" s="388">
        <v>0.5</v>
      </c>
      <c r="E180" s="388">
        <v>1.8</v>
      </c>
      <c r="F180" s="388">
        <v>253.2</v>
      </c>
      <c r="G180" s="388">
        <v>1234.7</v>
      </c>
      <c r="H180" s="388">
        <v>1</v>
      </c>
      <c r="I180" s="388">
        <v>290.5</v>
      </c>
      <c r="J180" s="388">
        <v>1341.6</v>
      </c>
      <c r="K180" s="388">
        <v>1</v>
      </c>
      <c r="L180" s="388">
        <v>250</v>
      </c>
      <c r="M180" s="388">
        <v>1319.2</v>
      </c>
      <c r="N180">
        <f t="shared" si="2"/>
        <v>1.5</v>
      </c>
    </row>
    <row r="181" spans="1:14" x14ac:dyDescent="0.3">
      <c r="A181" s="388" t="s">
        <v>3473</v>
      </c>
      <c r="B181" s="390">
        <v>0</v>
      </c>
      <c r="C181" s="388">
        <v>0</v>
      </c>
      <c r="D181" s="388">
        <v>0</v>
      </c>
      <c r="E181" s="388">
        <v>0</v>
      </c>
      <c r="F181" s="388">
        <v>253.2</v>
      </c>
      <c r="G181" s="388">
        <v>1234.7</v>
      </c>
      <c r="H181" s="388">
        <v>0</v>
      </c>
      <c r="I181" s="388">
        <v>290.5</v>
      </c>
      <c r="J181" s="388">
        <v>1341.6</v>
      </c>
      <c r="K181" s="388">
        <v>0</v>
      </c>
      <c r="L181" s="388">
        <v>250</v>
      </c>
      <c r="M181" s="388">
        <v>1319.2</v>
      </c>
      <c r="N181">
        <f t="shared" si="2"/>
        <v>0</v>
      </c>
    </row>
    <row r="182" spans="1:14" x14ac:dyDescent="0.3">
      <c r="A182" s="388" t="s">
        <v>3474</v>
      </c>
      <c r="B182" s="390">
        <v>2.5</v>
      </c>
      <c r="C182" s="388">
        <v>5.5</v>
      </c>
      <c r="D182" s="388">
        <v>1.5</v>
      </c>
      <c r="E182" s="388">
        <v>2.8</v>
      </c>
      <c r="F182" s="388">
        <v>256</v>
      </c>
      <c r="G182" s="388">
        <v>1237.5</v>
      </c>
      <c r="H182" s="388">
        <v>3.5</v>
      </c>
      <c r="I182" s="388">
        <v>294</v>
      </c>
      <c r="J182" s="388">
        <v>1345.1</v>
      </c>
      <c r="K182" s="388">
        <v>3</v>
      </c>
      <c r="L182" s="388">
        <v>253</v>
      </c>
      <c r="M182" s="388">
        <v>1322.2</v>
      </c>
      <c r="N182">
        <f t="shared" si="2"/>
        <v>5.5</v>
      </c>
    </row>
    <row r="183" spans="1:14" x14ac:dyDescent="0.3">
      <c r="A183" s="388" t="s">
        <v>3475</v>
      </c>
      <c r="B183" s="390">
        <v>1</v>
      </c>
      <c r="C183" s="388">
        <v>1.5</v>
      </c>
      <c r="D183" s="388">
        <v>0.5</v>
      </c>
      <c r="E183" s="388">
        <v>0.8</v>
      </c>
      <c r="F183" s="388">
        <v>256.8</v>
      </c>
      <c r="G183" s="388">
        <v>1238.3</v>
      </c>
      <c r="H183" s="388">
        <v>1</v>
      </c>
      <c r="I183" s="388">
        <v>295</v>
      </c>
      <c r="J183" s="388">
        <v>1346.1</v>
      </c>
      <c r="K183" s="388">
        <v>0.5</v>
      </c>
      <c r="L183" s="388">
        <v>253.5</v>
      </c>
      <c r="M183" s="388">
        <v>1322.7</v>
      </c>
      <c r="N183">
        <f t="shared" si="2"/>
        <v>1.5</v>
      </c>
    </row>
    <row r="184" spans="1:14" s="338" customFormat="1" x14ac:dyDescent="0.3">
      <c r="A184" s="392" t="s">
        <v>3476</v>
      </c>
      <c r="B184" s="393">
        <v>3.5</v>
      </c>
      <c r="C184" s="392">
        <v>5</v>
      </c>
      <c r="D184" s="392">
        <v>4.5</v>
      </c>
      <c r="E184" s="392">
        <v>3.2</v>
      </c>
      <c r="F184" s="392">
        <v>260</v>
      </c>
      <c r="G184" s="392">
        <v>1241.5</v>
      </c>
      <c r="H184" s="392">
        <v>3.5</v>
      </c>
      <c r="I184" s="392">
        <v>298.5</v>
      </c>
      <c r="J184" s="392">
        <v>1349.6</v>
      </c>
      <c r="K184" s="392">
        <v>4</v>
      </c>
      <c r="L184" s="392">
        <v>257.5</v>
      </c>
      <c r="M184" s="392">
        <v>1326.7</v>
      </c>
      <c r="N184">
        <f t="shared" si="2"/>
        <v>5</v>
      </c>
    </row>
    <row r="185" spans="1:14" x14ac:dyDescent="0.3">
      <c r="A185" s="388" t="s">
        <v>3477</v>
      </c>
      <c r="B185" s="390">
        <v>1.5</v>
      </c>
      <c r="C185" s="388">
        <v>2</v>
      </c>
      <c r="D185" s="388">
        <v>1</v>
      </c>
      <c r="E185" s="388">
        <v>1</v>
      </c>
      <c r="F185" s="388">
        <v>1</v>
      </c>
      <c r="G185" s="388">
        <v>1242.5</v>
      </c>
      <c r="H185" s="388">
        <v>1.5</v>
      </c>
      <c r="I185" s="388">
        <v>1.5</v>
      </c>
      <c r="J185" s="388">
        <v>1351.1</v>
      </c>
      <c r="K185" s="388">
        <v>1</v>
      </c>
      <c r="L185" s="388">
        <v>1</v>
      </c>
      <c r="M185" s="388">
        <v>1327.7</v>
      </c>
      <c r="N185">
        <f t="shared" si="2"/>
        <v>2</v>
      </c>
    </row>
    <row r="186" spans="1:14" x14ac:dyDescent="0.3">
      <c r="A186" s="388" t="s">
        <v>3478</v>
      </c>
      <c r="B186" s="390">
        <v>0</v>
      </c>
      <c r="C186" s="388">
        <v>0</v>
      </c>
      <c r="D186" s="388">
        <v>0</v>
      </c>
      <c r="E186" s="388">
        <v>0</v>
      </c>
      <c r="F186" s="388">
        <v>1</v>
      </c>
      <c r="G186" s="388">
        <v>1242.5</v>
      </c>
      <c r="H186" s="388">
        <v>0</v>
      </c>
      <c r="I186" s="388">
        <v>1.5</v>
      </c>
      <c r="J186" s="388">
        <v>1351.1</v>
      </c>
      <c r="K186" s="388">
        <v>0</v>
      </c>
      <c r="L186" s="388">
        <v>1</v>
      </c>
      <c r="M186" s="388">
        <v>1327.7</v>
      </c>
      <c r="N186">
        <f t="shared" si="2"/>
        <v>0</v>
      </c>
    </row>
    <row r="187" spans="1:14" x14ac:dyDescent="0.3">
      <c r="A187" s="388" t="s">
        <v>3479</v>
      </c>
      <c r="B187" s="390">
        <v>0</v>
      </c>
      <c r="C187" s="388">
        <v>0</v>
      </c>
      <c r="D187" s="388">
        <v>0</v>
      </c>
      <c r="E187" s="388">
        <v>0</v>
      </c>
      <c r="F187" s="388">
        <v>1</v>
      </c>
      <c r="G187" s="388">
        <v>1242.5</v>
      </c>
      <c r="H187" s="388">
        <v>0</v>
      </c>
      <c r="I187" s="388">
        <v>1.5</v>
      </c>
      <c r="J187" s="388">
        <v>1351.1</v>
      </c>
      <c r="K187" s="388">
        <v>0</v>
      </c>
      <c r="L187" s="388">
        <v>1</v>
      </c>
      <c r="M187" s="388">
        <v>1327.7</v>
      </c>
      <c r="N187">
        <f t="shared" si="2"/>
        <v>0</v>
      </c>
    </row>
    <row r="188" spans="1:14" x14ac:dyDescent="0.3">
      <c r="A188" s="388" t="s">
        <v>3480</v>
      </c>
      <c r="B188" s="390">
        <v>0</v>
      </c>
      <c r="C188" s="388">
        <v>0</v>
      </c>
      <c r="D188" s="388">
        <v>0</v>
      </c>
      <c r="E188" s="388">
        <v>0</v>
      </c>
      <c r="F188" s="388">
        <v>1</v>
      </c>
      <c r="G188" s="388">
        <v>1242.5</v>
      </c>
      <c r="H188" s="388">
        <v>0</v>
      </c>
      <c r="I188" s="388">
        <v>1.5</v>
      </c>
      <c r="J188" s="388">
        <v>1351.1</v>
      </c>
      <c r="K188" s="388">
        <v>0</v>
      </c>
      <c r="L188" s="388">
        <v>1</v>
      </c>
      <c r="M188" s="388">
        <v>1327.7</v>
      </c>
      <c r="N188">
        <f t="shared" si="2"/>
        <v>0</v>
      </c>
    </row>
    <row r="189" spans="1:14" x14ac:dyDescent="0.3">
      <c r="A189" s="388" t="s">
        <v>3481</v>
      </c>
      <c r="B189" s="390">
        <v>0</v>
      </c>
      <c r="C189" s="388">
        <v>0</v>
      </c>
      <c r="D189" s="388">
        <v>0</v>
      </c>
      <c r="E189" s="388">
        <v>0</v>
      </c>
      <c r="F189" s="388">
        <v>1</v>
      </c>
      <c r="G189" s="388">
        <v>1242.5</v>
      </c>
      <c r="H189" s="388">
        <v>0</v>
      </c>
      <c r="I189" s="388">
        <v>1.5</v>
      </c>
      <c r="J189" s="388">
        <v>1351.1</v>
      </c>
      <c r="K189" s="388">
        <v>0</v>
      </c>
      <c r="L189" s="388">
        <v>1</v>
      </c>
      <c r="M189" s="388">
        <v>1327.7</v>
      </c>
      <c r="N189">
        <f t="shared" si="2"/>
        <v>0</v>
      </c>
    </row>
    <row r="190" spans="1:14" x14ac:dyDescent="0.3">
      <c r="A190" s="388" t="s">
        <v>3482</v>
      </c>
      <c r="B190" s="390">
        <v>0</v>
      </c>
      <c r="C190" s="388">
        <v>0</v>
      </c>
      <c r="D190" s="388">
        <v>0</v>
      </c>
      <c r="E190" s="388">
        <v>0</v>
      </c>
      <c r="F190" s="388">
        <v>1</v>
      </c>
      <c r="G190" s="388">
        <v>1242.5</v>
      </c>
      <c r="H190" s="388">
        <v>0</v>
      </c>
      <c r="I190" s="388">
        <v>1.5</v>
      </c>
      <c r="J190" s="388">
        <v>1351.1</v>
      </c>
      <c r="K190" s="388">
        <v>0</v>
      </c>
      <c r="L190" s="388">
        <v>1</v>
      </c>
      <c r="M190" s="388">
        <v>1327.7</v>
      </c>
      <c r="N190">
        <f t="shared" si="2"/>
        <v>0</v>
      </c>
    </row>
    <row r="191" spans="1:14" x14ac:dyDescent="0.3">
      <c r="A191" s="388" t="s">
        <v>3483</v>
      </c>
      <c r="B191" s="390">
        <v>0</v>
      </c>
      <c r="C191" s="388">
        <v>0</v>
      </c>
      <c r="D191" s="388">
        <v>0</v>
      </c>
      <c r="E191" s="388">
        <v>0</v>
      </c>
      <c r="F191" s="388">
        <v>1</v>
      </c>
      <c r="G191" s="388">
        <v>1242.5</v>
      </c>
      <c r="H191" s="388">
        <v>0</v>
      </c>
      <c r="I191" s="388">
        <v>1.5</v>
      </c>
      <c r="J191" s="388">
        <v>1351.1</v>
      </c>
      <c r="K191" s="388">
        <v>0</v>
      </c>
      <c r="L191" s="388">
        <v>1</v>
      </c>
      <c r="M191" s="388">
        <v>1327.7</v>
      </c>
      <c r="N191">
        <f t="shared" si="2"/>
        <v>0</v>
      </c>
    </row>
    <row r="192" spans="1:14" x14ac:dyDescent="0.3">
      <c r="A192" s="388" t="s">
        <v>3484</v>
      </c>
      <c r="B192" s="390">
        <v>0</v>
      </c>
      <c r="C192" s="388">
        <v>0</v>
      </c>
      <c r="D192" s="388">
        <v>0</v>
      </c>
      <c r="E192" s="388">
        <v>0</v>
      </c>
      <c r="F192" s="388">
        <v>1</v>
      </c>
      <c r="G192" s="388">
        <v>1242.5</v>
      </c>
      <c r="H192" s="388">
        <v>0</v>
      </c>
      <c r="I192" s="388">
        <v>1.5</v>
      </c>
      <c r="J192" s="388">
        <v>1351.1</v>
      </c>
      <c r="K192" s="388">
        <v>0</v>
      </c>
      <c r="L192" s="388">
        <v>1</v>
      </c>
      <c r="M192" s="388">
        <v>1327.7</v>
      </c>
      <c r="N192">
        <f t="shared" si="2"/>
        <v>0</v>
      </c>
    </row>
    <row r="193" spans="1:14" x14ac:dyDescent="0.3">
      <c r="A193" s="388" t="s">
        <v>3485</v>
      </c>
      <c r="B193" s="390">
        <v>0</v>
      </c>
      <c r="C193" s="388">
        <v>0</v>
      </c>
      <c r="D193" s="388">
        <v>0</v>
      </c>
      <c r="E193" s="388">
        <v>0</v>
      </c>
      <c r="F193" s="388">
        <v>1</v>
      </c>
      <c r="G193" s="388">
        <v>1242.5</v>
      </c>
      <c r="H193" s="388">
        <v>0</v>
      </c>
      <c r="I193" s="388">
        <v>1.5</v>
      </c>
      <c r="J193" s="388">
        <v>1351.1</v>
      </c>
      <c r="K193" s="388">
        <v>0</v>
      </c>
      <c r="L193" s="388">
        <v>1</v>
      </c>
      <c r="M193" s="388">
        <v>1327.7</v>
      </c>
      <c r="N193">
        <f t="shared" si="2"/>
        <v>0</v>
      </c>
    </row>
    <row r="194" spans="1:14" x14ac:dyDescent="0.3">
      <c r="A194" s="388" t="s">
        <v>3486</v>
      </c>
      <c r="B194" s="390">
        <v>0.5</v>
      </c>
      <c r="C194" s="388">
        <v>1</v>
      </c>
      <c r="D194" s="388">
        <v>0.5</v>
      </c>
      <c r="E194" s="388">
        <v>0.4</v>
      </c>
      <c r="F194" s="388">
        <v>1.4</v>
      </c>
      <c r="G194" s="388">
        <v>1242.9000000000001</v>
      </c>
      <c r="H194" s="388">
        <v>1</v>
      </c>
      <c r="I194" s="388">
        <v>2.5</v>
      </c>
      <c r="J194" s="388">
        <v>1352.1</v>
      </c>
      <c r="K194" s="388">
        <v>1</v>
      </c>
      <c r="L194" s="388">
        <v>2</v>
      </c>
      <c r="M194" s="388">
        <v>1328.7</v>
      </c>
      <c r="N194">
        <f t="shared" si="2"/>
        <v>1</v>
      </c>
    </row>
    <row r="195" spans="1:14" x14ac:dyDescent="0.3">
      <c r="A195" s="388" t="s">
        <v>3487</v>
      </c>
      <c r="B195" s="390">
        <v>0.5</v>
      </c>
      <c r="C195" s="388">
        <v>0.5</v>
      </c>
      <c r="D195" s="388">
        <v>0.5</v>
      </c>
      <c r="E195" s="388">
        <v>0.2</v>
      </c>
      <c r="F195" s="388">
        <v>1.6</v>
      </c>
      <c r="G195" s="388">
        <v>1243.0999999999999</v>
      </c>
      <c r="H195" s="388">
        <v>0.5</v>
      </c>
      <c r="I195" s="388">
        <v>3</v>
      </c>
      <c r="J195" s="388">
        <v>1352.6</v>
      </c>
      <c r="K195" s="388">
        <v>0.5</v>
      </c>
      <c r="L195" s="388">
        <v>2.5</v>
      </c>
      <c r="M195" s="388">
        <v>1329.2</v>
      </c>
      <c r="N195">
        <f t="shared" si="2"/>
        <v>0.5</v>
      </c>
    </row>
    <row r="196" spans="1:14" x14ac:dyDescent="0.3">
      <c r="A196" s="388" t="s">
        <v>3488</v>
      </c>
      <c r="B196" s="390">
        <v>0</v>
      </c>
      <c r="C196" s="388">
        <v>0</v>
      </c>
      <c r="D196" s="388">
        <v>0</v>
      </c>
      <c r="E196" s="388">
        <v>0</v>
      </c>
      <c r="F196" s="388">
        <v>1.6</v>
      </c>
      <c r="G196" s="388">
        <v>1243.0999999999999</v>
      </c>
      <c r="H196" s="388">
        <v>0</v>
      </c>
      <c r="I196" s="388">
        <v>3</v>
      </c>
      <c r="J196" s="388">
        <v>1352.6</v>
      </c>
      <c r="K196" s="388">
        <v>0</v>
      </c>
      <c r="L196" s="388">
        <v>2.5</v>
      </c>
      <c r="M196" s="388">
        <v>1329.2</v>
      </c>
      <c r="N196">
        <f t="shared" si="2"/>
        <v>0</v>
      </c>
    </row>
    <row r="197" spans="1:14" x14ac:dyDescent="0.3">
      <c r="A197" s="388" t="s">
        <v>3489</v>
      </c>
      <c r="B197" s="390">
        <v>1</v>
      </c>
      <c r="C197" s="388">
        <v>4</v>
      </c>
      <c r="D197" s="388">
        <v>0.5</v>
      </c>
      <c r="E197" s="388">
        <v>0.2</v>
      </c>
      <c r="F197" s="388">
        <v>1.8</v>
      </c>
      <c r="G197" s="388">
        <v>1243.3</v>
      </c>
      <c r="H197" s="388">
        <v>0.5</v>
      </c>
      <c r="I197" s="388">
        <v>3.5</v>
      </c>
      <c r="J197" s="388">
        <v>1353.1</v>
      </c>
      <c r="K197" s="388">
        <v>1</v>
      </c>
      <c r="L197" s="388">
        <v>3.5</v>
      </c>
      <c r="M197" s="388">
        <v>1330.2</v>
      </c>
      <c r="N197">
        <f t="shared" ref="N197:N260" si="3">MAX(B197:D197)</f>
        <v>4</v>
      </c>
    </row>
    <row r="198" spans="1:14" x14ac:dyDescent="0.3">
      <c r="A198" s="388" t="s">
        <v>3490</v>
      </c>
      <c r="B198" s="390">
        <v>0</v>
      </c>
      <c r="C198" s="388">
        <v>0</v>
      </c>
      <c r="D198" s="388">
        <v>0</v>
      </c>
      <c r="E198" s="388">
        <v>0</v>
      </c>
      <c r="F198" s="388">
        <v>1.8</v>
      </c>
      <c r="G198" s="388">
        <v>1243.3</v>
      </c>
      <c r="H198" s="388">
        <v>0</v>
      </c>
      <c r="I198" s="388">
        <v>3.5</v>
      </c>
      <c r="J198" s="388">
        <v>1353.1</v>
      </c>
      <c r="K198" s="388">
        <v>0</v>
      </c>
      <c r="L198" s="388">
        <v>3.5</v>
      </c>
      <c r="M198" s="388">
        <v>1330.2</v>
      </c>
      <c r="N198">
        <f t="shared" si="3"/>
        <v>0</v>
      </c>
    </row>
    <row r="199" spans="1:14" x14ac:dyDescent="0.3">
      <c r="A199" s="388" t="s">
        <v>3491</v>
      </c>
      <c r="B199" s="390">
        <v>0</v>
      </c>
      <c r="C199" s="388">
        <v>0</v>
      </c>
      <c r="D199" s="388">
        <v>0</v>
      </c>
      <c r="E199" s="388">
        <v>0</v>
      </c>
      <c r="F199" s="388">
        <v>1.8</v>
      </c>
      <c r="G199" s="388">
        <v>1243.3</v>
      </c>
      <c r="H199" s="388">
        <v>0</v>
      </c>
      <c r="I199" s="388">
        <v>3.5</v>
      </c>
      <c r="J199" s="388">
        <v>1353.1</v>
      </c>
      <c r="K199" s="388">
        <v>0</v>
      </c>
      <c r="L199" s="388">
        <v>3.5</v>
      </c>
      <c r="M199" s="388">
        <v>1330.2</v>
      </c>
      <c r="N199">
        <f t="shared" si="3"/>
        <v>0</v>
      </c>
    </row>
    <row r="200" spans="1:14" x14ac:dyDescent="0.3">
      <c r="A200" s="388" t="s">
        <v>3492</v>
      </c>
      <c r="B200" s="390">
        <v>5.5</v>
      </c>
      <c r="C200" s="388">
        <v>8.5</v>
      </c>
      <c r="D200" s="388">
        <v>6.5</v>
      </c>
      <c r="E200" s="388">
        <v>5.5</v>
      </c>
      <c r="F200" s="388">
        <v>7.3</v>
      </c>
      <c r="G200" s="388">
        <v>1248.8</v>
      </c>
      <c r="H200" s="388">
        <v>6.5</v>
      </c>
      <c r="I200" s="388">
        <v>10</v>
      </c>
      <c r="J200" s="388">
        <v>1359.6</v>
      </c>
      <c r="K200" s="388">
        <v>6.5</v>
      </c>
      <c r="L200" s="388">
        <v>10</v>
      </c>
      <c r="M200" s="388">
        <v>1336.7</v>
      </c>
      <c r="N200">
        <f t="shared" si="3"/>
        <v>8.5</v>
      </c>
    </row>
    <row r="201" spans="1:14" x14ac:dyDescent="0.3">
      <c r="A201" s="388" t="s">
        <v>3493</v>
      </c>
      <c r="B201" s="390">
        <v>22.5</v>
      </c>
      <c r="C201" s="388">
        <v>16.5</v>
      </c>
      <c r="D201" s="388">
        <v>22</v>
      </c>
      <c r="E201" s="388">
        <v>22.5</v>
      </c>
      <c r="F201" s="388">
        <v>29.8</v>
      </c>
      <c r="G201" s="388">
        <v>1271.3</v>
      </c>
      <c r="H201" s="388">
        <v>25</v>
      </c>
      <c r="I201" s="388">
        <v>35</v>
      </c>
      <c r="J201" s="388">
        <v>1384.6</v>
      </c>
      <c r="K201" s="388">
        <v>23</v>
      </c>
      <c r="L201" s="388">
        <v>33</v>
      </c>
      <c r="M201" s="388">
        <v>1359.7</v>
      </c>
      <c r="N201">
        <f t="shared" si="3"/>
        <v>22.5</v>
      </c>
    </row>
    <row r="202" spans="1:14" x14ac:dyDescent="0.3">
      <c r="A202" s="388" t="s">
        <v>3494</v>
      </c>
      <c r="B202" s="390">
        <v>0.5</v>
      </c>
      <c r="C202" s="388">
        <v>1.5</v>
      </c>
      <c r="D202" s="388">
        <v>1</v>
      </c>
      <c r="E202" s="388">
        <v>0.2</v>
      </c>
      <c r="F202" s="388">
        <v>30</v>
      </c>
      <c r="G202" s="388">
        <v>1271.5</v>
      </c>
      <c r="H202" s="388">
        <v>1</v>
      </c>
      <c r="I202" s="388">
        <v>36</v>
      </c>
      <c r="J202" s="388">
        <v>1385.6</v>
      </c>
      <c r="K202" s="388">
        <v>1</v>
      </c>
      <c r="L202" s="388">
        <v>34</v>
      </c>
      <c r="M202" s="388">
        <v>1360.7</v>
      </c>
      <c r="N202">
        <f t="shared" si="3"/>
        <v>1.5</v>
      </c>
    </row>
    <row r="203" spans="1:14" x14ac:dyDescent="0.3">
      <c r="A203" s="388" t="s">
        <v>3495</v>
      </c>
      <c r="B203" s="390">
        <v>1</v>
      </c>
      <c r="C203" s="388">
        <v>1.5</v>
      </c>
      <c r="D203" s="388">
        <v>1</v>
      </c>
      <c r="E203" s="388">
        <v>0.6</v>
      </c>
      <c r="F203" s="388">
        <v>30.6</v>
      </c>
      <c r="G203" s="388">
        <v>1272.0999999999999</v>
      </c>
      <c r="H203" s="388">
        <v>1</v>
      </c>
      <c r="I203" s="388">
        <v>37</v>
      </c>
      <c r="J203" s="388">
        <v>1386.6</v>
      </c>
      <c r="K203" s="388">
        <v>1</v>
      </c>
      <c r="L203" s="388">
        <v>35</v>
      </c>
      <c r="M203" s="388">
        <v>1361.7</v>
      </c>
      <c r="N203">
        <f t="shared" si="3"/>
        <v>1.5</v>
      </c>
    </row>
    <row r="204" spans="1:14" x14ac:dyDescent="0.3">
      <c r="A204" s="388" t="s">
        <v>3496</v>
      </c>
      <c r="B204" s="390">
        <v>2</v>
      </c>
      <c r="C204" s="388">
        <v>9</v>
      </c>
      <c r="D204" s="388">
        <v>3.5</v>
      </c>
      <c r="E204" s="388">
        <v>2.4</v>
      </c>
      <c r="F204" s="388">
        <v>33</v>
      </c>
      <c r="G204" s="388">
        <v>1274.5</v>
      </c>
      <c r="H204" s="388">
        <v>2.5</v>
      </c>
      <c r="I204" s="388">
        <v>39.5</v>
      </c>
      <c r="J204" s="388">
        <v>1389.1</v>
      </c>
      <c r="K204" s="388">
        <v>3</v>
      </c>
      <c r="L204" s="388">
        <v>38</v>
      </c>
      <c r="M204" s="388">
        <v>1364.7</v>
      </c>
      <c r="N204">
        <f t="shared" si="3"/>
        <v>9</v>
      </c>
    </row>
    <row r="205" spans="1:14" x14ac:dyDescent="0.3">
      <c r="A205" s="388" t="s">
        <v>3497</v>
      </c>
      <c r="B205" s="390">
        <v>0</v>
      </c>
      <c r="C205" s="388">
        <v>0</v>
      </c>
      <c r="D205" s="388">
        <v>0</v>
      </c>
      <c r="E205" s="388">
        <v>0</v>
      </c>
      <c r="F205" s="388">
        <v>33</v>
      </c>
      <c r="G205" s="388">
        <v>1274.5</v>
      </c>
      <c r="H205" s="388">
        <v>0</v>
      </c>
      <c r="I205" s="388">
        <v>39.5</v>
      </c>
      <c r="J205" s="388">
        <v>1389.1</v>
      </c>
      <c r="K205" s="388">
        <v>0</v>
      </c>
      <c r="L205" s="388">
        <v>38</v>
      </c>
      <c r="M205" s="388">
        <v>1364.7</v>
      </c>
      <c r="N205">
        <f t="shared" si="3"/>
        <v>0</v>
      </c>
    </row>
    <row r="206" spans="1:14" x14ac:dyDescent="0.3">
      <c r="A206" s="388" t="s">
        <v>3498</v>
      </c>
      <c r="B206" s="390">
        <v>25</v>
      </c>
      <c r="C206" s="388">
        <v>75</v>
      </c>
      <c r="D206" s="388">
        <v>26.5</v>
      </c>
      <c r="E206" s="388">
        <v>22.4</v>
      </c>
      <c r="F206" s="388">
        <v>55.4</v>
      </c>
      <c r="G206" s="388">
        <v>1296.9000000000001</v>
      </c>
      <c r="H206" s="388">
        <v>28</v>
      </c>
      <c r="I206" s="388">
        <v>67.5</v>
      </c>
      <c r="J206" s="388">
        <v>1417.1</v>
      </c>
      <c r="K206" s="388">
        <v>27.5</v>
      </c>
      <c r="L206" s="388">
        <v>65.5</v>
      </c>
      <c r="M206" s="388">
        <v>1392.2</v>
      </c>
      <c r="N206">
        <f t="shared" si="3"/>
        <v>75</v>
      </c>
    </row>
    <row r="207" spans="1:14" x14ac:dyDescent="0.3">
      <c r="A207" s="388" t="s">
        <v>3499</v>
      </c>
      <c r="B207" s="390">
        <v>1.5</v>
      </c>
      <c r="C207" s="388">
        <v>1</v>
      </c>
      <c r="D207" s="388">
        <v>1</v>
      </c>
      <c r="E207" s="388">
        <v>1</v>
      </c>
      <c r="F207" s="388">
        <v>56.4</v>
      </c>
      <c r="G207" s="388">
        <v>1297.9000000000001</v>
      </c>
      <c r="H207" s="388">
        <v>1.5</v>
      </c>
      <c r="I207" s="388">
        <v>69</v>
      </c>
      <c r="J207" s="388">
        <v>1418.6</v>
      </c>
      <c r="K207" s="388">
        <v>1</v>
      </c>
      <c r="L207" s="388">
        <v>66.5</v>
      </c>
      <c r="M207" s="388">
        <v>1393.2</v>
      </c>
      <c r="N207">
        <f t="shared" si="3"/>
        <v>1.5</v>
      </c>
    </row>
    <row r="208" spans="1:14" x14ac:dyDescent="0.3">
      <c r="A208" s="388" t="s">
        <v>3500</v>
      </c>
      <c r="B208" s="390">
        <v>2</v>
      </c>
      <c r="C208" s="388">
        <v>2</v>
      </c>
      <c r="D208" s="388">
        <v>2.5</v>
      </c>
      <c r="E208" s="388">
        <v>2.2000000000000002</v>
      </c>
      <c r="F208" s="388">
        <v>58.6</v>
      </c>
      <c r="G208" s="388">
        <v>1300.0999999999999</v>
      </c>
      <c r="H208" s="388">
        <v>2.5</v>
      </c>
      <c r="I208" s="388">
        <v>71.5</v>
      </c>
      <c r="J208" s="388">
        <v>1421.1</v>
      </c>
      <c r="K208" s="388">
        <v>2.5</v>
      </c>
      <c r="L208" s="388">
        <v>69</v>
      </c>
      <c r="M208" s="388">
        <v>1395.7</v>
      </c>
      <c r="N208">
        <f t="shared" si="3"/>
        <v>2.5</v>
      </c>
    </row>
    <row r="209" spans="1:14" x14ac:dyDescent="0.3">
      <c r="A209" s="388" t="s">
        <v>3501</v>
      </c>
      <c r="B209" s="390">
        <v>0</v>
      </c>
      <c r="C209" s="388">
        <v>0.5</v>
      </c>
      <c r="D209" s="388">
        <v>0</v>
      </c>
      <c r="E209" s="388">
        <v>0.2</v>
      </c>
      <c r="F209" s="388">
        <v>58.8</v>
      </c>
      <c r="G209" s="388">
        <v>1300.3</v>
      </c>
      <c r="H209" s="388">
        <v>0.5</v>
      </c>
      <c r="I209" s="388">
        <v>72</v>
      </c>
      <c r="J209" s="388">
        <v>1421.6</v>
      </c>
      <c r="K209" s="388">
        <v>0.5</v>
      </c>
      <c r="L209" s="388">
        <v>69.5</v>
      </c>
      <c r="M209" s="388">
        <v>1396.2</v>
      </c>
      <c r="N209">
        <f t="shared" si="3"/>
        <v>0.5</v>
      </c>
    </row>
    <row r="210" spans="1:14" x14ac:dyDescent="0.3">
      <c r="A210" s="388" t="s">
        <v>3502</v>
      </c>
      <c r="B210" s="390">
        <v>1</v>
      </c>
      <c r="C210" s="388">
        <v>0.5</v>
      </c>
      <c r="D210" s="388">
        <v>0.5</v>
      </c>
      <c r="E210" s="388">
        <v>0.6</v>
      </c>
      <c r="F210" s="388">
        <v>59.4</v>
      </c>
      <c r="G210" s="388">
        <v>1300.9000000000001</v>
      </c>
      <c r="H210" s="388">
        <v>1</v>
      </c>
      <c r="I210" s="388">
        <v>73</v>
      </c>
      <c r="J210" s="388">
        <v>1422.6</v>
      </c>
      <c r="K210" s="388">
        <v>0.5</v>
      </c>
      <c r="L210" s="388">
        <v>70</v>
      </c>
      <c r="M210" s="388">
        <v>1396.7</v>
      </c>
      <c r="N210">
        <f t="shared" si="3"/>
        <v>1</v>
      </c>
    </row>
    <row r="211" spans="1:14" x14ac:dyDescent="0.3">
      <c r="A211" s="388" t="s">
        <v>3503</v>
      </c>
      <c r="B211" s="390">
        <v>0</v>
      </c>
      <c r="C211" s="388">
        <v>0</v>
      </c>
      <c r="D211" s="388">
        <v>0</v>
      </c>
      <c r="E211" s="388">
        <v>0</v>
      </c>
      <c r="F211" s="388">
        <v>59.4</v>
      </c>
      <c r="G211" s="388">
        <v>1300.9000000000001</v>
      </c>
      <c r="H211" s="388">
        <v>0</v>
      </c>
      <c r="I211" s="388">
        <v>73</v>
      </c>
      <c r="J211" s="388">
        <v>1422.6</v>
      </c>
      <c r="K211" s="388">
        <v>0</v>
      </c>
      <c r="L211" s="388">
        <v>70</v>
      </c>
      <c r="M211" s="388">
        <v>1396.7</v>
      </c>
      <c r="N211">
        <f t="shared" si="3"/>
        <v>0</v>
      </c>
    </row>
    <row r="212" spans="1:14" x14ac:dyDescent="0.3">
      <c r="A212" s="388" t="s">
        <v>3504</v>
      </c>
      <c r="B212" s="390">
        <v>6.5</v>
      </c>
      <c r="C212" s="388">
        <v>10</v>
      </c>
      <c r="D212" s="388">
        <v>5.5</v>
      </c>
      <c r="E212" s="388">
        <v>6.2</v>
      </c>
      <c r="F212" s="388">
        <v>65.599999999999994</v>
      </c>
      <c r="G212" s="388">
        <v>1307.0999999999999</v>
      </c>
      <c r="H212" s="388">
        <v>6.5</v>
      </c>
      <c r="I212" s="388">
        <v>79.5</v>
      </c>
      <c r="J212" s="388">
        <v>1429.1</v>
      </c>
      <c r="K212" s="388">
        <v>6</v>
      </c>
      <c r="L212" s="388">
        <v>76</v>
      </c>
      <c r="M212" s="388">
        <v>1402.7</v>
      </c>
      <c r="N212">
        <f t="shared" si="3"/>
        <v>10</v>
      </c>
    </row>
    <row r="213" spans="1:14" x14ac:dyDescent="0.3">
      <c r="A213" s="388" t="s">
        <v>3505</v>
      </c>
      <c r="B213" s="390">
        <v>10.5</v>
      </c>
      <c r="C213" s="388">
        <v>19</v>
      </c>
      <c r="D213" s="388">
        <v>10</v>
      </c>
      <c r="E213" s="388">
        <v>10.6</v>
      </c>
      <c r="F213" s="388">
        <v>76.2</v>
      </c>
      <c r="G213" s="388">
        <v>1317.7</v>
      </c>
      <c r="H213" s="388">
        <v>10.5</v>
      </c>
      <c r="I213" s="388">
        <v>90</v>
      </c>
      <c r="J213" s="388">
        <v>1439.6</v>
      </c>
      <c r="K213" s="388">
        <v>10</v>
      </c>
      <c r="L213" s="388">
        <v>86</v>
      </c>
      <c r="M213" s="388">
        <v>1412.7</v>
      </c>
      <c r="N213">
        <f t="shared" si="3"/>
        <v>19</v>
      </c>
    </row>
    <row r="214" spans="1:14" x14ac:dyDescent="0.3">
      <c r="A214" s="388" t="s">
        <v>3506</v>
      </c>
      <c r="B214" s="390">
        <v>16</v>
      </c>
      <c r="C214" s="388">
        <v>27.5</v>
      </c>
      <c r="D214" s="388">
        <v>15</v>
      </c>
      <c r="E214" s="388">
        <v>13.6</v>
      </c>
      <c r="F214" s="388">
        <v>89.8</v>
      </c>
      <c r="G214" s="388">
        <v>1331.3</v>
      </c>
      <c r="H214" s="388">
        <v>16</v>
      </c>
      <c r="I214" s="388">
        <v>106</v>
      </c>
      <c r="J214" s="388">
        <v>1455.6</v>
      </c>
      <c r="K214" s="388">
        <v>15.5</v>
      </c>
      <c r="L214" s="388">
        <v>101.5</v>
      </c>
      <c r="M214" s="388">
        <v>1428.2</v>
      </c>
      <c r="N214">
        <f t="shared" si="3"/>
        <v>27.5</v>
      </c>
    </row>
    <row r="215" spans="1:14" s="338" customFormat="1" x14ac:dyDescent="0.3">
      <c r="A215" s="392" t="s">
        <v>3507</v>
      </c>
      <c r="B215" s="393">
        <v>22</v>
      </c>
      <c r="C215" s="392">
        <v>27</v>
      </c>
      <c r="D215" s="392">
        <v>19.5</v>
      </c>
      <c r="E215" s="392">
        <v>25.8</v>
      </c>
      <c r="F215" s="392">
        <v>115.6</v>
      </c>
      <c r="G215" s="392">
        <v>1357.1</v>
      </c>
      <c r="H215" s="392">
        <v>26</v>
      </c>
      <c r="I215" s="392">
        <v>132</v>
      </c>
      <c r="J215" s="392">
        <v>1481.6</v>
      </c>
      <c r="K215" s="392">
        <v>17.5</v>
      </c>
      <c r="L215" s="392">
        <v>119</v>
      </c>
      <c r="M215" s="392">
        <v>1445.7</v>
      </c>
      <c r="N215">
        <f t="shared" si="3"/>
        <v>27</v>
      </c>
    </row>
    <row r="216" spans="1:14" x14ac:dyDescent="0.3">
      <c r="A216" s="388" t="s">
        <v>3508</v>
      </c>
      <c r="B216" s="390">
        <v>5</v>
      </c>
      <c r="C216" s="388">
        <v>9.5</v>
      </c>
      <c r="D216" s="388">
        <v>4.5</v>
      </c>
      <c r="E216" s="388">
        <v>4</v>
      </c>
      <c r="F216" s="388">
        <v>4</v>
      </c>
      <c r="G216" s="388">
        <v>1361.1</v>
      </c>
      <c r="H216" s="388">
        <v>5</v>
      </c>
      <c r="I216" s="388">
        <v>5</v>
      </c>
      <c r="J216" s="388">
        <v>1486.6</v>
      </c>
      <c r="K216" s="388">
        <v>5</v>
      </c>
      <c r="L216" s="388">
        <v>5</v>
      </c>
      <c r="M216" s="388">
        <v>1450.7</v>
      </c>
      <c r="N216">
        <f t="shared" si="3"/>
        <v>9.5</v>
      </c>
    </row>
    <row r="217" spans="1:14" x14ac:dyDescent="0.3">
      <c r="A217" s="388" t="s">
        <v>3509</v>
      </c>
      <c r="B217" s="390">
        <v>0</v>
      </c>
      <c r="C217" s="388">
        <v>0</v>
      </c>
      <c r="D217" s="388">
        <v>0</v>
      </c>
      <c r="E217" s="388">
        <v>0</v>
      </c>
      <c r="F217" s="388">
        <v>4</v>
      </c>
      <c r="G217" s="388">
        <v>1361.1</v>
      </c>
      <c r="H217" s="388">
        <v>0</v>
      </c>
      <c r="I217" s="388">
        <v>5</v>
      </c>
      <c r="J217" s="388">
        <v>1486.6</v>
      </c>
      <c r="K217" s="388">
        <v>0</v>
      </c>
      <c r="L217" s="388">
        <v>5</v>
      </c>
      <c r="M217" s="388">
        <v>1450.7</v>
      </c>
      <c r="N217">
        <f t="shared" si="3"/>
        <v>0</v>
      </c>
    </row>
    <row r="218" spans="1:14" x14ac:dyDescent="0.3">
      <c r="A218" s="388" t="s">
        <v>3510</v>
      </c>
      <c r="B218" s="390">
        <v>0.5</v>
      </c>
      <c r="C218" s="388">
        <v>1.5</v>
      </c>
      <c r="D218" s="388">
        <v>1</v>
      </c>
      <c r="E218" s="388">
        <v>0.4</v>
      </c>
      <c r="F218" s="388">
        <v>4.4000000000000004</v>
      </c>
      <c r="G218" s="388">
        <v>1361.5</v>
      </c>
      <c r="H218" s="388">
        <v>0.5</v>
      </c>
      <c r="I218" s="388">
        <v>5.5</v>
      </c>
      <c r="J218" s="388">
        <v>1487.1</v>
      </c>
      <c r="K218" s="388">
        <v>0.5</v>
      </c>
      <c r="L218" s="388">
        <v>5.5</v>
      </c>
      <c r="M218" s="388">
        <v>1451.2</v>
      </c>
      <c r="N218">
        <f t="shared" si="3"/>
        <v>1.5</v>
      </c>
    </row>
    <row r="219" spans="1:14" x14ac:dyDescent="0.3">
      <c r="A219" s="388" t="s">
        <v>3511</v>
      </c>
      <c r="B219" s="390">
        <v>1.5</v>
      </c>
      <c r="C219" s="388">
        <v>4.5</v>
      </c>
      <c r="D219" s="388">
        <v>2.5</v>
      </c>
      <c r="E219" s="388">
        <v>2.4</v>
      </c>
      <c r="F219" s="388">
        <v>6.8</v>
      </c>
      <c r="G219" s="388">
        <v>1363.9</v>
      </c>
      <c r="H219" s="388">
        <v>2.5</v>
      </c>
      <c r="I219" s="388">
        <v>8</v>
      </c>
      <c r="J219" s="388">
        <v>1489.6</v>
      </c>
      <c r="K219" s="388">
        <v>2</v>
      </c>
      <c r="L219" s="388">
        <v>7.5</v>
      </c>
      <c r="M219" s="388">
        <v>1453.2</v>
      </c>
      <c r="N219">
        <f t="shared" si="3"/>
        <v>4.5</v>
      </c>
    </row>
    <row r="220" spans="1:14" x14ac:dyDescent="0.3">
      <c r="A220" s="388" t="s">
        <v>3512</v>
      </c>
      <c r="B220" s="390">
        <v>6.5</v>
      </c>
      <c r="C220" s="388">
        <v>9</v>
      </c>
      <c r="D220" s="388">
        <v>5</v>
      </c>
      <c r="E220" s="388">
        <v>5</v>
      </c>
      <c r="F220" s="388">
        <v>11.8</v>
      </c>
      <c r="G220" s="388">
        <v>1368.9</v>
      </c>
      <c r="H220" s="388">
        <v>5.5</v>
      </c>
      <c r="I220" s="388">
        <v>13.5</v>
      </c>
      <c r="J220" s="388">
        <v>1495.1</v>
      </c>
      <c r="K220" s="388">
        <v>6</v>
      </c>
      <c r="L220" s="388">
        <v>13.5</v>
      </c>
      <c r="M220" s="388">
        <v>1459.2</v>
      </c>
      <c r="N220">
        <f t="shared" si="3"/>
        <v>9</v>
      </c>
    </row>
    <row r="221" spans="1:14" x14ac:dyDescent="0.3">
      <c r="A221" s="388" t="s">
        <v>3513</v>
      </c>
      <c r="B221" s="390">
        <v>0.5</v>
      </c>
      <c r="C221" s="388">
        <v>0.5</v>
      </c>
      <c r="D221" s="388">
        <v>0.5</v>
      </c>
      <c r="E221" s="388">
        <v>0.2</v>
      </c>
      <c r="F221" s="388">
        <v>12</v>
      </c>
      <c r="G221" s="388">
        <v>1369.1</v>
      </c>
      <c r="H221" s="388">
        <v>0.5</v>
      </c>
      <c r="I221" s="388">
        <v>14</v>
      </c>
      <c r="J221" s="388">
        <v>1495.6</v>
      </c>
      <c r="K221" s="388">
        <v>0.5</v>
      </c>
      <c r="L221" s="388">
        <v>14</v>
      </c>
      <c r="M221" s="388">
        <v>1459.7</v>
      </c>
      <c r="N221">
        <f t="shared" si="3"/>
        <v>0.5</v>
      </c>
    </row>
    <row r="222" spans="1:14" x14ac:dyDescent="0.3">
      <c r="A222" s="388" t="s">
        <v>3514</v>
      </c>
      <c r="B222" s="390">
        <v>0</v>
      </c>
      <c r="C222" s="388">
        <v>0</v>
      </c>
      <c r="D222" s="388">
        <v>0</v>
      </c>
      <c r="E222" s="388">
        <v>0</v>
      </c>
      <c r="F222" s="388">
        <v>12</v>
      </c>
      <c r="G222" s="388">
        <v>1369.1</v>
      </c>
      <c r="H222" s="388">
        <v>0</v>
      </c>
      <c r="I222" s="388">
        <v>14</v>
      </c>
      <c r="J222" s="388">
        <v>1495.6</v>
      </c>
      <c r="K222" s="388">
        <v>0</v>
      </c>
      <c r="L222" s="388">
        <v>14</v>
      </c>
      <c r="M222" s="388">
        <v>1459.7</v>
      </c>
      <c r="N222">
        <f t="shared" si="3"/>
        <v>0</v>
      </c>
    </row>
    <row r="223" spans="1:14" x14ac:dyDescent="0.3">
      <c r="A223" s="388" t="s">
        <v>3515</v>
      </c>
      <c r="B223" s="390">
        <v>0</v>
      </c>
      <c r="C223" s="388">
        <v>0</v>
      </c>
      <c r="D223" s="388">
        <v>0</v>
      </c>
      <c r="E223" s="388">
        <v>0</v>
      </c>
      <c r="F223" s="388">
        <v>12</v>
      </c>
      <c r="G223" s="388">
        <v>1369.1</v>
      </c>
      <c r="H223" s="388">
        <v>0</v>
      </c>
      <c r="I223" s="388">
        <v>14</v>
      </c>
      <c r="J223" s="388">
        <v>1495.6</v>
      </c>
      <c r="K223" s="388">
        <v>0</v>
      </c>
      <c r="L223" s="388">
        <v>14</v>
      </c>
      <c r="M223" s="388">
        <v>1459.7</v>
      </c>
      <c r="N223">
        <f t="shared" si="3"/>
        <v>0</v>
      </c>
    </row>
    <row r="224" spans="1:14" x14ac:dyDescent="0.3">
      <c r="A224" s="388" t="s">
        <v>3516</v>
      </c>
      <c r="B224" s="390">
        <v>0</v>
      </c>
      <c r="C224" s="388">
        <v>0</v>
      </c>
      <c r="D224" s="388">
        <v>0</v>
      </c>
      <c r="E224" s="388">
        <v>0</v>
      </c>
      <c r="F224" s="388">
        <v>12</v>
      </c>
      <c r="G224" s="388">
        <v>1369.1</v>
      </c>
      <c r="H224" s="388">
        <v>0</v>
      </c>
      <c r="I224" s="388">
        <v>14</v>
      </c>
      <c r="J224" s="388">
        <v>1495.6</v>
      </c>
      <c r="K224" s="388">
        <v>0</v>
      </c>
      <c r="L224" s="388">
        <v>14</v>
      </c>
      <c r="M224" s="388">
        <v>1459.7</v>
      </c>
      <c r="N224">
        <f t="shared" si="3"/>
        <v>0</v>
      </c>
    </row>
    <row r="225" spans="1:14" x14ac:dyDescent="0.3">
      <c r="A225" s="388" t="s">
        <v>3517</v>
      </c>
      <c r="B225" s="390">
        <v>0</v>
      </c>
      <c r="C225" s="388">
        <v>0</v>
      </c>
      <c r="D225" s="388">
        <v>0</v>
      </c>
      <c r="E225" s="388">
        <v>0</v>
      </c>
      <c r="F225" s="388">
        <v>12</v>
      </c>
      <c r="G225" s="388">
        <v>1369.1</v>
      </c>
      <c r="H225" s="388">
        <v>0</v>
      </c>
      <c r="I225" s="388">
        <v>14</v>
      </c>
      <c r="J225" s="388">
        <v>1495.6</v>
      </c>
      <c r="K225" s="388">
        <v>0</v>
      </c>
      <c r="L225" s="388">
        <v>14</v>
      </c>
      <c r="M225" s="388">
        <v>1459.7</v>
      </c>
      <c r="N225">
        <f t="shared" si="3"/>
        <v>0</v>
      </c>
    </row>
    <row r="226" spans="1:14" x14ac:dyDescent="0.3">
      <c r="A226" s="388" t="s">
        <v>3518</v>
      </c>
      <c r="B226" s="390">
        <v>0</v>
      </c>
      <c r="C226" s="388">
        <v>0</v>
      </c>
      <c r="D226" s="388">
        <v>0</v>
      </c>
      <c r="E226" s="388">
        <v>0</v>
      </c>
      <c r="F226" s="388">
        <v>12</v>
      </c>
      <c r="G226" s="388">
        <v>1369.1</v>
      </c>
      <c r="H226" s="388">
        <v>0</v>
      </c>
      <c r="I226" s="388">
        <v>14</v>
      </c>
      <c r="J226" s="388">
        <v>1495.6</v>
      </c>
      <c r="K226" s="388">
        <v>0</v>
      </c>
      <c r="L226" s="388">
        <v>14</v>
      </c>
      <c r="M226" s="388">
        <v>1459.7</v>
      </c>
      <c r="N226">
        <f t="shared" si="3"/>
        <v>0</v>
      </c>
    </row>
    <row r="227" spans="1:14" x14ac:dyDescent="0.3">
      <c r="A227" s="388" t="s">
        <v>3519</v>
      </c>
      <c r="B227" s="390">
        <v>0</v>
      </c>
      <c r="C227" s="388">
        <v>0</v>
      </c>
      <c r="D227" s="388">
        <v>0</v>
      </c>
      <c r="E227" s="388">
        <v>0</v>
      </c>
      <c r="F227" s="388">
        <v>12</v>
      </c>
      <c r="G227" s="388">
        <v>1369.1</v>
      </c>
      <c r="H227" s="388">
        <v>0</v>
      </c>
      <c r="I227" s="388">
        <v>14</v>
      </c>
      <c r="J227" s="388">
        <v>1495.6</v>
      </c>
      <c r="K227" s="388">
        <v>0</v>
      </c>
      <c r="L227" s="388">
        <v>14</v>
      </c>
      <c r="M227" s="388">
        <v>1459.7</v>
      </c>
      <c r="N227">
        <f t="shared" si="3"/>
        <v>0</v>
      </c>
    </row>
    <row r="228" spans="1:14" x14ac:dyDescent="0.3">
      <c r="A228" s="388" t="s">
        <v>3520</v>
      </c>
      <c r="B228" s="390">
        <v>0</v>
      </c>
      <c r="C228" s="388">
        <v>0</v>
      </c>
      <c r="D228" s="388">
        <v>0</v>
      </c>
      <c r="E228" s="388">
        <v>0</v>
      </c>
      <c r="F228" s="388">
        <v>12</v>
      </c>
      <c r="G228" s="388">
        <v>1369.1</v>
      </c>
      <c r="H228" s="388">
        <v>0</v>
      </c>
      <c r="I228" s="388">
        <v>14</v>
      </c>
      <c r="J228" s="388">
        <v>1495.6</v>
      </c>
      <c r="K228" s="388">
        <v>0</v>
      </c>
      <c r="L228" s="388">
        <v>14</v>
      </c>
      <c r="M228" s="388">
        <v>1459.7</v>
      </c>
      <c r="N228">
        <f t="shared" si="3"/>
        <v>0</v>
      </c>
    </row>
    <row r="229" spans="1:14" x14ac:dyDescent="0.3">
      <c r="A229" s="388" t="s">
        <v>3521</v>
      </c>
      <c r="B229" s="390">
        <v>0</v>
      </c>
      <c r="C229" s="388">
        <v>0</v>
      </c>
      <c r="D229" s="388">
        <v>0</v>
      </c>
      <c r="E229" s="388">
        <v>0</v>
      </c>
      <c r="F229" s="388">
        <v>12</v>
      </c>
      <c r="G229" s="388">
        <v>1369.1</v>
      </c>
      <c r="H229" s="388">
        <v>0</v>
      </c>
      <c r="I229" s="388">
        <v>14</v>
      </c>
      <c r="J229" s="388">
        <v>1495.6</v>
      </c>
      <c r="K229" s="388">
        <v>0</v>
      </c>
      <c r="L229" s="388">
        <v>14</v>
      </c>
      <c r="M229" s="388">
        <v>1459.7</v>
      </c>
      <c r="N229">
        <f t="shared" si="3"/>
        <v>0</v>
      </c>
    </row>
    <row r="230" spans="1:14" x14ac:dyDescent="0.3">
      <c r="A230" s="388" t="s">
        <v>3522</v>
      </c>
      <c r="B230" s="390">
        <v>0</v>
      </c>
      <c r="C230" s="388">
        <v>0</v>
      </c>
      <c r="D230" s="388">
        <v>0</v>
      </c>
      <c r="E230" s="388">
        <v>0</v>
      </c>
      <c r="F230" s="388">
        <v>12</v>
      </c>
      <c r="G230" s="388">
        <v>1369.1</v>
      </c>
      <c r="H230" s="388">
        <v>0</v>
      </c>
      <c r="I230" s="388">
        <v>14</v>
      </c>
      <c r="J230" s="388">
        <v>1495.6</v>
      </c>
      <c r="K230" s="388">
        <v>0</v>
      </c>
      <c r="L230" s="388">
        <v>14</v>
      </c>
      <c r="M230" s="388">
        <v>1459.7</v>
      </c>
      <c r="N230">
        <f t="shared" si="3"/>
        <v>0</v>
      </c>
    </row>
    <row r="231" spans="1:14" x14ac:dyDescent="0.3">
      <c r="A231" s="388" t="s">
        <v>3523</v>
      </c>
      <c r="B231" s="390">
        <v>0</v>
      </c>
      <c r="C231" s="388">
        <v>0</v>
      </c>
      <c r="D231" s="388">
        <v>0</v>
      </c>
      <c r="E231" s="388">
        <v>0</v>
      </c>
      <c r="F231" s="388">
        <v>12</v>
      </c>
      <c r="G231" s="388">
        <v>1369.1</v>
      </c>
      <c r="H231" s="388">
        <v>0</v>
      </c>
      <c r="I231" s="388">
        <v>14</v>
      </c>
      <c r="J231" s="388">
        <v>1495.6</v>
      </c>
      <c r="K231" s="388">
        <v>0</v>
      </c>
      <c r="L231" s="388">
        <v>14</v>
      </c>
      <c r="M231" s="388">
        <v>1459.7</v>
      </c>
      <c r="N231">
        <f t="shared" si="3"/>
        <v>0</v>
      </c>
    </row>
    <row r="232" spans="1:14" x14ac:dyDescent="0.3">
      <c r="A232" s="388" t="s">
        <v>3524</v>
      </c>
      <c r="B232" s="390">
        <v>0</v>
      </c>
      <c r="C232" s="388">
        <v>0</v>
      </c>
      <c r="D232" s="388">
        <v>0</v>
      </c>
      <c r="E232" s="388">
        <v>0</v>
      </c>
      <c r="F232" s="388">
        <v>12</v>
      </c>
      <c r="G232" s="388">
        <v>1369.1</v>
      </c>
      <c r="H232" s="388">
        <v>0</v>
      </c>
      <c r="I232" s="388">
        <v>14</v>
      </c>
      <c r="J232" s="388">
        <v>1495.6</v>
      </c>
      <c r="K232" s="388">
        <v>0</v>
      </c>
      <c r="L232" s="388">
        <v>14</v>
      </c>
      <c r="M232" s="388">
        <v>1459.7</v>
      </c>
      <c r="N232">
        <f t="shared" si="3"/>
        <v>0</v>
      </c>
    </row>
    <row r="233" spans="1:14" x14ac:dyDescent="0.3">
      <c r="A233" s="388" t="s">
        <v>3525</v>
      </c>
      <c r="B233" s="390">
        <v>0</v>
      </c>
      <c r="C233" s="388">
        <v>0</v>
      </c>
      <c r="D233" s="388">
        <v>0</v>
      </c>
      <c r="E233" s="388">
        <v>0</v>
      </c>
      <c r="F233" s="388">
        <v>12</v>
      </c>
      <c r="G233" s="388">
        <v>1369.1</v>
      </c>
      <c r="H233" s="388">
        <v>0</v>
      </c>
      <c r="I233" s="388">
        <v>14</v>
      </c>
      <c r="J233" s="388">
        <v>1495.6</v>
      </c>
      <c r="K233" s="388">
        <v>0</v>
      </c>
      <c r="L233" s="388">
        <v>14</v>
      </c>
      <c r="M233" s="388">
        <v>1459.7</v>
      </c>
      <c r="N233">
        <f t="shared" si="3"/>
        <v>0</v>
      </c>
    </row>
    <row r="234" spans="1:14" x14ac:dyDescent="0.3">
      <c r="A234" s="388" t="s">
        <v>3526</v>
      </c>
      <c r="B234" s="390">
        <v>0.5</v>
      </c>
      <c r="C234" s="388">
        <v>1.5</v>
      </c>
      <c r="D234" s="388">
        <v>1</v>
      </c>
      <c r="E234" s="388">
        <v>0</v>
      </c>
      <c r="F234" s="388">
        <v>12</v>
      </c>
      <c r="G234" s="388">
        <v>1369.1</v>
      </c>
      <c r="H234" s="388">
        <v>0.5</v>
      </c>
      <c r="I234" s="388">
        <v>14.5</v>
      </c>
      <c r="J234" s="388">
        <v>1496.1</v>
      </c>
      <c r="K234" s="388">
        <v>0.5</v>
      </c>
      <c r="L234" s="388">
        <v>14.5</v>
      </c>
      <c r="M234" s="388">
        <v>1460.2</v>
      </c>
      <c r="N234">
        <f t="shared" si="3"/>
        <v>1.5</v>
      </c>
    </row>
    <row r="235" spans="1:14" x14ac:dyDescent="0.3">
      <c r="A235" s="388" t="s">
        <v>3527</v>
      </c>
      <c r="B235" s="390">
        <v>0</v>
      </c>
      <c r="C235" s="388">
        <v>0</v>
      </c>
      <c r="D235" s="388">
        <v>0</v>
      </c>
      <c r="E235" s="388">
        <v>0</v>
      </c>
      <c r="F235" s="388">
        <v>12</v>
      </c>
      <c r="G235" s="388">
        <v>1369.1</v>
      </c>
      <c r="H235" s="388">
        <v>0</v>
      </c>
      <c r="I235" s="388">
        <v>14.5</v>
      </c>
      <c r="J235" s="388">
        <v>1496.1</v>
      </c>
      <c r="K235" s="388">
        <v>0</v>
      </c>
      <c r="L235" s="388">
        <v>14.5</v>
      </c>
      <c r="M235" s="388">
        <v>1460.2</v>
      </c>
      <c r="N235">
        <f t="shared" si="3"/>
        <v>0</v>
      </c>
    </row>
    <row r="236" spans="1:14" x14ac:dyDescent="0.3">
      <c r="A236" s="388" t="s">
        <v>3528</v>
      </c>
      <c r="B236" s="390">
        <v>0</v>
      </c>
      <c r="C236" s="388">
        <v>0</v>
      </c>
      <c r="D236" s="388">
        <v>0</v>
      </c>
      <c r="E236" s="388">
        <v>0</v>
      </c>
      <c r="F236" s="388">
        <v>12</v>
      </c>
      <c r="G236" s="388">
        <v>1369.1</v>
      </c>
      <c r="H236" s="388">
        <v>0</v>
      </c>
      <c r="I236" s="388">
        <v>14.5</v>
      </c>
      <c r="J236" s="388">
        <v>1496.1</v>
      </c>
      <c r="K236" s="388">
        <v>0</v>
      </c>
      <c r="L236" s="388">
        <v>14.5</v>
      </c>
      <c r="M236" s="388">
        <v>1460.2</v>
      </c>
      <c r="N236">
        <f t="shared" si="3"/>
        <v>0</v>
      </c>
    </row>
    <row r="237" spans="1:14" x14ac:dyDescent="0.3">
      <c r="A237" s="388" t="s">
        <v>3529</v>
      </c>
      <c r="B237" s="390">
        <v>0</v>
      </c>
      <c r="C237" s="388">
        <v>0</v>
      </c>
      <c r="D237" s="388">
        <v>0</v>
      </c>
      <c r="E237" s="388">
        <v>0</v>
      </c>
      <c r="F237" s="388">
        <v>12</v>
      </c>
      <c r="G237" s="388">
        <v>1369.1</v>
      </c>
      <c r="H237" s="388">
        <v>0</v>
      </c>
      <c r="I237" s="388">
        <v>14.5</v>
      </c>
      <c r="J237" s="388">
        <v>1496.1</v>
      </c>
      <c r="K237" s="388">
        <v>0</v>
      </c>
      <c r="L237" s="388">
        <v>14.5</v>
      </c>
      <c r="M237" s="388">
        <v>1460.2</v>
      </c>
      <c r="N237">
        <f t="shared" si="3"/>
        <v>0</v>
      </c>
    </row>
    <row r="238" spans="1:14" x14ac:dyDescent="0.3">
      <c r="A238" s="388" t="s">
        <v>3530</v>
      </c>
      <c r="B238" s="390">
        <v>0</v>
      </c>
      <c r="C238" s="388">
        <v>0</v>
      </c>
      <c r="D238" s="388">
        <v>0</v>
      </c>
      <c r="E238" s="388">
        <v>0</v>
      </c>
      <c r="F238" s="388">
        <v>12</v>
      </c>
      <c r="G238" s="388">
        <v>1369.1</v>
      </c>
      <c r="H238" s="388">
        <v>0</v>
      </c>
      <c r="I238" s="388">
        <v>14.5</v>
      </c>
      <c r="J238" s="388">
        <v>1496.1</v>
      </c>
      <c r="K238" s="388">
        <v>0</v>
      </c>
      <c r="L238" s="388">
        <v>14.5</v>
      </c>
      <c r="M238" s="388">
        <v>1460.2</v>
      </c>
      <c r="N238">
        <f t="shared" si="3"/>
        <v>0</v>
      </c>
    </row>
    <row r="239" spans="1:14" x14ac:dyDescent="0.3">
      <c r="A239" s="388" t="s">
        <v>3531</v>
      </c>
      <c r="B239" s="390">
        <v>0</v>
      </c>
      <c r="C239" s="388">
        <v>0</v>
      </c>
      <c r="D239" s="388">
        <v>0</v>
      </c>
      <c r="E239" s="388">
        <v>0</v>
      </c>
      <c r="F239" s="388">
        <v>12</v>
      </c>
      <c r="G239" s="388">
        <v>1369.1</v>
      </c>
      <c r="H239" s="388">
        <v>0</v>
      </c>
      <c r="I239" s="388">
        <v>14.5</v>
      </c>
      <c r="J239" s="388">
        <v>1496.1</v>
      </c>
      <c r="K239" s="388">
        <v>0</v>
      </c>
      <c r="L239" s="388">
        <v>14.5</v>
      </c>
      <c r="M239" s="388">
        <v>1460.2</v>
      </c>
      <c r="N239">
        <f t="shared" si="3"/>
        <v>0</v>
      </c>
    </row>
    <row r="240" spans="1:14" x14ac:dyDescent="0.3">
      <c r="A240" s="388" t="s">
        <v>3532</v>
      </c>
      <c r="B240" s="390">
        <v>0</v>
      </c>
      <c r="C240" s="388">
        <v>0</v>
      </c>
      <c r="D240" s="388">
        <v>0</v>
      </c>
      <c r="E240" s="388">
        <v>0</v>
      </c>
      <c r="F240" s="388">
        <v>12</v>
      </c>
      <c r="G240" s="388">
        <v>1369.1</v>
      </c>
      <c r="H240" s="388">
        <v>0</v>
      </c>
      <c r="I240" s="388">
        <v>14.5</v>
      </c>
      <c r="J240" s="388">
        <v>1496.1</v>
      </c>
      <c r="K240" s="388">
        <v>0</v>
      </c>
      <c r="L240" s="388">
        <v>14.5</v>
      </c>
      <c r="M240" s="388">
        <v>1460.2</v>
      </c>
      <c r="N240">
        <f t="shared" si="3"/>
        <v>0</v>
      </c>
    </row>
    <row r="241" spans="1:14" x14ac:dyDescent="0.3">
      <c r="A241" s="388" t="s">
        <v>3533</v>
      </c>
      <c r="B241" s="390">
        <v>0</v>
      </c>
      <c r="C241" s="388">
        <v>0</v>
      </c>
      <c r="D241" s="388">
        <v>0</v>
      </c>
      <c r="E241" s="388">
        <v>0</v>
      </c>
      <c r="F241" s="388">
        <v>12</v>
      </c>
      <c r="G241" s="388">
        <v>1369.1</v>
      </c>
      <c r="H241" s="388">
        <v>0</v>
      </c>
      <c r="I241" s="388">
        <v>14.5</v>
      </c>
      <c r="J241" s="388">
        <v>1496.1</v>
      </c>
      <c r="K241" s="388">
        <v>0</v>
      </c>
      <c r="L241" s="388">
        <v>14.5</v>
      </c>
      <c r="M241" s="388">
        <v>1460.2</v>
      </c>
      <c r="N241">
        <f t="shared" si="3"/>
        <v>0</v>
      </c>
    </row>
    <row r="242" spans="1:14" x14ac:dyDescent="0.3">
      <c r="A242" s="388" t="s">
        <v>3534</v>
      </c>
      <c r="B242" s="390">
        <v>0</v>
      </c>
      <c r="C242" s="388">
        <v>0</v>
      </c>
      <c r="D242" s="388">
        <v>0</v>
      </c>
      <c r="E242" s="388">
        <v>0</v>
      </c>
      <c r="F242" s="388">
        <v>12</v>
      </c>
      <c r="G242" s="388">
        <v>1369.1</v>
      </c>
      <c r="H242" s="388">
        <v>0</v>
      </c>
      <c r="I242" s="388">
        <v>14.5</v>
      </c>
      <c r="J242" s="388">
        <v>1496.1</v>
      </c>
      <c r="K242" s="388">
        <v>0</v>
      </c>
      <c r="L242" s="388">
        <v>14.5</v>
      </c>
      <c r="M242" s="388">
        <v>1460.2</v>
      </c>
      <c r="N242">
        <f t="shared" si="3"/>
        <v>0</v>
      </c>
    </row>
    <row r="243" spans="1:14" x14ac:dyDescent="0.3">
      <c r="A243" s="388" t="s">
        <v>3535</v>
      </c>
      <c r="B243" s="390">
        <v>2</v>
      </c>
      <c r="C243" s="388">
        <v>5.5</v>
      </c>
      <c r="D243" s="388">
        <v>2</v>
      </c>
      <c r="E243" s="388">
        <v>0</v>
      </c>
      <c r="F243" s="388">
        <v>12</v>
      </c>
      <c r="G243" s="388">
        <v>1369.1</v>
      </c>
      <c r="H243" s="388">
        <v>3.5</v>
      </c>
      <c r="I243" s="388">
        <v>18</v>
      </c>
      <c r="J243" s="388">
        <v>1499.6</v>
      </c>
      <c r="K243" s="388">
        <v>3</v>
      </c>
      <c r="L243" s="388">
        <v>17.5</v>
      </c>
      <c r="M243" s="388">
        <v>1463.2</v>
      </c>
      <c r="N243">
        <f t="shared" si="3"/>
        <v>5.5</v>
      </c>
    </row>
    <row r="244" spans="1:14" x14ac:dyDescent="0.3">
      <c r="A244" s="388" t="s">
        <v>3536</v>
      </c>
      <c r="B244" s="390">
        <v>1</v>
      </c>
      <c r="C244" s="388">
        <v>3</v>
      </c>
      <c r="D244" s="388">
        <v>1</v>
      </c>
      <c r="E244" s="388">
        <v>1.4</v>
      </c>
      <c r="F244" s="388">
        <v>13.4</v>
      </c>
      <c r="G244" s="388">
        <v>1370.5</v>
      </c>
      <c r="H244" s="388">
        <v>1.5</v>
      </c>
      <c r="I244" s="388">
        <v>19.5</v>
      </c>
      <c r="J244" s="388">
        <v>1501.1</v>
      </c>
      <c r="K244" s="388">
        <v>1.5</v>
      </c>
      <c r="L244" s="388">
        <v>19</v>
      </c>
      <c r="M244" s="388">
        <v>1464.7</v>
      </c>
      <c r="N244">
        <f t="shared" si="3"/>
        <v>3</v>
      </c>
    </row>
    <row r="245" spans="1:14" x14ac:dyDescent="0.3">
      <c r="A245" s="388" t="s">
        <v>3537</v>
      </c>
      <c r="B245" s="390">
        <v>0</v>
      </c>
      <c r="C245" s="388">
        <v>0</v>
      </c>
      <c r="D245" s="388">
        <v>0</v>
      </c>
      <c r="E245" s="388">
        <v>0</v>
      </c>
      <c r="F245" s="388">
        <v>13.4</v>
      </c>
      <c r="G245" s="388">
        <v>1370.5</v>
      </c>
      <c r="H245" s="388">
        <v>0</v>
      </c>
      <c r="I245" s="388">
        <v>19.5</v>
      </c>
      <c r="J245" s="388">
        <v>1501.1</v>
      </c>
      <c r="K245" s="388">
        <v>0</v>
      </c>
      <c r="L245" s="388">
        <v>19</v>
      </c>
      <c r="M245" s="388">
        <v>1464.7</v>
      </c>
      <c r="N245">
        <f t="shared" si="3"/>
        <v>0</v>
      </c>
    </row>
    <row r="246" spans="1:14" s="338" customFormat="1" x14ac:dyDescent="0.3">
      <c r="A246" s="392" t="s">
        <v>3538</v>
      </c>
      <c r="B246" s="393">
        <v>0</v>
      </c>
      <c r="C246" s="392">
        <v>0</v>
      </c>
      <c r="D246" s="392">
        <v>0</v>
      </c>
      <c r="E246" s="392">
        <v>0</v>
      </c>
      <c r="F246" s="392">
        <v>13.4</v>
      </c>
      <c r="G246" s="392">
        <v>1370.5</v>
      </c>
      <c r="H246" s="392">
        <v>0</v>
      </c>
      <c r="I246" s="392">
        <v>19.5</v>
      </c>
      <c r="J246" s="392">
        <v>1501.1</v>
      </c>
      <c r="K246" s="392">
        <v>0</v>
      </c>
      <c r="L246" s="392">
        <v>19</v>
      </c>
      <c r="M246" s="392">
        <v>1464.7</v>
      </c>
      <c r="N246">
        <f t="shared" si="3"/>
        <v>0</v>
      </c>
    </row>
    <row r="247" spans="1:14" x14ac:dyDescent="0.3">
      <c r="A247" s="388" t="s">
        <v>3539</v>
      </c>
      <c r="B247" s="390">
        <v>0</v>
      </c>
      <c r="C247" s="388">
        <v>0</v>
      </c>
      <c r="D247" s="388">
        <v>0</v>
      </c>
      <c r="E247" s="388">
        <v>0</v>
      </c>
      <c r="F247" s="388">
        <v>0</v>
      </c>
      <c r="G247" s="388">
        <v>1370.5</v>
      </c>
      <c r="H247" s="388">
        <v>0</v>
      </c>
      <c r="I247" s="388">
        <v>0</v>
      </c>
      <c r="J247" s="388">
        <v>1501.1</v>
      </c>
      <c r="K247" s="388">
        <v>0</v>
      </c>
      <c r="L247" s="388">
        <v>0</v>
      </c>
      <c r="M247" s="388">
        <v>1464.7</v>
      </c>
      <c r="N247">
        <f t="shared" si="3"/>
        <v>0</v>
      </c>
    </row>
    <row r="248" spans="1:14" x14ac:dyDescent="0.3">
      <c r="A248" s="388" t="s">
        <v>3540</v>
      </c>
      <c r="B248" s="390">
        <v>0</v>
      </c>
      <c r="C248" s="388">
        <v>0</v>
      </c>
      <c r="D248" s="388">
        <v>0</v>
      </c>
      <c r="E248" s="388">
        <v>0</v>
      </c>
      <c r="F248" s="388">
        <v>0</v>
      </c>
      <c r="G248" s="388">
        <v>1370.5</v>
      </c>
      <c r="H248" s="388">
        <v>0</v>
      </c>
      <c r="I248" s="388">
        <v>0</v>
      </c>
      <c r="J248" s="388">
        <v>1501.1</v>
      </c>
      <c r="K248" s="388">
        <v>0</v>
      </c>
      <c r="L248" s="388">
        <v>0</v>
      </c>
      <c r="M248" s="388">
        <v>1464.7</v>
      </c>
      <c r="N248">
        <f t="shared" si="3"/>
        <v>0</v>
      </c>
    </row>
    <row r="249" spans="1:14" x14ac:dyDescent="0.3">
      <c r="A249" s="388" t="s">
        <v>3541</v>
      </c>
      <c r="B249" s="390">
        <v>0</v>
      </c>
      <c r="C249" s="388">
        <v>0</v>
      </c>
      <c r="D249" s="388">
        <v>0</v>
      </c>
      <c r="E249" s="388">
        <v>0</v>
      </c>
      <c r="F249" s="388">
        <v>0</v>
      </c>
      <c r="G249" s="388">
        <v>1370.5</v>
      </c>
      <c r="H249" s="388">
        <v>0</v>
      </c>
      <c r="I249" s="388">
        <v>0</v>
      </c>
      <c r="J249" s="388">
        <v>1501.1</v>
      </c>
      <c r="K249" s="388">
        <v>0</v>
      </c>
      <c r="L249" s="388">
        <v>0</v>
      </c>
      <c r="M249" s="388">
        <v>1464.7</v>
      </c>
      <c r="N249">
        <f t="shared" si="3"/>
        <v>0</v>
      </c>
    </row>
    <row r="250" spans="1:14" x14ac:dyDescent="0.3">
      <c r="A250" s="388" t="s">
        <v>3542</v>
      </c>
      <c r="B250" s="390">
        <v>0</v>
      </c>
      <c r="C250" s="388">
        <v>0</v>
      </c>
      <c r="D250" s="388">
        <v>0</v>
      </c>
      <c r="E250" s="388">
        <v>0</v>
      </c>
      <c r="F250" s="388">
        <v>0</v>
      </c>
      <c r="G250" s="388">
        <v>1370.5</v>
      </c>
      <c r="H250" s="388">
        <v>0</v>
      </c>
      <c r="I250" s="388">
        <v>0</v>
      </c>
      <c r="J250" s="388">
        <v>1501.1</v>
      </c>
      <c r="K250" s="388">
        <v>0</v>
      </c>
      <c r="L250" s="388">
        <v>0</v>
      </c>
      <c r="M250" s="388">
        <v>1464.7</v>
      </c>
      <c r="N250">
        <f t="shared" si="3"/>
        <v>0</v>
      </c>
    </row>
    <row r="251" spans="1:14" x14ac:dyDescent="0.3">
      <c r="A251" s="388" t="s">
        <v>3543</v>
      </c>
      <c r="B251" s="390">
        <v>0</v>
      </c>
      <c r="C251" s="388">
        <v>0</v>
      </c>
      <c r="D251" s="388">
        <v>0</v>
      </c>
      <c r="E251" s="388">
        <v>0</v>
      </c>
      <c r="F251" s="388">
        <v>0</v>
      </c>
      <c r="G251" s="388">
        <v>1370.5</v>
      </c>
      <c r="H251" s="388">
        <v>0</v>
      </c>
      <c r="I251" s="388">
        <v>0</v>
      </c>
      <c r="J251" s="388">
        <v>1501.1</v>
      </c>
      <c r="K251" s="388">
        <v>0</v>
      </c>
      <c r="L251" s="388">
        <v>0</v>
      </c>
      <c r="M251" s="388">
        <v>1464.7</v>
      </c>
      <c r="N251">
        <f t="shared" si="3"/>
        <v>0</v>
      </c>
    </row>
    <row r="252" spans="1:14" x14ac:dyDescent="0.3">
      <c r="A252" s="388" t="s">
        <v>3544</v>
      </c>
      <c r="B252" s="390">
        <v>0</v>
      </c>
      <c r="C252" s="388">
        <v>0</v>
      </c>
      <c r="D252" s="388">
        <v>0</v>
      </c>
      <c r="E252" s="388">
        <v>0</v>
      </c>
      <c r="F252" s="388">
        <v>0</v>
      </c>
      <c r="G252" s="388">
        <v>1370.5</v>
      </c>
      <c r="H252" s="388">
        <v>0</v>
      </c>
      <c r="I252" s="388">
        <v>0</v>
      </c>
      <c r="J252" s="388">
        <v>1501.1</v>
      </c>
      <c r="K252" s="388">
        <v>0</v>
      </c>
      <c r="L252" s="388">
        <v>0</v>
      </c>
      <c r="M252" s="388">
        <v>1464.7</v>
      </c>
      <c r="N252">
        <f t="shared" si="3"/>
        <v>0</v>
      </c>
    </row>
    <row r="253" spans="1:14" x14ac:dyDescent="0.3">
      <c r="A253" s="388" t="s">
        <v>3545</v>
      </c>
      <c r="B253" s="390">
        <v>0</v>
      </c>
      <c r="C253" s="388">
        <v>0</v>
      </c>
      <c r="D253" s="388">
        <v>0</v>
      </c>
      <c r="E253" s="388">
        <v>0</v>
      </c>
      <c r="F253" s="388">
        <v>0</v>
      </c>
      <c r="G253" s="388">
        <v>1370.5</v>
      </c>
      <c r="H253" s="388">
        <v>0</v>
      </c>
      <c r="I253" s="388">
        <v>0</v>
      </c>
      <c r="J253" s="388">
        <v>1501.1</v>
      </c>
      <c r="K253" s="388">
        <v>0</v>
      </c>
      <c r="L253" s="388">
        <v>0</v>
      </c>
      <c r="M253" s="388">
        <v>1464.7</v>
      </c>
      <c r="N253">
        <f t="shared" si="3"/>
        <v>0</v>
      </c>
    </row>
    <row r="254" spans="1:14" x14ac:dyDescent="0.3">
      <c r="A254" s="388" t="s">
        <v>3546</v>
      </c>
      <c r="B254" s="390">
        <v>0</v>
      </c>
      <c r="C254" s="388">
        <v>0</v>
      </c>
      <c r="D254" s="388">
        <v>0</v>
      </c>
      <c r="E254" s="388">
        <v>0</v>
      </c>
      <c r="F254" s="388">
        <v>0</v>
      </c>
      <c r="G254" s="388">
        <v>1370.5</v>
      </c>
      <c r="H254" s="388">
        <v>0</v>
      </c>
      <c r="I254" s="388">
        <v>0</v>
      </c>
      <c r="J254" s="388">
        <v>1501.1</v>
      </c>
      <c r="K254" s="388">
        <v>0</v>
      </c>
      <c r="L254" s="388">
        <v>0</v>
      </c>
      <c r="M254" s="388">
        <v>1464.7</v>
      </c>
      <c r="N254">
        <f t="shared" si="3"/>
        <v>0</v>
      </c>
    </row>
    <row r="255" spans="1:14" x14ac:dyDescent="0.3">
      <c r="A255" s="388" t="s">
        <v>3547</v>
      </c>
      <c r="B255" s="390">
        <v>0</v>
      </c>
      <c r="C255" s="388">
        <v>0</v>
      </c>
      <c r="D255" s="388">
        <v>0</v>
      </c>
      <c r="E255" s="388">
        <v>0</v>
      </c>
      <c r="F255" s="388">
        <v>0</v>
      </c>
      <c r="G255" s="388">
        <v>1370.5</v>
      </c>
      <c r="H255" s="388">
        <v>0</v>
      </c>
      <c r="I255" s="388">
        <v>0</v>
      </c>
      <c r="J255" s="388">
        <v>1501.1</v>
      </c>
      <c r="K255" s="388">
        <v>0</v>
      </c>
      <c r="L255" s="388">
        <v>0</v>
      </c>
      <c r="M255" s="388">
        <v>1464.7</v>
      </c>
      <c r="N255">
        <f t="shared" si="3"/>
        <v>0</v>
      </c>
    </row>
    <row r="256" spans="1:14" x14ac:dyDescent="0.3">
      <c r="A256" s="388" t="s">
        <v>3548</v>
      </c>
      <c r="B256" s="390">
        <v>0</v>
      </c>
      <c r="C256" s="388">
        <v>0</v>
      </c>
      <c r="D256" s="388">
        <v>0</v>
      </c>
      <c r="E256" s="388">
        <v>0</v>
      </c>
      <c r="F256" s="388">
        <v>0</v>
      </c>
      <c r="G256" s="388">
        <v>1370.5</v>
      </c>
      <c r="H256" s="388">
        <v>0</v>
      </c>
      <c r="I256" s="388">
        <v>0</v>
      </c>
      <c r="J256" s="388">
        <v>1501.1</v>
      </c>
      <c r="K256" s="388">
        <v>0</v>
      </c>
      <c r="L256" s="388">
        <v>0</v>
      </c>
      <c r="M256" s="388">
        <v>1464.7</v>
      </c>
      <c r="N256">
        <f t="shared" si="3"/>
        <v>0</v>
      </c>
    </row>
    <row r="257" spans="1:14" x14ac:dyDescent="0.3">
      <c r="A257" s="388" t="s">
        <v>3549</v>
      </c>
      <c r="B257" s="390">
        <v>0</v>
      </c>
      <c r="C257" s="388">
        <v>0.5</v>
      </c>
      <c r="D257" s="388">
        <v>0</v>
      </c>
      <c r="E257" s="388">
        <v>0.2</v>
      </c>
      <c r="F257" s="388">
        <v>0.2</v>
      </c>
      <c r="G257" s="388">
        <v>1370.7</v>
      </c>
      <c r="H257" s="388">
        <v>0.5</v>
      </c>
      <c r="I257" s="388">
        <v>0.5</v>
      </c>
      <c r="J257" s="388">
        <v>1501.6</v>
      </c>
      <c r="K257" s="388">
        <v>0.5</v>
      </c>
      <c r="L257" s="388">
        <v>0.5</v>
      </c>
      <c r="M257" s="388">
        <v>1465.2</v>
      </c>
      <c r="N257">
        <f t="shared" si="3"/>
        <v>0.5</v>
      </c>
    </row>
    <row r="258" spans="1:14" x14ac:dyDescent="0.3">
      <c r="A258" s="388" t="s">
        <v>3550</v>
      </c>
      <c r="B258" s="390">
        <v>0</v>
      </c>
      <c r="C258" s="388">
        <v>0</v>
      </c>
      <c r="D258" s="388">
        <v>0</v>
      </c>
      <c r="E258" s="388">
        <v>0</v>
      </c>
      <c r="F258" s="388">
        <v>0.2</v>
      </c>
      <c r="G258" s="388">
        <v>1370.7</v>
      </c>
      <c r="H258" s="388">
        <v>0</v>
      </c>
      <c r="I258" s="388">
        <v>0.5</v>
      </c>
      <c r="J258" s="388">
        <v>1501.6</v>
      </c>
      <c r="K258" s="388">
        <v>0</v>
      </c>
      <c r="L258" s="388">
        <v>0.5</v>
      </c>
      <c r="M258" s="388">
        <v>1465.2</v>
      </c>
      <c r="N258">
        <f t="shared" si="3"/>
        <v>0</v>
      </c>
    </row>
    <row r="259" spans="1:14" x14ac:dyDescent="0.3">
      <c r="A259" s="388" t="s">
        <v>3551</v>
      </c>
      <c r="B259" s="390">
        <v>0</v>
      </c>
      <c r="C259" s="388">
        <v>0</v>
      </c>
      <c r="D259" s="388">
        <v>0</v>
      </c>
      <c r="E259" s="388">
        <v>0</v>
      </c>
      <c r="F259" s="388">
        <v>0.2</v>
      </c>
      <c r="G259" s="388">
        <v>1370.7</v>
      </c>
      <c r="H259" s="388">
        <v>0</v>
      </c>
      <c r="I259" s="388">
        <v>0.5</v>
      </c>
      <c r="J259" s="388">
        <v>1501.6</v>
      </c>
      <c r="K259" s="388">
        <v>0</v>
      </c>
      <c r="L259" s="388">
        <v>0.5</v>
      </c>
      <c r="M259" s="388">
        <v>1465.2</v>
      </c>
      <c r="N259">
        <f t="shared" si="3"/>
        <v>0</v>
      </c>
    </row>
    <row r="260" spans="1:14" x14ac:dyDescent="0.3">
      <c r="A260" s="388" t="s">
        <v>3552</v>
      </c>
      <c r="B260" s="390">
        <v>0</v>
      </c>
      <c r="C260" s="388">
        <v>0</v>
      </c>
      <c r="D260" s="388">
        <v>0</v>
      </c>
      <c r="E260" s="388">
        <v>0</v>
      </c>
      <c r="F260" s="388">
        <v>0.2</v>
      </c>
      <c r="G260" s="388">
        <v>1370.7</v>
      </c>
      <c r="H260" s="388">
        <v>0</v>
      </c>
      <c r="I260" s="388">
        <v>0.5</v>
      </c>
      <c r="J260" s="388">
        <v>1501.6</v>
      </c>
      <c r="K260" s="388">
        <v>0</v>
      </c>
      <c r="L260" s="388">
        <v>0.5</v>
      </c>
      <c r="M260" s="388">
        <v>1465.2</v>
      </c>
      <c r="N260">
        <f t="shared" si="3"/>
        <v>0</v>
      </c>
    </row>
    <row r="261" spans="1:14" x14ac:dyDescent="0.3">
      <c r="A261" s="388" t="s">
        <v>3553</v>
      </c>
      <c r="B261" s="390">
        <v>0</v>
      </c>
      <c r="C261" s="388">
        <v>0</v>
      </c>
      <c r="D261" s="388">
        <v>0</v>
      </c>
      <c r="E261" s="388">
        <v>0</v>
      </c>
      <c r="F261" s="388">
        <v>0.2</v>
      </c>
      <c r="G261" s="388">
        <v>1370.7</v>
      </c>
      <c r="H261" s="388">
        <v>0</v>
      </c>
      <c r="I261" s="388">
        <v>0.5</v>
      </c>
      <c r="J261" s="388">
        <v>1501.6</v>
      </c>
      <c r="K261" s="388">
        <v>0</v>
      </c>
      <c r="L261" s="388">
        <v>0.5</v>
      </c>
      <c r="M261" s="388">
        <v>1465.2</v>
      </c>
      <c r="N261">
        <f t="shared" ref="N261:N324" si="4">MAX(B261:D261)</f>
        <v>0</v>
      </c>
    </row>
    <row r="262" spans="1:14" x14ac:dyDescent="0.3">
      <c r="A262" s="388" t="s">
        <v>3554</v>
      </c>
      <c r="B262" s="390">
        <v>0</v>
      </c>
      <c r="C262" s="388">
        <v>0</v>
      </c>
      <c r="D262" s="388">
        <v>0</v>
      </c>
      <c r="E262" s="388">
        <v>0</v>
      </c>
      <c r="F262" s="388">
        <v>0.2</v>
      </c>
      <c r="G262" s="388">
        <v>1370.7</v>
      </c>
      <c r="H262" s="388">
        <v>0</v>
      </c>
      <c r="I262" s="388">
        <v>0.5</v>
      </c>
      <c r="J262" s="388">
        <v>1501.6</v>
      </c>
      <c r="K262" s="388">
        <v>0</v>
      </c>
      <c r="L262" s="388">
        <v>0.5</v>
      </c>
      <c r="M262" s="388">
        <v>1465.2</v>
      </c>
      <c r="N262">
        <f t="shared" si="4"/>
        <v>0</v>
      </c>
    </row>
    <row r="263" spans="1:14" x14ac:dyDescent="0.3">
      <c r="A263" s="388" t="s">
        <v>3555</v>
      </c>
      <c r="B263" s="390">
        <v>0</v>
      </c>
      <c r="C263" s="388">
        <v>0</v>
      </c>
      <c r="D263" s="388">
        <v>0</v>
      </c>
      <c r="E263" s="388">
        <v>0</v>
      </c>
      <c r="F263" s="388">
        <v>0.2</v>
      </c>
      <c r="G263" s="388">
        <v>1370.7</v>
      </c>
      <c r="H263" s="388">
        <v>0</v>
      </c>
      <c r="I263" s="388">
        <v>0.5</v>
      </c>
      <c r="J263" s="388">
        <v>1501.6</v>
      </c>
      <c r="K263" s="388">
        <v>0</v>
      </c>
      <c r="L263" s="388">
        <v>0.5</v>
      </c>
      <c r="M263" s="388">
        <v>1465.2</v>
      </c>
      <c r="N263">
        <f t="shared" si="4"/>
        <v>0</v>
      </c>
    </row>
    <row r="264" spans="1:14" x14ac:dyDescent="0.3">
      <c r="A264" s="388" t="s">
        <v>3556</v>
      </c>
      <c r="B264" s="390">
        <v>0</v>
      </c>
      <c r="C264" s="388">
        <v>0</v>
      </c>
      <c r="D264" s="388">
        <v>0</v>
      </c>
      <c r="E264" s="388">
        <v>0</v>
      </c>
      <c r="F264" s="388">
        <v>0.2</v>
      </c>
      <c r="G264" s="388">
        <v>1370.7</v>
      </c>
      <c r="H264" s="388">
        <v>0</v>
      </c>
      <c r="I264" s="388">
        <v>0.5</v>
      </c>
      <c r="J264" s="388">
        <v>1501.6</v>
      </c>
      <c r="K264" s="388">
        <v>0</v>
      </c>
      <c r="L264" s="388">
        <v>0.5</v>
      </c>
      <c r="M264" s="388">
        <v>1465.2</v>
      </c>
      <c r="N264">
        <f t="shared" si="4"/>
        <v>0</v>
      </c>
    </row>
    <row r="265" spans="1:14" x14ac:dyDescent="0.3">
      <c r="A265" s="388" t="s">
        <v>3557</v>
      </c>
      <c r="B265" s="390">
        <v>0</v>
      </c>
      <c r="C265" s="388">
        <v>0</v>
      </c>
      <c r="D265" s="388">
        <v>0</v>
      </c>
      <c r="E265" s="388">
        <v>0</v>
      </c>
      <c r="F265" s="388">
        <v>0.2</v>
      </c>
      <c r="G265" s="388">
        <v>1370.7</v>
      </c>
      <c r="H265" s="388">
        <v>0</v>
      </c>
      <c r="I265" s="388">
        <v>0.5</v>
      </c>
      <c r="J265" s="388">
        <v>1501.6</v>
      </c>
      <c r="K265" s="388">
        <v>0</v>
      </c>
      <c r="L265" s="388">
        <v>0.5</v>
      </c>
      <c r="M265" s="388">
        <v>1465.2</v>
      </c>
      <c r="N265">
        <f t="shared" si="4"/>
        <v>0</v>
      </c>
    </row>
    <row r="266" spans="1:14" x14ac:dyDescent="0.3">
      <c r="A266" s="388" t="s">
        <v>3558</v>
      </c>
      <c r="B266" s="390">
        <v>0</v>
      </c>
      <c r="C266" s="388">
        <v>0</v>
      </c>
      <c r="D266" s="388">
        <v>0</v>
      </c>
      <c r="E266" s="388">
        <v>0</v>
      </c>
      <c r="F266" s="388">
        <v>0.2</v>
      </c>
      <c r="G266" s="388">
        <v>1370.7</v>
      </c>
      <c r="H266" s="388">
        <v>0</v>
      </c>
      <c r="I266" s="388">
        <v>0.5</v>
      </c>
      <c r="J266" s="388">
        <v>1501.6</v>
      </c>
      <c r="K266" s="388">
        <v>0</v>
      </c>
      <c r="L266" s="388">
        <v>0.5</v>
      </c>
      <c r="M266" s="388">
        <v>1465.2</v>
      </c>
      <c r="N266">
        <f t="shared" si="4"/>
        <v>0</v>
      </c>
    </row>
    <row r="267" spans="1:14" x14ac:dyDescent="0.3">
      <c r="A267" s="388" t="s">
        <v>3559</v>
      </c>
      <c r="B267" s="390">
        <v>0</v>
      </c>
      <c r="C267" s="388">
        <v>0</v>
      </c>
      <c r="D267" s="388">
        <v>0</v>
      </c>
      <c r="E267" s="388">
        <v>0</v>
      </c>
      <c r="F267" s="388">
        <v>0.2</v>
      </c>
      <c r="G267" s="388">
        <v>1370.7</v>
      </c>
      <c r="H267" s="388">
        <v>0</v>
      </c>
      <c r="I267" s="388">
        <v>0.5</v>
      </c>
      <c r="J267" s="388">
        <v>1501.6</v>
      </c>
      <c r="K267" s="388">
        <v>0</v>
      </c>
      <c r="L267" s="388">
        <v>0.5</v>
      </c>
      <c r="M267" s="388">
        <v>1465.2</v>
      </c>
      <c r="N267">
        <f t="shared" si="4"/>
        <v>0</v>
      </c>
    </row>
    <row r="268" spans="1:14" x14ac:dyDescent="0.3">
      <c r="A268" s="388" t="s">
        <v>3560</v>
      </c>
      <c r="B268" s="390">
        <v>0</v>
      </c>
      <c r="C268" s="388">
        <v>0</v>
      </c>
      <c r="D268" s="388">
        <v>0</v>
      </c>
      <c r="E268" s="388">
        <v>0</v>
      </c>
      <c r="F268" s="388">
        <v>0.2</v>
      </c>
      <c r="G268" s="388">
        <v>1370.7</v>
      </c>
      <c r="H268" s="388">
        <v>0</v>
      </c>
      <c r="I268" s="388">
        <v>0.5</v>
      </c>
      <c r="J268" s="388">
        <v>1501.6</v>
      </c>
      <c r="K268" s="388">
        <v>0</v>
      </c>
      <c r="L268" s="388">
        <v>0.5</v>
      </c>
      <c r="M268" s="388">
        <v>1465.2</v>
      </c>
      <c r="N268">
        <f t="shared" si="4"/>
        <v>0</v>
      </c>
    </row>
    <row r="269" spans="1:14" x14ac:dyDescent="0.3">
      <c r="A269" s="388" t="s">
        <v>3561</v>
      </c>
      <c r="B269" s="390">
        <v>0</v>
      </c>
      <c r="C269" s="388">
        <v>0</v>
      </c>
      <c r="D269" s="388">
        <v>0</v>
      </c>
      <c r="E269" s="388">
        <v>0</v>
      </c>
      <c r="F269" s="388">
        <v>0.2</v>
      </c>
      <c r="G269" s="388">
        <v>1370.7</v>
      </c>
      <c r="H269" s="388">
        <v>0</v>
      </c>
      <c r="I269" s="388">
        <v>0.5</v>
      </c>
      <c r="J269" s="388">
        <v>1501.6</v>
      </c>
      <c r="K269" s="388">
        <v>0</v>
      </c>
      <c r="L269" s="388">
        <v>0.5</v>
      </c>
      <c r="M269" s="388">
        <v>1465.2</v>
      </c>
      <c r="N269">
        <f t="shared" si="4"/>
        <v>0</v>
      </c>
    </row>
    <row r="270" spans="1:14" x14ac:dyDescent="0.3">
      <c r="A270" s="388" t="s">
        <v>3562</v>
      </c>
      <c r="B270" s="390">
        <v>0</v>
      </c>
      <c r="C270" s="388">
        <v>0</v>
      </c>
      <c r="D270" s="388">
        <v>0</v>
      </c>
      <c r="E270" s="388">
        <v>0</v>
      </c>
      <c r="F270" s="388">
        <v>0.2</v>
      </c>
      <c r="G270" s="388">
        <v>1370.7</v>
      </c>
      <c r="H270" s="388">
        <v>0</v>
      </c>
      <c r="I270" s="388">
        <v>0.5</v>
      </c>
      <c r="J270" s="388">
        <v>1501.6</v>
      </c>
      <c r="K270" s="388">
        <v>0</v>
      </c>
      <c r="L270" s="388">
        <v>0.5</v>
      </c>
      <c r="M270" s="388">
        <v>1465.2</v>
      </c>
      <c r="N270">
        <f t="shared" si="4"/>
        <v>0</v>
      </c>
    </row>
    <row r="271" spans="1:14" x14ac:dyDescent="0.3">
      <c r="A271" s="388" t="s">
        <v>3563</v>
      </c>
      <c r="B271" s="390">
        <v>0</v>
      </c>
      <c r="C271" s="388">
        <v>0</v>
      </c>
      <c r="D271" s="388">
        <v>0</v>
      </c>
      <c r="E271" s="388">
        <v>0</v>
      </c>
      <c r="F271" s="388">
        <v>0.2</v>
      </c>
      <c r="G271" s="388">
        <v>1370.7</v>
      </c>
      <c r="H271" s="388">
        <v>0</v>
      </c>
      <c r="I271" s="388">
        <v>0.5</v>
      </c>
      <c r="J271" s="388">
        <v>1501.6</v>
      </c>
      <c r="K271" s="388">
        <v>0</v>
      </c>
      <c r="L271" s="388">
        <v>0.5</v>
      </c>
      <c r="M271" s="388">
        <v>1465.2</v>
      </c>
      <c r="N271">
        <f t="shared" si="4"/>
        <v>0</v>
      </c>
    </row>
    <row r="272" spans="1:14" x14ac:dyDescent="0.3">
      <c r="A272" s="388" t="s">
        <v>3564</v>
      </c>
      <c r="B272" s="390">
        <v>0</v>
      </c>
      <c r="C272" s="388">
        <v>0</v>
      </c>
      <c r="D272" s="388">
        <v>0</v>
      </c>
      <c r="E272" s="388">
        <v>0</v>
      </c>
      <c r="F272" s="388">
        <v>0.2</v>
      </c>
      <c r="G272" s="388">
        <v>1370.7</v>
      </c>
      <c r="H272" s="388">
        <v>0</v>
      </c>
      <c r="I272" s="388">
        <v>0.5</v>
      </c>
      <c r="J272" s="388">
        <v>1501.6</v>
      </c>
      <c r="K272" s="388">
        <v>0</v>
      </c>
      <c r="L272" s="388">
        <v>0.5</v>
      </c>
      <c r="M272" s="388">
        <v>1465.2</v>
      </c>
      <c r="N272">
        <f t="shared" si="4"/>
        <v>0</v>
      </c>
    </row>
    <row r="273" spans="1:14" x14ac:dyDescent="0.3">
      <c r="A273" s="388" t="s">
        <v>3565</v>
      </c>
      <c r="B273" s="390">
        <v>0</v>
      </c>
      <c r="C273" s="388">
        <v>0</v>
      </c>
      <c r="D273" s="388">
        <v>0</v>
      </c>
      <c r="E273" s="388">
        <v>0</v>
      </c>
      <c r="F273" s="388">
        <v>0.2</v>
      </c>
      <c r="G273" s="388">
        <v>1370.7</v>
      </c>
      <c r="H273" s="388">
        <v>0</v>
      </c>
      <c r="I273" s="388">
        <v>0.5</v>
      </c>
      <c r="J273" s="388">
        <v>1501.6</v>
      </c>
      <c r="K273" s="388">
        <v>0</v>
      </c>
      <c r="L273" s="388">
        <v>0.5</v>
      </c>
      <c r="M273" s="388">
        <v>1465.2</v>
      </c>
      <c r="N273">
        <f t="shared" si="4"/>
        <v>0</v>
      </c>
    </row>
    <row r="274" spans="1:14" x14ac:dyDescent="0.3">
      <c r="A274" s="388" t="s">
        <v>3566</v>
      </c>
      <c r="B274" s="390">
        <v>0</v>
      </c>
      <c r="C274" s="388">
        <v>0</v>
      </c>
      <c r="D274" s="388">
        <v>0</v>
      </c>
      <c r="E274" s="388">
        <v>0</v>
      </c>
      <c r="F274" s="388">
        <v>0.2</v>
      </c>
      <c r="G274" s="388">
        <v>1370.7</v>
      </c>
      <c r="H274" s="388">
        <v>0</v>
      </c>
      <c r="I274" s="388">
        <v>0.5</v>
      </c>
      <c r="J274" s="388">
        <v>1501.6</v>
      </c>
      <c r="K274" s="388">
        <v>0</v>
      </c>
      <c r="L274" s="388">
        <v>0.5</v>
      </c>
      <c r="M274" s="388">
        <v>1465.2</v>
      </c>
      <c r="N274">
        <f t="shared" si="4"/>
        <v>0</v>
      </c>
    </row>
    <row r="275" spans="1:14" x14ac:dyDescent="0.3">
      <c r="A275" s="388" t="s">
        <v>3567</v>
      </c>
      <c r="B275" s="390">
        <v>0</v>
      </c>
      <c r="C275" s="388">
        <v>0</v>
      </c>
      <c r="D275" s="388">
        <v>0</v>
      </c>
      <c r="E275" s="388">
        <v>0</v>
      </c>
      <c r="F275" s="388">
        <v>0.2</v>
      </c>
      <c r="G275" s="388">
        <v>1370.7</v>
      </c>
      <c r="H275" s="388">
        <v>0</v>
      </c>
      <c r="I275" s="388">
        <v>0.5</v>
      </c>
      <c r="J275" s="388">
        <v>1501.6</v>
      </c>
      <c r="K275" s="388">
        <v>0</v>
      </c>
      <c r="L275" s="388">
        <v>0.5</v>
      </c>
      <c r="M275" s="388">
        <v>1465.2</v>
      </c>
      <c r="N275">
        <f t="shared" si="4"/>
        <v>0</v>
      </c>
    </row>
    <row r="276" spans="1:14" s="338" customFormat="1" x14ac:dyDescent="0.3">
      <c r="A276" s="392" t="s">
        <v>3568</v>
      </c>
      <c r="B276" s="393">
        <v>0</v>
      </c>
      <c r="C276" s="392">
        <v>0</v>
      </c>
      <c r="D276" s="392">
        <v>0</v>
      </c>
      <c r="E276" s="392">
        <v>0</v>
      </c>
      <c r="F276" s="392">
        <v>0.2</v>
      </c>
      <c r="G276" s="392">
        <v>1370.7</v>
      </c>
      <c r="H276" s="392">
        <v>0</v>
      </c>
      <c r="I276" s="392">
        <v>0.5</v>
      </c>
      <c r="J276" s="392">
        <v>1501.6</v>
      </c>
      <c r="K276" s="392">
        <v>0</v>
      </c>
      <c r="L276" s="392">
        <v>0.5</v>
      </c>
      <c r="M276" s="392">
        <v>1465.2</v>
      </c>
      <c r="N276">
        <f t="shared" si="4"/>
        <v>0</v>
      </c>
    </row>
    <row r="277" spans="1:14" x14ac:dyDescent="0.3">
      <c r="A277" s="388" t="s">
        <v>3569</v>
      </c>
      <c r="B277" s="390">
        <v>0</v>
      </c>
      <c r="C277" s="388">
        <v>0</v>
      </c>
      <c r="D277" s="388">
        <v>0</v>
      </c>
      <c r="E277" s="388">
        <v>0</v>
      </c>
      <c r="F277" s="388">
        <v>0</v>
      </c>
      <c r="G277" s="388">
        <v>1370.7</v>
      </c>
      <c r="H277" s="388">
        <v>0</v>
      </c>
      <c r="I277" s="388">
        <v>0</v>
      </c>
      <c r="J277" s="388">
        <v>1501.6</v>
      </c>
      <c r="K277" s="388">
        <v>0</v>
      </c>
      <c r="L277" s="388">
        <v>0</v>
      </c>
      <c r="M277" s="388">
        <v>1465.2</v>
      </c>
      <c r="N277">
        <f t="shared" si="4"/>
        <v>0</v>
      </c>
    </row>
    <row r="278" spans="1:14" x14ac:dyDescent="0.3">
      <c r="A278" s="388" t="s">
        <v>3570</v>
      </c>
      <c r="B278" s="390">
        <v>0</v>
      </c>
      <c r="C278" s="388">
        <v>0</v>
      </c>
      <c r="D278" s="388">
        <v>0</v>
      </c>
      <c r="E278" s="388">
        <v>0</v>
      </c>
      <c r="F278" s="388">
        <v>0</v>
      </c>
      <c r="G278" s="388">
        <v>1370.7</v>
      </c>
      <c r="H278" s="388">
        <v>0</v>
      </c>
      <c r="I278" s="388">
        <v>0</v>
      </c>
      <c r="J278" s="388">
        <v>1501.6</v>
      </c>
      <c r="K278" s="388">
        <v>0</v>
      </c>
      <c r="L278" s="388">
        <v>0</v>
      </c>
      <c r="M278" s="388">
        <v>1465.2</v>
      </c>
      <c r="N278">
        <f t="shared" si="4"/>
        <v>0</v>
      </c>
    </row>
    <row r="279" spans="1:14" x14ac:dyDescent="0.3">
      <c r="A279" s="388" t="s">
        <v>3571</v>
      </c>
      <c r="B279" s="390">
        <v>0</v>
      </c>
      <c r="C279" s="388">
        <v>0</v>
      </c>
      <c r="D279" s="388">
        <v>0</v>
      </c>
      <c r="E279" s="388">
        <v>0</v>
      </c>
      <c r="F279" s="388">
        <v>0</v>
      </c>
      <c r="G279" s="388">
        <v>1370.7</v>
      </c>
      <c r="H279" s="388">
        <v>0</v>
      </c>
      <c r="I279" s="388">
        <v>0</v>
      </c>
      <c r="J279" s="388">
        <v>1501.6</v>
      </c>
      <c r="K279" s="388">
        <v>0</v>
      </c>
      <c r="L279" s="388">
        <v>0</v>
      </c>
      <c r="M279" s="388">
        <v>1465.2</v>
      </c>
      <c r="N279">
        <f t="shared" si="4"/>
        <v>0</v>
      </c>
    </row>
    <row r="280" spans="1:14" x14ac:dyDescent="0.3">
      <c r="A280" s="388" t="s">
        <v>3572</v>
      </c>
      <c r="B280" s="390">
        <v>0</v>
      </c>
      <c r="C280" s="388">
        <v>0</v>
      </c>
      <c r="D280" s="388">
        <v>0</v>
      </c>
      <c r="E280" s="388">
        <v>0</v>
      </c>
      <c r="F280" s="388">
        <v>0</v>
      </c>
      <c r="G280" s="388">
        <v>1370.7</v>
      </c>
      <c r="H280" s="388">
        <v>0</v>
      </c>
      <c r="I280" s="388">
        <v>0</v>
      </c>
      <c r="J280" s="388">
        <v>1501.6</v>
      </c>
      <c r="K280" s="388">
        <v>0</v>
      </c>
      <c r="L280" s="388">
        <v>0</v>
      </c>
      <c r="M280" s="388">
        <v>1465.2</v>
      </c>
      <c r="N280">
        <f t="shared" si="4"/>
        <v>0</v>
      </c>
    </row>
    <row r="281" spans="1:14" x14ac:dyDescent="0.3">
      <c r="A281" s="388" t="s">
        <v>3573</v>
      </c>
      <c r="B281" s="390">
        <v>0</v>
      </c>
      <c r="C281" s="388">
        <v>0</v>
      </c>
      <c r="D281" s="388">
        <v>0</v>
      </c>
      <c r="E281" s="388">
        <v>0</v>
      </c>
      <c r="F281" s="388">
        <v>0</v>
      </c>
      <c r="G281" s="388">
        <v>1370.7</v>
      </c>
      <c r="H281" s="388">
        <v>0</v>
      </c>
      <c r="I281" s="388">
        <v>0</v>
      </c>
      <c r="J281" s="388">
        <v>1501.6</v>
      </c>
      <c r="K281" s="388">
        <v>0</v>
      </c>
      <c r="L281" s="388">
        <v>0</v>
      </c>
      <c r="M281" s="388">
        <v>1465.2</v>
      </c>
      <c r="N281">
        <f t="shared" si="4"/>
        <v>0</v>
      </c>
    </row>
    <row r="282" spans="1:14" x14ac:dyDescent="0.3">
      <c r="A282" s="388" t="s">
        <v>3574</v>
      </c>
      <c r="B282" s="390">
        <v>0</v>
      </c>
      <c r="C282" s="388">
        <v>0</v>
      </c>
      <c r="D282" s="388">
        <v>0</v>
      </c>
      <c r="E282" s="388">
        <v>0</v>
      </c>
      <c r="F282" s="388">
        <v>0</v>
      </c>
      <c r="G282" s="388">
        <v>1370.7</v>
      </c>
      <c r="H282" s="388">
        <v>0</v>
      </c>
      <c r="I282" s="388">
        <v>0</v>
      </c>
      <c r="J282" s="388">
        <v>1501.6</v>
      </c>
      <c r="K282" s="388">
        <v>0</v>
      </c>
      <c r="L282" s="388">
        <v>0</v>
      </c>
      <c r="M282" s="388">
        <v>1465.2</v>
      </c>
      <c r="N282">
        <f t="shared" si="4"/>
        <v>0</v>
      </c>
    </row>
    <row r="283" spans="1:14" x14ac:dyDescent="0.3">
      <c r="A283" s="388" t="s">
        <v>3575</v>
      </c>
      <c r="B283" s="390">
        <v>0</v>
      </c>
      <c r="C283" s="388">
        <v>0</v>
      </c>
      <c r="D283" s="388">
        <v>0</v>
      </c>
      <c r="E283" s="388">
        <v>0</v>
      </c>
      <c r="F283" s="388">
        <v>0</v>
      </c>
      <c r="G283" s="388">
        <v>1370.7</v>
      </c>
      <c r="H283" s="388">
        <v>0</v>
      </c>
      <c r="I283" s="388">
        <v>0</v>
      </c>
      <c r="J283" s="388">
        <v>1501.6</v>
      </c>
      <c r="K283" s="388">
        <v>0</v>
      </c>
      <c r="L283" s="388">
        <v>0</v>
      </c>
      <c r="M283" s="388">
        <v>1465.2</v>
      </c>
      <c r="N283">
        <f t="shared" si="4"/>
        <v>0</v>
      </c>
    </row>
    <row r="284" spans="1:14" x14ac:dyDescent="0.3">
      <c r="A284" s="388" t="s">
        <v>3576</v>
      </c>
      <c r="B284" s="390">
        <v>0</v>
      </c>
      <c r="C284" s="388">
        <v>0</v>
      </c>
      <c r="D284" s="388">
        <v>0</v>
      </c>
      <c r="E284" s="388">
        <v>0</v>
      </c>
      <c r="F284" s="388">
        <v>0</v>
      </c>
      <c r="G284" s="388">
        <v>1370.7</v>
      </c>
      <c r="H284" s="388">
        <v>0</v>
      </c>
      <c r="I284" s="388">
        <v>0</v>
      </c>
      <c r="J284" s="388">
        <v>1501.6</v>
      </c>
      <c r="K284" s="388">
        <v>0</v>
      </c>
      <c r="L284" s="388">
        <v>0</v>
      </c>
      <c r="M284" s="388">
        <v>1465.2</v>
      </c>
      <c r="N284">
        <f t="shared" si="4"/>
        <v>0</v>
      </c>
    </row>
    <row r="285" spans="1:14" x14ac:dyDescent="0.3">
      <c r="A285" s="388" t="s">
        <v>3577</v>
      </c>
      <c r="B285" s="390">
        <v>0</v>
      </c>
      <c r="C285" s="388">
        <v>0</v>
      </c>
      <c r="D285" s="388">
        <v>0</v>
      </c>
      <c r="E285" s="388">
        <v>0</v>
      </c>
      <c r="F285" s="388">
        <v>0</v>
      </c>
      <c r="G285" s="388">
        <v>1370.7</v>
      </c>
      <c r="H285" s="388">
        <v>0</v>
      </c>
      <c r="I285" s="388">
        <v>0</v>
      </c>
      <c r="J285" s="388">
        <v>1501.6</v>
      </c>
      <c r="K285" s="388">
        <v>0</v>
      </c>
      <c r="L285" s="388">
        <v>0</v>
      </c>
      <c r="M285" s="388">
        <v>1465.2</v>
      </c>
      <c r="N285">
        <f t="shared" si="4"/>
        <v>0</v>
      </c>
    </row>
    <row r="286" spans="1:14" x14ac:dyDescent="0.3">
      <c r="A286" s="388" t="s">
        <v>3578</v>
      </c>
      <c r="B286" s="390">
        <v>0</v>
      </c>
      <c r="C286" s="388">
        <v>0</v>
      </c>
      <c r="D286" s="388">
        <v>0</v>
      </c>
      <c r="E286" s="388">
        <v>0</v>
      </c>
      <c r="F286" s="388">
        <v>0</v>
      </c>
      <c r="G286" s="388">
        <v>1370.7</v>
      </c>
      <c r="H286" s="388">
        <v>0</v>
      </c>
      <c r="I286" s="388">
        <v>0</v>
      </c>
      <c r="J286" s="388">
        <v>1501.6</v>
      </c>
      <c r="K286" s="388">
        <v>0</v>
      </c>
      <c r="L286" s="388">
        <v>0</v>
      </c>
      <c r="M286" s="388">
        <v>1465.2</v>
      </c>
      <c r="N286">
        <f t="shared" si="4"/>
        <v>0</v>
      </c>
    </row>
    <row r="287" spans="1:14" x14ac:dyDescent="0.3">
      <c r="A287" s="388" t="s">
        <v>3579</v>
      </c>
      <c r="B287" s="390">
        <v>0</v>
      </c>
      <c r="C287" s="388">
        <v>0</v>
      </c>
      <c r="D287" s="388">
        <v>0</v>
      </c>
      <c r="E287" s="388">
        <v>0</v>
      </c>
      <c r="F287" s="388">
        <v>0</v>
      </c>
      <c r="G287" s="388">
        <v>1370.7</v>
      </c>
      <c r="H287" s="388">
        <v>0</v>
      </c>
      <c r="I287" s="388">
        <v>0</v>
      </c>
      <c r="J287" s="388">
        <v>1501.6</v>
      </c>
      <c r="K287" s="388">
        <v>0</v>
      </c>
      <c r="L287" s="388">
        <v>0</v>
      </c>
      <c r="M287" s="388">
        <v>1465.2</v>
      </c>
      <c r="N287">
        <f t="shared" si="4"/>
        <v>0</v>
      </c>
    </row>
    <row r="288" spans="1:14" x14ac:dyDescent="0.3">
      <c r="A288" s="388" t="s">
        <v>3580</v>
      </c>
      <c r="B288" s="390">
        <v>0</v>
      </c>
      <c r="C288" s="388">
        <v>0</v>
      </c>
      <c r="D288" s="388">
        <v>0</v>
      </c>
      <c r="E288" s="388">
        <v>0</v>
      </c>
      <c r="F288" s="388">
        <v>0</v>
      </c>
      <c r="G288" s="388">
        <v>1370.7</v>
      </c>
      <c r="H288" s="388">
        <v>0</v>
      </c>
      <c r="I288" s="388">
        <v>0</v>
      </c>
      <c r="J288" s="388">
        <v>1501.6</v>
      </c>
      <c r="K288" s="388">
        <v>0</v>
      </c>
      <c r="L288" s="388">
        <v>0</v>
      </c>
      <c r="M288" s="388">
        <v>1465.2</v>
      </c>
      <c r="N288">
        <f t="shared" si="4"/>
        <v>0</v>
      </c>
    </row>
    <row r="289" spans="1:14" x14ac:dyDescent="0.3">
      <c r="A289" s="388" t="s">
        <v>3581</v>
      </c>
      <c r="B289" s="390">
        <v>0</v>
      </c>
      <c r="C289" s="388">
        <v>0</v>
      </c>
      <c r="D289" s="388">
        <v>0</v>
      </c>
      <c r="E289" s="388">
        <v>0</v>
      </c>
      <c r="F289" s="388">
        <v>0</v>
      </c>
      <c r="G289" s="388">
        <v>1370.7</v>
      </c>
      <c r="H289" s="388">
        <v>0</v>
      </c>
      <c r="I289" s="388">
        <v>0</v>
      </c>
      <c r="J289" s="388">
        <v>1501.6</v>
      </c>
      <c r="K289" s="388">
        <v>0</v>
      </c>
      <c r="L289" s="388">
        <v>0</v>
      </c>
      <c r="M289" s="388">
        <v>1465.2</v>
      </c>
      <c r="N289">
        <f t="shared" si="4"/>
        <v>0</v>
      </c>
    </row>
    <row r="290" spans="1:14" x14ac:dyDescent="0.3">
      <c r="A290" s="388" t="s">
        <v>3582</v>
      </c>
      <c r="B290" s="390">
        <v>0</v>
      </c>
      <c r="C290" s="388">
        <v>0</v>
      </c>
      <c r="D290" s="388">
        <v>0</v>
      </c>
      <c r="E290" s="388">
        <v>0</v>
      </c>
      <c r="F290" s="388">
        <v>0</v>
      </c>
      <c r="G290" s="388">
        <v>1370.7</v>
      </c>
      <c r="H290" s="388">
        <v>0</v>
      </c>
      <c r="I290" s="388">
        <v>0</v>
      </c>
      <c r="J290" s="388">
        <v>1501.6</v>
      </c>
      <c r="K290" s="388">
        <v>0</v>
      </c>
      <c r="L290" s="388">
        <v>0</v>
      </c>
      <c r="M290" s="388">
        <v>1465.2</v>
      </c>
      <c r="N290">
        <f t="shared" si="4"/>
        <v>0</v>
      </c>
    </row>
    <row r="291" spans="1:14" x14ac:dyDescent="0.3">
      <c r="A291" s="388" t="s">
        <v>3583</v>
      </c>
      <c r="B291" s="390">
        <v>0</v>
      </c>
      <c r="C291" s="388">
        <v>0</v>
      </c>
      <c r="D291" s="388">
        <v>0</v>
      </c>
      <c r="E291" s="388">
        <v>0</v>
      </c>
      <c r="F291" s="388">
        <v>0</v>
      </c>
      <c r="G291" s="388">
        <v>1370.7</v>
      </c>
      <c r="H291" s="388">
        <v>0</v>
      </c>
      <c r="I291" s="388">
        <v>0</v>
      </c>
      <c r="J291" s="388">
        <v>1501.6</v>
      </c>
      <c r="K291" s="388">
        <v>0</v>
      </c>
      <c r="L291" s="388">
        <v>0</v>
      </c>
      <c r="M291" s="388">
        <v>1465.2</v>
      </c>
      <c r="N291">
        <f t="shared" si="4"/>
        <v>0</v>
      </c>
    </row>
    <row r="292" spans="1:14" x14ac:dyDescent="0.3">
      <c r="A292" s="388" t="s">
        <v>3584</v>
      </c>
      <c r="B292" s="390">
        <v>0</v>
      </c>
      <c r="C292" s="388">
        <v>0</v>
      </c>
      <c r="D292" s="388">
        <v>0</v>
      </c>
      <c r="E292" s="388">
        <v>0</v>
      </c>
      <c r="F292" s="388">
        <v>0</v>
      </c>
      <c r="G292" s="388">
        <v>1370.7</v>
      </c>
      <c r="H292" s="388">
        <v>0</v>
      </c>
      <c r="I292" s="388">
        <v>0</v>
      </c>
      <c r="J292" s="388">
        <v>1501.6</v>
      </c>
      <c r="K292" s="388">
        <v>0</v>
      </c>
      <c r="L292" s="388">
        <v>0</v>
      </c>
      <c r="M292" s="388">
        <v>1465.2</v>
      </c>
      <c r="N292">
        <f t="shared" si="4"/>
        <v>0</v>
      </c>
    </row>
    <row r="293" spans="1:14" x14ac:dyDescent="0.3">
      <c r="A293" s="388" t="s">
        <v>3585</v>
      </c>
      <c r="B293" s="390">
        <v>0</v>
      </c>
      <c r="C293" s="388">
        <v>0</v>
      </c>
      <c r="D293" s="388">
        <v>0</v>
      </c>
      <c r="E293" s="388">
        <v>0</v>
      </c>
      <c r="F293" s="388">
        <v>0</v>
      </c>
      <c r="G293" s="388">
        <v>1370.7</v>
      </c>
      <c r="H293" s="388">
        <v>0</v>
      </c>
      <c r="I293" s="388">
        <v>0</v>
      </c>
      <c r="J293" s="388">
        <v>1501.6</v>
      </c>
      <c r="K293" s="388">
        <v>0</v>
      </c>
      <c r="L293" s="388">
        <v>0</v>
      </c>
      <c r="M293" s="388">
        <v>1465.2</v>
      </c>
      <c r="N293">
        <f t="shared" si="4"/>
        <v>0</v>
      </c>
    </row>
    <row r="294" spans="1:14" x14ac:dyDescent="0.3">
      <c r="A294" s="388" t="s">
        <v>3586</v>
      </c>
      <c r="B294" s="390">
        <v>0</v>
      </c>
      <c r="C294" s="388">
        <v>0</v>
      </c>
      <c r="D294" s="388">
        <v>0</v>
      </c>
      <c r="E294" s="388">
        <v>0</v>
      </c>
      <c r="F294" s="388">
        <v>0</v>
      </c>
      <c r="G294" s="388">
        <v>1370.7</v>
      </c>
      <c r="H294" s="388">
        <v>0</v>
      </c>
      <c r="I294" s="388">
        <v>0</v>
      </c>
      <c r="J294" s="388">
        <v>1501.6</v>
      </c>
      <c r="K294" s="388">
        <v>0</v>
      </c>
      <c r="L294" s="388">
        <v>0</v>
      </c>
      <c r="M294" s="388">
        <v>1465.2</v>
      </c>
      <c r="N294">
        <f t="shared" si="4"/>
        <v>0</v>
      </c>
    </row>
    <row r="295" spans="1:14" x14ac:dyDescent="0.3">
      <c r="A295" s="388" t="s">
        <v>3587</v>
      </c>
      <c r="B295" s="390">
        <v>0</v>
      </c>
      <c r="C295" s="388">
        <v>0</v>
      </c>
      <c r="D295" s="388">
        <v>0</v>
      </c>
      <c r="E295" s="388">
        <v>0</v>
      </c>
      <c r="F295" s="388">
        <v>0</v>
      </c>
      <c r="G295" s="388">
        <v>1370.7</v>
      </c>
      <c r="H295" s="388">
        <v>0</v>
      </c>
      <c r="I295" s="388">
        <v>0</v>
      </c>
      <c r="J295" s="388">
        <v>1501.6</v>
      </c>
      <c r="K295" s="388">
        <v>0</v>
      </c>
      <c r="L295" s="388">
        <v>0</v>
      </c>
      <c r="M295" s="388">
        <v>1465.2</v>
      </c>
      <c r="N295">
        <f t="shared" si="4"/>
        <v>0</v>
      </c>
    </row>
    <row r="296" spans="1:14" x14ac:dyDescent="0.3">
      <c r="A296" s="388" t="s">
        <v>3588</v>
      </c>
      <c r="B296" s="390">
        <v>0</v>
      </c>
      <c r="C296" s="388">
        <v>0</v>
      </c>
      <c r="D296" s="388">
        <v>0</v>
      </c>
      <c r="E296" s="388">
        <v>0</v>
      </c>
      <c r="F296" s="388">
        <v>0</v>
      </c>
      <c r="G296" s="388">
        <v>1370.7</v>
      </c>
      <c r="H296" s="388">
        <v>0</v>
      </c>
      <c r="I296" s="388">
        <v>0</v>
      </c>
      <c r="J296" s="388">
        <v>1501.6</v>
      </c>
      <c r="K296" s="388">
        <v>0</v>
      </c>
      <c r="L296" s="388">
        <v>0</v>
      </c>
      <c r="M296" s="388">
        <v>1465.2</v>
      </c>
      <c r="N296">
        <f t="shared" si="4"/>
        <v>0</v>
      </c>
    </row>
    <row r="297" spans="1:14" x14ac:dyDescent="0.3">
      <c r="A297" s="388" t="s">
        <v>3589</v>
      </c>
      <c r="B297" s="390">
        <v>0</v>
      </c>
      <c r="C297" s="388">
        <v>0</v>
      </c>
      <c r="D297" s="388">
        <v>0</v>
      </c>
      <c r="E297" s="388">
        <v>0</v>
      </c>
      <c r="F297" s="388">
        <v>0</v>
      </c>
      <c r="G297" s="388">
        <v>1370.7</v>
      </c>
      <c r="H297" s="388">
        <v>0</v>
      </c>
      <c r="I297" s="388">
        <v>0</v>
      </c>
      <c r="J297" s="388">
        <v>1501.6</v>
      </c>
      <c r="K297" s="388">
        <v>0</v>
      </c>
      <c r="L297" s="388">
        <v>0</v>
      </c>
      <c r="M297" s="388">
        <v>1465.2</v>
      </c>
      <c r="N297">
        <f t="shared" si="4"/>
        <v>0</v>
      </c>
    </row>
    <row r="298" spans="1:14" x14ac:dyDescent="0.3">
      <c r="A298" s="388" t="s">
        <v>3590</v>
      </c>
      <c r="B298" s="390">
        <v>0</v>
      </c>
      <c r="C298" s="388">
        <v>0</v>
      </c>
      <c r="D298" s="388">
        <v>0</v>
      </c>
      <c r="E298" s="388">
        <v>0</v>
      </c>
      <c r="F298" s="388">
        <v>0</v>
      </c>
      <c r="G298" s="388">
        <v>1370.7</v>
      </c>
      <c r="H298" s="388">
        <v>0</v>
      </c>
      <c r="I298" s="388">
        <v>0</v>
      </c>
      <c r="J298" s="388">
        <v>1501.6</v>
      </c>
      <c r="K298" s="388">
        <v>0</v>
      </c>
      <c r="L298" s="388">
        <v>0</v>
      </c>
      <c r="M298" s="388">
        <v>1465.2</v>
      </c>
      <c r="N298">
        <f t="shared" si="4"/>
        <v>0</v>
      </c>
    </row>
    <row r="299" spans="1:14" x14ac:dyDescent="0.3">
      <c r="A299" s="388" t="s">
        <v>3591</v>
      </c>
      <c r="B299" s="390">
        <v>0</v>
      </c>
      <c r="C299" s="388">
        <v>0</v>
      </c>
      <c r="D299" s="388">
        <v>0</v>
      </c>
      <c r="E299" s="388">
        <v>0</v>
      </c>
      <c r="F299" s="388">
        <v>0</v>
      </c>
      <c r="G299" s="388">
        <v>1370.7</v>
      </c>
      <c r="H299" s="388">
        <v>0</v>
      </c>
      <c r="I299" s="388">
        <v>0</v>
      </c>
      <c r="J299" s="388">
        <v>1501.6</v>
      </c>
      <c r="K299" s="388">
        <v>0</v>
      </c>
      <c r="L299" s="388">
        <v>0</v>
      </c>
      <c r="M299" s="388">
        <v>1465.2</v>
      </c>
      <c r="N299">
        <f t="shared" si="4"/>
        <v>0</v>
      </c>
    </row>
    <row r="300" spans="1:14" x14ac:dyDescent="0.3">
      <c r="A300" s="388" t="s">
        <v>3592</v>
      </c>
      <c r="B300" s="390">
        <v>0</v>
      </c>
      <c r="C300" s="388">
        <v>0</v>
      </c>
      <c r="D300" s="388">
        <v>0</v>
      </c>
      <c r="E300" s="388">
        <v>0</v>
      </c>
      <c r="F300" s="388">
        <v>0</v>
      </c>
      <c r="G300" s="388">
        <v>1370.7</v>
      </c>
      <c r="H300" s="388">
        <v>0</v>
      </c>
      <c r="I300" s="388">
        <v>0</v>
      </c>
      <c r="J300" s="388">
        <v>1501.6</v>
      </c>
      <c r="K300" s="388">
        <v>0</v>
      </c>
      <c r="L300" s="388">
        <v>0</v>
      </c>
      <c r="M300" s="388">
        <v>1465.2</v>
      </c>
      <c r="N300">
        <f t="shared" si="4"/>
        <v>0</v>
      </c>
    </row>
    <row r="301" spans="1:14" x14ac:dyDescent="0.3">
      <c r="A301" s="388" t="s">
        <v>3593</v>
      </c>
      <c r="B301" s="390">
        <v>0</v>
      </c>
      <c r="C301" s="388">
        <v>0</v>
      </c>
      <c r="D301" s="388">
        <v>0</v>
      </c>
      <c r="E301" s="388">
        <v>0</v>
      </c>
      <c r="F301" s="388">
        <v>0</v>
      </c>
      <c r="G301" s="388">
        <v>1370.7</v>
      </c>
      <c r="H301" s="388">
        <v>0</v>
      </c>
      <c r="I301" s="388">
        <v>0</v>
      </c>
      <c r="J301" s="388">
        <v>1501.6</v>
      </c>
      <c r="K301" s="388">
        <v>0</v>
      </c>
      <c r="L301" s="388">
        <v>0</v>
      </c>
      <c r="M301" s="388">
        <v>1465.2</v>
      </c>
      <c r="N301">
        <f t="shared" si="4"/>
        <v>0</v>
      </c>
    </row>
    <row r="302" spans="1:14" x14ac:dyDescent="0.3">
      <c r="A302" s="388" t="s">
        <v>3594</v>
      </c>
      <c r="B302" s="390">
        <v>0</v>
      </c>
      <c r="C302" s="388">
        <v>0</v>
      </c>
      <c r="D302" s="388">
        <v>0</v>
      </c>
      <c r="E302" s="388">
        <v>0</v>
      </c>
      <c r="F302" s="388">
        <v>0</v>
      </c>
      <c r="G302" s="388">
        <v>1370.7</v>
      </c>
      <c r="H302" s="388">
        <v>0</v>
      </c>
      <c r="I302" s="388">
        <v>0</v>
      </c>
      <c r="J302" s="388">
        <v>1501.6</v>
      </c>
      <c r="K302" s="388">
        <v>0</v>
      </c>
      <c r="L302" s="388">
        <v>0</v>
      </c>
      <c r="M302" s="388">
        <v>1465.2</v>
      </c>
      <c r="N302">
        <f t="shared" si="4"/>
        <v>0</v>
      </c>
    </row>
    <row r="303" spans="1:14" x14ac:dyDescent="0.3">
      <c r="A303" s="388" t="s">
        <v>3595</v>
      </c>
      <c r="B303" s="390">
        <v>0</v>
      </c>
      <c r="C303" s="388">
        <v>0</v>
      </c>
      <c r="D303" s="388">
        <v>0</v>
      </c>
      <c r="E303" s="388">
        <v>0</v>
      </c>
      <c r="F303" s="388">
        <v>0</v>
      </c>
      <c r="G303" s="388">
        <v>1370.7</v>
      </c>
      <c r="H303" s="388">
        <v>0</v>
      </c>
      <c r="I303" s="388">
        <v>0</v>
      </c>
      <c r="J303" s="388">
        <v>1501.6</v>
      </c>
      <c r="K303" s="388">
        <v>0</v>
      </c>
      <c r="L303" s="388">
        <v>0</v>
      </c>
      <c r="M303" s="388">
        <v>1465.2</v>
      </c>
      <c r="N303">
        <f t="shared" si="4"/>
        <v>0</v>
      </c>
    </row>
    <row r="304" spans="1:14" x14ac:dyDescent="0.3">
      <c r="A304" s="388" t="s">
        <v>3596</v>
      </c>
      <c r="B304" s="390">
        <v>1.5</v>
      </c>
      <c r="C304" s="388">
        <v>2</v>
      </c>
      <c r="D304" s="388">
        <v>3</v>
      </c>
      <c r="E304" s="388">
        <v>1.5</v>
      </c>
      <c r="F304" s="388">
        <v>1.5</v>
      </c>
      <c r="G304" s="388">
        <v>1372.2</v>
      </c>
      <c r="H304" s="388">
        <v>1</v>
      </c>
      <c r="I304" s="388">
        <v>1</v>
      </c>
      <c r="J304" s="388">
        <v>1502.6</v>
      </c>
      <c r="K304" s="388">
        <v>2.5</v>
      </c>
      <c r="L304" s="388">
        <v>2.5</v>
      </c>
      <c r="M304" s="388">
        <v>1467.7</v>
      </c>
      <c r="N304">
        <f t="shared" si="4"/>
        <v>3</v>
      </c>
    </row>
    <row r="305" spans="1:14" x14ac:dyDescent="0.3">
      <c r="A305" s="388" t="s">
        <v>3597</v>
      </c>
      <c r="B305" s="390">
        <v>0</v>
      </c>
      <c r="C305" s="388">
        <v>0</v>
      </c>
      <c r="D305" s="388">
        <v>0</v>
      </c>
      <c r="E305" s="388">
        <v>0</v>
      </c>
      <c r="F305" s="388">
        <v>1.5</v>
      </c>
      <c r="G305" s="388">
        <v>1372.2</v>
      </c>
      <c r="H305" s="388">
        <v>0</v>
      </c>
      <c r="I305" s="388">
        <v>1</v>
      </c>
      <c r="J305" s="388">
        <v>1502.6</v>
      </c>
      <c r="K305" s="388">
        <v>0</v>
      </c>
      <c r="L305" s="388">
        <v>2.5</v>
      </c>
      <c r="M305" s="388">
        <v>1467.7</v>
      </c>
      <c r="N305">
        <f t="shared" si="4"/>
        <v>0</v>
      </c>
    </row>
    <row r="306" spans="1:14" x14ac:dyDescent="0.3">
      <c r="A306" s="388" t="s">
        <v>3598</v>
      </c>
      <c r="B306" s="390">
        <v>1</v>
      </c>
      <c r="C306" s="388">
        <v>1.5</v>
      </c>
      <c r="D306" s="388">
        <v>1</v>
      </c>
      <c r="E306" s="388">
        <v>0.5</v>
      </c>
      <c r="F306" s="388">
        <v>2</v>
      </c>
      <c r="G306" s="388">
        <v>1372.7</v>
      </c>
      <c r="H306" s="388">
        <v>1</v>
      </c>
      <c r="I306" s="388">
        <v>2</v>
      </c>
      <c r="J306" s="388">
        <v>1503.6</v>
      </c>
      <c r="K306" s="388">
        <v>1</v>
      </c>
      <c r="L306" s="388">
        <v>3.5</v>
      </c>
      <c r="M306" s="388">
        <v>1468.7</v>
      </c>
      <c r="N306">
        <f t="shared" si="4"/>
        <v>1.5</v>
      </c>
    </row>
    <row r="307" spans="1:14" s="338" customFormat="1" x14ac:dyDescent="0.3">
      <c r="A307" s="392" t="s">
        <v>3599</v>
      </c>
      <c r="B307" s="393">
        <v>1</v>
      </c>
      <c r="C307" s="392">
        <v>1</v>
      </c>
      <c r="D307" s="392">
        <v>1</v>
      </c>
      <c r="E307" s="392">
        <v>0</v>
      </c>
      <c r="F307" s="392">
        <v>2</v>
      </c>
      <c r="G307" s="392">
        <v>1372.7</v>
      </c>
      <c r="H307" s="392">
        <v>1</v>
      </c>
      <c r="I307" s="392">
        <v>3</v>
      </c>
      <c r="J307" s="392">
        <v>1504.6</v>
      </c>
      <c r="K307" s="392">
        <v>1</v>
      </c>
      <c r="L307" s="392">
        <v>4.5</v>
      </c>
      <c r="M307" s="392">
        <v>1469.7</v>
      </c>
      <c r="N307">
        <f t="shared" si="4"/>
        <v>1</v>
      </c>
    </row>
    <row r="308" spans="1:14" x14ac:dyDescent="0.3">
      <c r="A308" s="388" t="s">
        <v>3600</v>
      </c>
      <c r="B308" s="390">
        <v>0</v>
      </c>
      <c r="C308" s="388">
        <v>0</v>
      </c>
      <c r="D308" s="388">
        <v>0</v>
      </c>
      <c r="E308" s="388">
        <v>0</v>
      </c>
      <c r="F308" s="388">
        <v>0</v>
      </c>
      <c r="G308" s="388">
        <v>1372.7</v>
      </c>
      <c r="H308" s="388">
        <v>0</v>
      </c>
      <c r="I308" s="388">
        <v>0</v>
      </c>
      <c r="J308" s="388">
        <v>1504.6</v>
      </c>
      <c r="K308" s="388">
        <v>0</v>
      </c>
      <c r="L308" s="388">
        <v>0</v>
      </c>
      <c r="M308" s="388">
        <v>1469.7</v>
      </c>
      <c r="N308">
        <f t="shared" si="4"/>
        <v>0</v>
      </c>
    </row>
    <row r="309" spans="1:14" x14ac:dyDescent="0.3">
      <c r="A309" s="388" t="s">
        <v>3601</v>
      </c>
      <c r="B309" s="390">
        <v>1</v>
      </c>
      <c r="C309" s="388">
        <v>2.5</v>
      </c>
      <c r="D309" s="388">
        <v>0.5</v>
      </c>
      <c r="E309" s="388">
        <v>1</v>
      </c>
      <c r="F309" s="388">
        <v>1</v>
      </c>
      <c r="G309" s="388">
        <v>1373.7</v>
      </c>
      <c r="H309" s="388">
        <v>1</v>
      </c>
      <c r="I309" s="388">
        <v>1</v>
      </c>
      <c r="J309" s="388">
        <v>1505.6</v>
      </c>
      <c r="K309" s="388">
        <v>3</v>
      </c>
      <c r="L309" s="388">
        <v>3</v>
      </c>
      <c r="M309" s="388">
        <v>1472.7</v>
      </c>
      <c r="N309">
        <f t="shared" si="4"/>
        <v>2.5</v>
      </c>
    </row>
    <row r="310" spans="1:14" x14ac:dyDescent="0.3">
      <c r="A310" s="388" t="s">
        <v>3602</v>
      </c>
      <c r="B310" s="390">
        <v>0</v>
      </c>
      <c r="C310" s="388">
        <v>0</v>
      </c>
      <c r="D310" s="388">
        <v>0</v>
      </c>
      <c r="E310" s="388">
        <v>0</v>
      </c>
      <c r="F310" s="388">
        <v>1</v>
      </c>
      <c r="G310" s="388">
        <v>1373.7</v>
      </c>
      <c r="H310" s="388">
        <v>0</v>
      </c>
      <c r="I310" s="388">
        <v>1</v>
      </c>
      <c r="J310" s="388">
        <v>1505.6</v>
      </c>
      <c r="K310" s="388">
        <v>0</v>
      </c>
      <c r="L310" s="388">
        <v>3</v>
      </c>
      <c r="M310" s="388">
        <v>1472.7</v>
      </c>
      <c r="N310">
        <f t="shared" si="4"/>
        <v>0</v>
      </c>
    </row>
    <row r="311" spans="1:14" x14ac:dyDescent="0.3">
      <c r="A311" s="388" t="s">
        <v>3603</v>
      </c>
      <c r="B311" s="390">
        <v>4.5</v>
      </c>
      <c r="C311" s="388">
        <v>6.5</v>
      </c>
      <c r="D311" s="388">
        <v>9</v>
      </c>
      <c r="E311" s="388">
        <v>6</v>
      </c>
      <c r="F311" s="388">
        <v>7</v>
      </c>
      <c r="G311" s="388">
        <v>1379.7</v>
      </c>
      <c r="H311" s="388">
        <v>6</v>
      </c>
      <c r="I311" s="388">
        <v>7</v>
      </c>
      <c r="J311" s="388">
        <v>1511.6</v>
      </c>
      <c r="K311" s="388">
        <v>23.5</v>
      </c>
      <c r="L311" s="388">
        <v>26.5</v>
      </c>
      <c r="M311" s="388">
        <v>1496.2</v>
      </c>
      <c r="N311">
        <f t="shared" si="4"/>
        <v>9</v>
      </c>
    </row>
    <row r="312" spans="1:14" x14ac:dyDescent="0.3">
      <c r="A312" s="388" t="s">
        <v>3604</v>
      </c>
      <c r="B312" s="390">
        <v>15.5</v>
      </c>
      <c r="C312" s="388">
        <v>21.5</v>
      </c>
      <c r="D312" s="388">
        <v>7</v>
      </c>
      <c r="E312" s="388">
        <v>18.2</v>
      </c>
      <c r="F312" s="388">
        <v>25.2</v>
      </c>
      <c r="G312" s="388">
        <v>1397.9</v>
      </c>
      <c r="H312" s="388">
        <v>21.5</v>
      </c>
      <c r="I312" s="388">
        <v>28.5</v>
      </c>
      <c r="J312" s="388">
        <v>1533.1</v>
      </c>
      <c r="K312" s="388">
        <v>22.5</v>
      </c>
      <c r="L312" s="388">
        <v>49</v>
      </c>
      <c r="M312" s="388">
        <v>1518.7</v>
      </c>
      <c r="N312">
        <f t="shared" si="4"/>
        <v>21.5</v>
      </c>
    </row>
    <row r="313" spans="1:14" x14ac:dyDescent="0.3">
      <c r="A313" s="388" t="s">
        <v>3605</v>
      </c>
      <c r="B313" s="390">
        <v>0</v>
      </c>
      <c r="C313" s="388">
        <v>0</v>
      </c>
      <c r="D313" s="388">
        <v>0</v>
      </c>
      <c r="E313" s="388">
        <v>0</v>
      </c>
      <c r="F313" s="388">
        <v>25.2</v>
      </c>
      <c r="G313" s="388">
        <v>1397.9</v>
      </c>
      <c r="H313" s="388">
        <v>0</v>
      </c>
      <c r="I313" s="388">
        <v>28.5</v>
      </c>
      <c r="J313" s="388">
        <v>1533.1</v>
      </c>
      <c r="K313" s="388">
        <v>0</v>
      </c>
      <c r="L313" s="388">
        <v>49</v>
      </c>
      <c r="M313" s="388">
        <v>1518.7</v>
      </c>
      <c r="N313">
        <f t="shared" si="4"/>
        <v>0</v>
      </c>
    </row>
    <row r="314" spans="1:14" x14ac:dyDescent="0.3">
      <c r="A314" s="388" t="s">
        <v>3606</v>
      </c>
      <c r="B314" s="390">
        <v>0</v>
      </c>
      <c r="C314" s="388">
        <v>0</v>
      </c>
      <c r="D314" s="388">
        <v>0</v>
      </c>
      <c r="E314" s="388">
        <v>0</v>
      </c>
      <c r="F314" s="388">
        <v>25.2</v>
      </c>
      <c r="G314" s="388">
        <v>1397.9</v>
      </c>
      <c r="H314" s="388">
        <v>0</v>
      </c>
      <c r="I314" s="388">
        <v>28.5</v>
      </c>
      <c r="J314" s="388">
        <v>1533.1</v>
      </c>
      <c r="K314" s="388">
        <v>0</v>
      </c>
      <c r="L314" s="388">
        <v>49</v>
      </c>
      <c r="M314" s="388">
        <v>1518.7</v>
      </c>
      <c r="N314">
        <f t="shared" si="4"/>
        <v>0</v>
      </c>
    </row>
    <row r="315" spans="1:14" x14ac:dyDescent="0.3">
      <c r="A315" s="388" t="s">
        <v>3607</v>
      </c>
      <c r="B315" s="390">
        <v>15.5</v>
      </c>
      <c r="C315" s="388">
        <v>16</v>
      </c>
      <c r="D315" s="388">
        <v>22.5</v>
      </c>
      <c r="E315" s="388">
        <v>13.2</v>
      </c>
      <c r="F315" s="388">
        <v>38.4</v>
      </c>
      <c r="G315" s="388">
        <v>1411.1</v>
      </c>
      <c r="H315" s="388">
        <v>14.5</v>
      </c>
      <c r="I315" s="388">
        <v>43</v>
      </c>
      <c r="J315" s="388">
        <v>1547.6</v>
      </c>
      <c r="K315" s="388">
        <v>15.5</v>
      </c>
      <c r="L315" s="388">
        <v>64.5</v>
      </c>
      <c r="M315" s="388">
        <v>1534.2</v>
      </c>
      <c r="N315">
        <f t="shared" si="4"/>
        <v>22.5</v>
      </c>
    </row>
    <row r="316" spans="1:14" x14ac:dyDescent="0.3">
      <c r="A316" s="388" t="s">
        <v>3608</v>
      </c>
      <c r="B316" s="390">
        <v>56</v>
      </c>
      <c r="C316" s="388">
        <v>47.5</v>
      </c>
      <c r="D316" s="388">
        <v>30.5</v>
      </c>
      <c r="E316" s="388">
        <v>55.4</v>
      </c>
      <c r="F316" s="388">
        <v>93.8</v>
      </c>
      <c r="G316" s="388">
        <v>1466.5</v>
      </c>
      <c r="H316" s="388">
        <v>67</v>
      </c>
      <c r="I316" s="388">
        <v>110</v>
      </c>
      <c r="J316" s="388">
        <v>1614.6</v>
      </c>
      <c r="K316" s="388">
        <v>51</v>
      </c>
      <c r="L316" s="388">
        <v>115.5</v>
      </c>
      <c r="M316" s="388">
        <v>1585.2</v>
      </c>
      <c r="N316">
        <f t="shared" si="4"/>
        <v>56</v>
      </c>
    </row>
    <row r="317" spans="1:14" x14ac:dyDescent="0.3">
      <c r="A317" s="388" t="s">
        <v>3609</v>
      </c>
      <c r="B317" s="390">
        <v>3</v>
      </c>
      <c r="C317" s="388">
        <v>2.5</v>
      </c>
      <c r="D317" s="388">
        <v>4.5</v>
      </c>
      <c r="E317" s="388">
        <v>1.5</v>
      </c>
      <c r="F317" s="388">
        <v>95.3</v>
      </c>
      <c r="G317" s="388">
        <v>1468</v>
      </c>
      <c r="H317" s="388">
        <v>1.5</v>
      </c>
      <c r="I317" s="388">
        <v>111.5</v>
      </c>
      <c r="J317" s="388">
        <v>1616.1</v>
      </c>
      <c r="K317" s="388">
        <v>2.5</v>
      </c>
      <c r="L317" s="388">
        <v>118</v>
      </c>
      <c r="M317" s="388">
        <v>1587.7</v>
      </c>
      <c r="N317">
        <f t="shared" si="4"/>
        <v>4.5</v>
      </c>
    </row>
    <row r="318" spans="1:14" x14ac:dyDescent="0.3">
      <c r="A318" s="388" t="s">
        <v>3610</v>
      </c>
      <c r="B318" s="390">
        <v>5</v>
      </c>
      <c r="C318" s="388">
        <v>2</v>
      </c>
      <c r="D318" s="388">
        <v>9</v>
      </c>
      <c r="E318" s="388">
        <v>2.6</v>
      </c>
      <c r="F318" s="388">
        <v>97.9</v>
      </c>
      <c r="G318" s="388">
        <v>1470.6</v>
      </c>
      <c r="H318" s="388">
        <v>3</v>
      </c>
      <c r="I318" s="388">
        <v>114.5</v>
      </c>
      <c r="J318" s="388">
        <v>1619.1</v>
      </c>
      <c r="K318" s="388">
        <v>4</v>
      </c>
      <c r="L318" s="388">
        <v>122</v>
      </c>
      <c r="M318" s="388">
        <v>1591.7</v>
      </c>
      <c r="N318">
        <f t="shared" si="4"/>
        <v>9</v>
      </c>
    </row>
    <row r="319" spans="1:14" x14ac:dyDescent="0.3">
      <c r="A319" s="388" t="s">
        <v>3611</v>
      </c>
      <c r="B319" s="390">
        <v>3</v>
      </c>
      <c r="C319" s="388">
        <v>2.5</v>
      </c>
      <c r="D319" s="388">
        <v>2</v>
      </c>
      <c r="E319" s="388">
        <v>3.8</v>
      </c>
      <c r="F319" s="388">
        <v>101.7</v>
      </c>
      <c r="G319" s="388">
        <v>1474.4</v>
      </c>
      <c r="H319" s="388">
        <v>4</v>
      </c>
      <c r="I319" s="388">
        <v>118.5</v>
      </c>
      <c r="J319" s="388">
        <v>1623.1</v>
      </c>
      <c r="K319" s="388">
        <v>3</v>
      </c>
      <c r="L319" s="388">
        <v>125</v>
      </c>
      <c r="M319" s="388">
        <v>1594.7</v>
      </c>
      <c r="N319">
        <f t="shared" si="4"/>
        <v>3</v>
      </c>
    </row>
    <row r="320" spans="1:14" x14ac:dyDescent="0.3">
      <c r="A320" s="388" t="s">
        <v>3612</v>
      </c>
      <c r="B320" s="390">
        <v>0</v>
      </c>
      <c r="C320" s="388">
        <v>0</v>
      </c>
      <c r="D320" s="388">
        <v>0</v>
      </c>
      <c r="E320" s="388">
        <v>0</v>
      </c>
      <c r="F320" s="388">
        <v>101.7</v>
      </c>
      <c r="G320" s="388">
        <v>1474.4</v>
      </c>
      <c r="H320" s="388">
        <v>0</v>
      </c>
      <c r="I320" s="388">
        <v>118.5</v>
      </c>
      <c r="J320" s="388">
        <v>1623.1</v>
      </c>
      <c r="K320" s="388">
        <v>0</v>
      </c>
      <c r="L320" s="388">
        <v>125</v>
      </c>
      <c r="M320" s="388">
        <v>1594.7</v>
      </c>
      <c r="N320">
        <f t="shared" si="4"/>
        <v>0</v>
      </c>
    </row>
    <row r="321" spans="1:14" x14ac:dyDescent="0.3">
      <c r="A321" s="388" t="s">
        <v>3613</v>
      </c>
      <c r="B321" s="390">
        <v>1</v>
      </c>
      <c r="C321" s="388">
        <v>1.5</v>
      </c>
      <c r="D321" s="388">
        <v>1</v>
      </c>
      <c r="E321" s="388">
        <v>0.6</v>
      </c>
      <c r="F321" s="388">
        <v>102.3</v>
      </c>
      <c r="G321" s="388">
        <v>1475</v>
      </c>
      <c r="H321" s="388">
        <v>1</v>
      </c>
      <c r="I321" s="388">
        <v>119.5</v>
      </c>
      <c r="J321" s="388">
        <v>1624.1</v>
      </c>
      <c r="K321" s="388">
        <v>1</v>
      </c>
      <c r="L321" s="388">
        <v>126</v>
      </c>
      <c r="M321" s="388">
        <v>1595.7</v>
      </c>
      <c r="N321">
        <f t="shared" si="4"/>
        <v>1.5</v>
      </c>
    </row>
    <row r="322" spans="1:14" x14ac:dyDescent="0.3">
      <c r="A322" s="388" t="s">
        <v>3614</v>
      </c>
      <c r="B322" s="390">
        <v>2</v>
      </c>
      <c r="C322" s="388">
        <v>2.5</v>
      </c>
      <c r="D322" s="388">
        <v>3</v>
      </c>
      <c r="E322" s="388">
        <v>1.4</v>
      </c>
      <c r="F322" s="388">
        <v>103.7</v>
      </c>
      <c r="G322" s="388">
        <v>1476.4</v>
      </c>
      <c r="H322" s="388">
        <v>1.5</v>
      </c>
      <c r="I322" s="388">
        <v>121</v>
      </c>
      <c r="J322" s="388">
        <v>1625.6</v>
      </c>
      <c r="K322" s="388">
        <v>2</v>
      </c>
      <c r="L322" s="388">
        <v>128</v>
      </c>
      <c r="M322" s="388">
        <v>1597.7</v>
      </c>
      <c r="N322">
        <f t="shared" si="4"/>
        <v>3</v>
      </c>
    </row>
    <row r="323" spans="1:14" x14ac:dyDescent="0.3">
      <c r="A323" s="388" t="s">
        <v>3615</v>
      </c>
      <c r="B323" s="390">
        <v>0</v>
      </c>
      <c r="C323" s="388">
        <v>0</v>
      </c>
      <c r="D323" s="388">
        <v>0</v>
      </c>
      <c r="E323" s="388">
        <v>0</v>
      </c>
      <c r="F323" s="388">
        <v>103.7</v>
      </c>
      <c r="G323" s="388">
        <v>1476.4</v>
      </c>
      <c r="H323" s="388">
        <v>0</v>
      </c>
      <c r="I323" s="388">
        <v>121</v>
      </c>
      <c r="J323" s="388">
        <v>1625.6</v>
      </c>
      <c r="K323" s="388">
        <v>0.5</v>
      </c>
      <c r="L323" s="388">
        <v>128.5</v>
      </c>
      <c r="M323" s="388">
        <v>1598.2</v>
      </c>
      <c r="N323">
        <f t="shared" si="4"/>
        <v>0</v>
      </c>
    </row>
    <row r="324" spans="1:14" x14ac:dyDescent="0.3">
      <c r="A324" s="388" t="s">
        <v>3616</v>
      </c>
      <c r="B324" s="390">
        <v>0.5</v>
      </c>
      <c r="C324" s="388">
        <v>4.5</v>
      </c>
      <c r="D324" s="388">
        <v>0.5</v>
      </c>
      <c r="E324" s="388">
        <v>0.4</v>
      </c>
      <c r="F324" s="388">
        <v>104.1</v>
      </c>
      <c r="G324" s="388">
        <v>1476.8</v>
      </c>
      <c r="H324" s="388">
        <v>1</v>
      </c>
      <c r="I324" s="388">
        <v>122</v>
      </c>
      <c r="J324" s="388">
        <v>1626.6</v>
      </c>
      <c r="K324" s="388">
        <v>0.5</v>
      </c>
      <c r="L324" s="388">
        <v>129</v>
      </c>
      <c r="M324" s="388">
        <v>1598.7</v>
      </c>
      <c r="N324">
        <f t="shared" si="4"/>
        <v>4.5</v>
      </c>
    </row>
    <row r="325" spans="1:14" x14ac:dyDescent="0.3">
      <c r="A325" s="388" t="s">
        <v>3617</v>
      </c>
      <c r="B325" s="390">
        <v>0</v>
      </c>
      <c r="C325" s="388">
        <v>0</v>
      </c>
      <c r="D325" s="388">
        <v>0</v>
      </c>
      <c r="E325" s="388">
        <v>0</v>
      </c>
      <c r="F325" s="388">
        <v>104.1</v>
      </c>
      <c r="G325" s="388">
        <v>1476.8</v>
      </c>
      <c r="H325" s="388">
        <v>0</v>
      </c>
      <c r="I325" s="388">
        <v>122</v>
      </c>
      <c r="J325" s="388">
        <v>1626.6</v>
      </c>
      <c r="K325" s="388">
        <v>0</v>
      </c>
      <c r="L325" s="388">
        <v>129</v>
      </c>
      <c r="M325" s="388">
        <v>1598.7</v>
      </c>
      <c r="N325">
        <f t="shared" ref="N325:N388" si="5">MAX(B325:D325)</f>
        <v>0</v>
      </c>
    </row>
    <row r="326" spans="1:14" x14ac:dyDescent="0.3">
      <c r="A326" s="388" t="s">
        <v>3618</v>
      </c>
      <c r="B326" s="390">
        <v>0</v>
      </c>
      <c r="C326" s="388">
        <v>0</v>
      </c>
      <c r="D326" s="388">
        <v>0</v>
      </c>
      <c r="E326" s="388">
        <v>0</v>
      </c>
      <c r="F326" s="388">
        <v>104.1</v>
      </c>
      <c r="G326" s="388">
        <v>1476.8</v>
      </c>
      <c r="H326" s="388">
        <v>0</v>
      </c>
      <c r="I326" s="388">
        <v>122</v>
      </c>
      <c r="J326" s="388">
        <v>1626.6</v>
      </c>
      <c r="K326" s="388">
        <v>0</v>
      </c>
      <c r="L326" s="388">
        <v>129</v>
      </c>
      <c r="M326" s="388">
        <v>1598.7</v>
      </c>
      <c r="N326">
        <f t="shared" si="5"/>
        <v>0</v>
      </c>
    </row>
    <row r="327" spans="1:14" x14ac:dyDescent="0.3">
      <c r="A327" s="388" t="s">
        <v>3619</v>
      </c>
      <c r="B327" s="390">
        <v>1</v>
      </c>
      <c r="C327" s="388">
        <v>0.5</v>
      </c>
      <c r="D327" s="388">
        <v>2.5</v>
      </c>
      <c r="E327" s="388">
        <v>1.4</v>
      </c>
      <c r="F327" s="388">
        <v>105.5</v>
      </c>
      <c r="G327" s="388">
        <v>1478.2</v>
      </c>
      <c r="H327" s="388">
        <v>2</v>
      </c>
      <c r="I327" s="388">
        <v>124</v>
      </c>
      <c r="J327" s="388">
        <v>1628.6</v>
      </c>
      <c r="K327" s="388">
        <v>1</v>
      </c>
      <c r="L327" s="388">
        <v>130</v>
      </c>
      <c r="M327" s="388">
        <v>1599.7</v>
      </c>
      <c r="N327">
        <f t="shared" si="5"/>
        <v>2.5</v>
      </c>
    </row>
    <row r="328" spans="1:14" x14ac:dyDescent="0.3">
      <c r="A328" s="388" t="s">
        <v>3620</v>
      </c>
      <c r="B328" s="390">
        <v>1.5</v>
      </c>
      <c r="C328" s="388">
        <v>0.5</v>
      </c>
      <c r="D328" s="388">
        <v>2</v>
      </c>
      <c r="E328" s="388">
        <v>1.4</v>
      </c>
      <c r="F328" s="388">
        <v>106.9</v>
      </c>
      <c r="G328" s="388">
        <v>1479.6</v>
      </c>
      <c r="H328" s="388">
        <v>2</v>
      </c>
      <c r="I328" s="388">
        <v>126</v>
      </c>
      <c r="J328" s="388">
        <v>1630.6</v>
      </c>
      <c r="K328" s="388">
        <v>0.5</v>
      </c>
      <c r="L328" s="388">
        <v>130.5</v>
      </c>
      <c r="M328" s="388">
        <v>1600.2</v>
      </c>
      <c r="N328">
        <f t="shared" si="5"/>
        <v>2</v>
      </c>
    </row>
    <row r="329" spans="1:14" x14ac:dyDescent="0.3">
      <c r="A329" s="388" t="s">
        <v>3621</v>
      </c>
      <c r="B329" s="390">
        <v>0.5</v>
      </c>
      <c r="C329" s="388">
        <v>0</v>
      </c>
      <c r="D329" s="388">
        <v>0.5</v>
      </c>
      <c r="E329" s="388">
        <v>0</v>
      </c>
      <c r="F329" s="388">
        <v>106.9</v>
      </c>
      <c r="G329" s="388">
        <v>1479.6</v>
      </c>
      <c r="H329" s="388">
        <v>0</v>
      </c>
      <c r="I329" s="388">
        <v>126</v>
      </c>
      <c r="J329" s="388">
        <v>1630.6</v>
      </c>
      <c r="K329" s="388">
        <v>0</v>
      </c>
      <c r="L329" s="388">
        <v>130.5</v>
      </c>
      <c r="M329" s="388">
        <v>1600.2</v>
      </c>
      <c r="N329">
        <f t="shared" si="5"/>
        <v>0.5</v>
      </c>
    </row>
    <row r="330" spans="1:14" x14ac:dyDescent="0.3">
      <c r="A330" s="388" t="s">
        <v>3622</v>
      </c>
      <c r="B330" s="390">
        <v>5</v>
      </c>
      <c r="C330" s="388">
        <v>2</v>
      </c>
      <c r="D330" s="388">
        <v>5.5</v>
      </c>
      <c r="E330" s="388">
        <v>2.2000000000000002</v>
      </c>
      <c r="F330" s="388">
        <v>109.1</v>
      </c>
      <c r="G330" s="388">
        <v>1481.8</v>
      </c>
      <c r="H330" s="388">
        <v>2.5</v>
      </c>
      <c r="I330" s="388">
        <v>128.5</v>
      </c>
      <c r="J330" s="388">
        <v>1633.1</v>
      </c>
      <c r="K330" s="388">
        <v>2</v>
      </c>
      <c r="L330" s="388">
        <v>132.5</v>
      </c>
      <c r="M330" s="388">
        <v>1602.2</v>
      </c>
      <c r="N330">
        <f t="shared" si="5"/>
        <v>5.5</v>
      </c>
    </row>
    <row r="331" spans="1:14" x14ac:dyDescent="0.3">
      <c r="A331" s="388" t="s">
        <v>3623</v>
      </c>
      <c r="B331" s="390">
        <v>0</v>
      </c>
      <c r="C331" s="388">
        <v>0</v>
      </c>
      <c r="D331" s="388">
        <v>0</v>
      </c>
      <c r="E331" s="388">
        <v>0</v>
      </c>
      <c r="F331" s="388">
        <v>109.1</v>
      </c>
      <c r="G331" s="388">
        <v>1481.8</v>
      </c>
      <c r="H331" s="388">
        <v>0</v>
      </c>
      <c r="I331" s="388">
        <v>128.5</v>
      </c>
      <c r="J331" s="388">
        <v>1633.1</v>
      </c>
      <c r="K331" s="388">
        <v>0</v>
      </c>
      <c r="L331" s="388">
        <v>132.5</v>
      </c>
      <c r="M331" s="388">
        <v>1602.2</v>
      </c>
      <c r="N331">
        <f t="shared" si="5"/>
        <v>0</v>
      </c>
    </row>
    <row r="332" spans="1:14" x14ac:dyDescent="0.3">
      <c r="A332" s="388" t="s">
        <v>3624</v>
      </c>
      <c r="B332" s="390">
        <v>22</v>
      </c>
      <c r="C332" s="388">
        <v>13.5</v>
      </c>
      <c r="D332" s="388">
        <v>17</v>
      </c>
      <c r="E332" s="388">
        <v>17.8</v>
      </c>
      <c r="F332" s="388">
        <v>126.9</v>
      </c>
      <c r="G332" s="388">
        <v>1499.6</v>
      </c>
      <c r="H332" s="388">
        <v>18.5</v>
      </c>
      <c r="I332" s="388">
        <v>147</v>
      </c>
      <c r="J332" s="388">
        <v>1651.6</v>
      </c>
      <c r="K332" s="388">
        <v>18.5</v>
      </c>
      <c r="L332" s="388">
        <v>151</v>
      </c>
      <c r="M332" s="388">
        <v>1620.7</v>
      </c>
      <c r="N332">
        <f t="shared" si="5"/>
        <v>22</v>
      </c>
    </row>
    <row r="333" spans="1:14" x14ac:dyDescent="0.3">
      <c r="A333" s="388" t="s">
        <v>3625</v>
      </c>
      <c r="B333" s="390">
        <v>5.5</v>
      </c>
      <c r="C333" s="388">
        <v>4</v>
      </c>
      <c r="D333" s="388">
        <v>5.5</v>
      </c>
      <c r="E333" s="388">
        <v>2.4</v>
      </c>
      <c r="F333" s="388">
        <v>129.30000000000001</v>
      </c>
      <c r="G333" s="388">
        <v>1502</v>
      </c>
      <c r="H333" s="388">
        <v>4.5</v>
      </c>
      <c r="I333" s="388">
        <v>151.5</v>
      </c>
      <c r="J333" s="388">
        <v>1656.1</v>
      </c>
      <c r="K333" s="388">
        <v>4.5</v>
      </c>
      <c r="L333" s="388">
        <v>155.5</v>
      </c>
      <c r="M333" s="388">
        <v>1625.2</v>
      </c>
      <c r="N333">
        <f t="shared" si="5"/>
        <v>5.5</v>
      </c>
    </row>
    <row r="334" spans="1:14" x14ac:dyDescent="0.3">
      <c r="A334" s="388" t="s">
        <v>3626</v>
      </c>
      <c r="B334" s="390">
        <v>1.5</v>
      </c>
      <c r="C334" s="388">
        <v>3</v>
      </c>
      <c r="D334" s="388">
        <v>0.5</v>
      </c>
      <c r="E334" s="388">
        <v>2.2000000000000002</v>
      </c>
      <c r="F334" s="388">
        <v>131.5</v>
      </c>
      <c r="G334" s="388">
        <v>1504.2</v>
      </c>
      <c r="H334" s="388">
        <v>2.5</v>
      </c>
      <c r="I334" s="388">
        <v>154</v>
      </c>
      <c r="J334" s="388">
        <v>1658.6</v>
      </c>
      <c r="K334" s="388">
        <v>2</v>
      </c>
      <c r="L334" s="388">
        <v>157.5</v>
      </c>
      <c r="M334" s="388">
        <v>1627.2</v>
      </c>
      <c r="N334">
        <f t="shared" si="5"/>
        <v>3</v>
      </c>
    </row>
    <row r="335" spans="1:14" x14ac:dyDescent="0.3">
      <c r="A335" s="388" t="s">
        <v>3627</v>
      </c>
      <c r="B335" s="390">
        <v>0</v>
      </c>
      <c r="C335" s="388">
        <v>0</v>
      </c>
      <c r="D335" s="388">
        <v>0</v>
      </c>
      <c r="E335" s="388">
        <v>0</v>
      </c>
      <c r="F335" s="388">
        <v>131.5</v>
      </c>
      <c r="G335" s="388">
        <v>1504.2</v>
      </c>
      <c r="H335" s="388">
        <v>0</v>
      </c>
      <c r="I335" s="388">
        <v>154</v>
      </c>
      <c r="J335" s="388">
        <v>1658.6</v>
      </c>
      <c r="K335" s="388">
        <v>0</v>
      </c>
      <c r="L335" s="388">
        <v>157.5</v>
      </c>
      <c r="M335" s="388">
        <v>1627.2</v>
      </c>
      <c r="N335">
        <f t="shared" si="5"/>
        <v>0</v>
      </c>
    </row>
    <row r="336" spans="1:14" x14ac:dyDescent="0.3">
      <c r="A336" s="388" t="s">
        <v>3628</v>
      </c>
      <c r="B336" s="390">
        <v>0</v>
      </c>
      <c r="C336" s="388">
        <v>0</v>
      </c>
      <c r="D336" s="388">
        <v>0</v>
      </c>
      <c r="E336" s="388">
        <v>0</v>
      </c>
      <c r="F336" s="388">
        <v>131.5</v>
      </c>
      <c r="G336" s="388">
        <v>1504.2</v>
      </c>
      <c r="H336" s="388">
        <v>0</v>
      </c>
      <c r="I336" s="388">
        <v>154</v>
      </c>
      <c r="J336" s="388">
        <v>1658.6</v>
      </c>
      <c r="K336" s="388">
        <v>0</v>
      </c>
      <c r="L336" s="388">
        <v>157.5</v>
      </c>
      <c r="M336" s="388">
        <v>1627.2</v>
      </c>
      <c r="N336">
        <f t="shared" si="5"/>
        <v>0</v>
      </c>
    </row>
    <row r="337" spans="1:14" s="338" customFormat="1" x14ac:dyDescent="0.3">
      <c r="A337" s="392" t="s">
        <v>3629</v>
      </c>
      <c r="B337" s="393">
        <v>2</v>
      </c>
      <c r="C337" s="392">
        <v>4.5</v>
      </c>
      <c r="D337" s="392">
        <v>3</v>
      </c>
      <c r="E337" s="392">
        <v>1.4</v>
      </c>
      <c r="F337" s="392">
        <v>132.9</v>
      </c>
      <c r="G337" s="392">
        <v>1505.6</v>
      </c>
      <c r="H337" s="392">
        <v>2.5</v>
      </c>
      <c r="I337" s="392">
        <v>156.5</v>
      </c>
      <c r="J337" s="392">
        <v>1661.1</v>
      </c>
      <c r="K337" s="392">
        <v>3</v>
      </c>
      <c r="L337" s="392">
        <v>160.5</v>
      </c>
      <c r="M337" s="392">
        <v>1630.2</v>
      </c>
      <c r="N337">
        <f t="shared" si="5"/>
        <v>4.5</v>
      </c>
    </row>
    <row r="338" spans="1:14" x14ac:dyDescent="0.3">
      <c r="A338" s="388" t="s">
        <v>3630</v>
      </c>
      <c r="B338" s="390">
        <v>37</v>
      </c>
      <c r="C338" s="388">
        <v>24.5</v>
      </c>
      <c r="D338" s="388">
        <v>33.5</v>
      </c>
      <c r="E338" s="388">
        <v>27.2</v>
      </c>
      <c r="F338" s="388">
        <v>27.2</v>
      </c>
      <c r="G338" s="388">
        <v>1532.8</v>
      </c>
      <c r="H338" s="388">
        <v>30.5</v>
      </c>
      <c r="I338" s="388">
        <v>30.5</v>
      </c>
      <c r="J338" s="388">
        <v>1691.6</v>
      </c>
      <c r="K338" s="388">
        <v>28</v>
      </c>
      <c r="L338" s="388">
        <v>28</v>
      </c>
      <c r="M338" s="388">
        <v>1658.2</v>
      </c>
      <c r="N338">
        <f t="shared" si="5"/>
        <v>37</v>
      </c>
    </row>
    <row r="339" spans="1:14" x14ac:dyDescent="0.3">
      <c r="A339" s="388" t="s">
        <v>3631</v>
      </c>
      <c r="B339" s="390">
        <v>60.5</v>
      </c>
      <c r="C339" s="388">
        <v>36.5</v>
      </c>
      <c r="D339" s="388">
        <v>73.5</v>
      </c>
      <c r="E339" s="388">
        <v>46.5</v>
      </c>
      <c r="F339" s="388">
        <v>73.7</v>
      </c>
      <c r="G339" s="388">
        <v>1579.3</v>
      </c>
      <c r="H339" s="388">
        <v>55.5</v>
      </c>
      <c r="I339" s="388">
        <v>86</v>
      </c>
      <c r="J339" s="388">
        <v>1747.1</v>
      </c>
      <c r="K339" s="388">
        <v>41</v>
      </c>
      <c r="L339" s="388">
        <v>69</v>
      </c>
      <c r="M339" s="388">
        <v>1699.2</v>
      </c>
      <c r="N339">
        <f t="shared" si="5"/>
        <v>73.5</v>
      </c>
    </row>
    <row r="340" spans="1:14" x14ac:dyDescent="0.3">
      <c r="A340" s="388" t="s">
        <v>3632</v>
      </c>
      <c r="B340" s="390">
        <v>24.5</v>
      </c>
      <c r="C340" s="388">
        <v>25</v>
      </c>
      <c r="D340" s="388">
        <v>25.5</v>
      </c>
      <c r="E340" s="388">
        <v>22</v>
      </c>
      <c r="F340" s="388">
        <v>95.7</v>
      </c>
      <c r="G340" s="388">
        <v>1601.3</v>
      </c>
      <c r="H340" s="388">
        <v>25.5</v>
      </c>
      <c r="I340" s="388">
        <v>111.5</v>
      </c>
      <c r="J340" s="388">
        <v>1772.6</v>
      </c>
      <c r="K340" s="388">
        <v>19.5</v>
      </c>
      <c r="L340" s="388">
        <v>88.5</v>
      </c>
      <c r="M340" s="388">
        <v>1718.7</v>
      </c>
      <c r="N340">
        <f t="shared" si="5"/>
        <v>25.5</v>
      </c>
    </row>
    <row r="341" spans="1:14" x14ac:dyDescent="0.3">
      <c r="A341" s="388" t="s">
        <v>3633</v>
      </c>
      <c r="B341" s="390">
        <v>10</v>
      </c>
      <c r="C341" s="388">
        <v>3.5</v>
      </c>
      <c r="D341" s="388">
        <v>4</v>
      </c>
      <c r="E341" s="388">
        <v>10.199999999999999</v>
      </c>
      <c r="F341" s="388">
        <v>105.9</v>
      </c>
      <c r="G341" s="388">
        <v>1611.5</v>
      </c>
      <c r="H341" s="388">
        <v>10.5</v>
      </c>
      <c r="I341" s="388">
        <v>122</v>
      </c>
      <c r="J341" s="388">
        <v>1783.1</v>
      </c>
      <c r="K341" s="388">
        <v>9</v>
      </c>
      <c r="L341" s="388">
        <v>97.5</v>
      </c>
      <c r="M341" s="388">
        <v>1727.7</v>
      </c>
      <c r="N341">
        <f t="shared" si="5"/>
        <v>10</v>
      </c>
    </row>
    <row r="342" spans="1:14" x14ac:dyDescent="0.3">
      <c r="A342" s="388" t="s">
        <v>3634</v>
      </c>
      <c r="B342" s="390">
        <v>2.5</v>
      </c>
      <c r="C342" s="388">
        <v>2</v>
      </c>
      <c r="D342" s="388">
        <v>2</v>
      </c>
      <c r="E342" s="388">
        <v>3</v>
      </c>
      <c r="F342" s="388">
        <v>108.9</v>
      </c>
      <c r="G342" s="388">
        <v>1614.5</v>
      </c>
      <c r="H342" s="388">
        <v>3.5</v>
      </c>
      <c r="I342" s="388">
        <v>125.5</v>
      </c>
      <c r="J342" s="388">
        <v>1786.6</v>
      </c>
      <c r="K342" s="388">
        <v>1.5</v>
      </c>
      <c r="L342" s="388">
        <v>99</v>
      </c>
      <c r="M342" s="388">
        <v>1729.2</v>
      </c>
      <c r="N342">
        <f t="shared" si="5"/>
        <v>2.5</v>
      </c>
    </row>
    <row r="343" spans="1:14" x14ac:dyDescent="0.3">
      <c r="A343" s="388" t="s">
        <v>3635</v>
      </c>
      <c r="B343" s="390">
        <v>3</v>
      </c>
      <c r="C343" s="388">
        <v>1</v>
      </c>
      <c r="D343" s="388">
        <v>3</v>
      </c>
      <c r="E343" s="388">
        <v>1.4</v>
      </c>
      <c r="F343" s="388">
        <v>110.3</v>
      </c>
      <c r="G343" s="388">
        <v>1615.9</v>
      </c>
      <c r="H343" s="388">
        <v>2</v>
      </c>
      <c r="I343" s="388">
        <v>127.5</v>
      </c>
      <c r="J343" s="388">
        <v>1788.6</v>
      </c>
      <c r="K343" s="388">
        <v>1.5</v>
      </c>
      <c r="L343" s="388">
        <v>100.5</v>
      </c>
      <c r="M343" s="388">
        <v>1730.7</v>
      </c>
      <c r="N343">
        <f t="shared" si="5"/>
        <v>3</v>
      </c>
    </row>
    <row r="344" spans="1:14" x14ac:dyDescent="0.3">
      <c r="A344" s="388" t="s">
        <v>3636</v>
      </c>
      <c r="B344" s="390">
        <v>4.5</v>
      </c>
      <c r="C344" s="388">
        <v>2</v>
      </c>
      <c r="D344" s="388">
        <v>1</v>
      </c>
      <c r="E344" s="388">
        <v>4.2</v>
      </c>
      <c r="F344" s="388">
        <v>114.5</v>
      </c>
      <c r="G344" s="388">
        <v>1620.1</v>
      </c>
      <c r="H344" s="388">
        <v>4.5</v>
      </c>
      <c r="I344" s="388">
        <v>132</v>
      </c>
      <c r="J344" s="388">
        <v>1793.1</v>
      </c>
      <c r="K344" s="388">
        <v>0.5</v>
      </c>
      <c r="L344" s="388">
        <v>101</v>
      </c>
      <c r="M344" s="388">
        <v>1731.2</v>
      </c>
      <c r="N344">
        <f t="shared" si="5"/>
        <v>4.5</v>
      </c>
    </row>
    <row r="345" spans="1:14" x14ac:dyDescent="0.3">
      <c r="A345" s="388" t="s">
        <v>3637</v>
      </c>
      <c r="B345" s="390">
        <v>8.5</v>
      </c>
      <c r="C345" s="388">
        <v>3.5</v>
      </c>
      <c r="D345" s="388">
        <v>20</v>
      </c>
      <c r="E345" s="388">
        <v>5.2</v>
      </c>
      <c r="F345" s="388">
        <v>119.7</v>
      </c>
      <c r="G345" s="388">
        <v>1625.3</v>
      </c>
      <c r="H345" s="388">
        <v>5.5</v>
      </c>
      <c r="I345" s="388">
        <v>137.5</v>
      </c>
      <c r="J345" s="388">
        <v>1798.6</v>
      </c>
      <c r="K345" s="388">
        <v>8</v>
      </c>
      <c r="L345" s="388">
        <v>109</v>
      </c>
      <c r="M345" s="388">
        <v>1739.2</v>
      </c>
      <c r="N345">
        <f t="shared" si="5"/>
        <v>20</v>
      </c>
    </row>
    <row r="346" spans="1:14" x14ac:dyDescent="0.3">
      <c r="A346" s="388" t="s">
        <v>3638</v>
      </c>
      <c r="B346" s="390">
        <v>0</v>
      </c>
      <c r="C346" s="388">
        <v>0</v>
      </c>
      <c r="D346" s="388">
        <v>0.5</v>
      </c>
      <c r="E346" s="388">
        <v>0.2</v>
      </c>
      <c r="F346" s="388">
        <v>119.9</v>
      </c>
      <c r="G346" s="388">
        <v>1625.5</v>
      </c>
      <c r="H346" s="388">
        <v>0</v>
      </c>
      <c r="I346" s="388">
        <v>137.5</v>
      </c>
      <c r="J346" s="388">
        <v>1798.6</v>
      </c>
      <c r="K346" s="388">
        <v>0.5</v>
      </c>
      <c r="L346" s="388">
        <v>109.5</v>
      </c>
      <c r="M346" s="388">
        <v>1739.7</v>
      </c>
      <c r="N346">
        <f t="shared" si="5"/>
        <v>0.5</v>
      </c>
    </row>
    <row r="347" spans="1:14" x14ac:dyDescent="0.3">
      <c r="A347" s="388" t="s">
        <v>3639</v>
      </c>
      <c r="B347" s="390">
        <v>25</v>
      </c>
      <c r="C347" s="388">
        <v>31</v>
      </c>
      <c r="D347" s="388">
        <v>28.5</v>
      </c>
      <c r="E347" s="388">
        <v>29.6</v>
      </c>
      <c r="F347" s="388">
        <v>149.5</v>
      </c>
      <c r="G347" s="388">
        <v>1655.1</v>
      </c>
      <c r="H347" s="388">
        <v>32.5</v>
      </c>
      <c r="I347" s="388">
        <v>170</v>
      </c>
      <c r="J347" s="388">
        <v>1831.1</v>
      </c>
      <c r="K347" s="388">
        <v>23</v>
      </c>
      <c r="L347" s="388">
        <v>132.5</v>
      </c>
      <c r="M347" s="388">
        <v>1762.7</v>
      </c>
      <c r="N347">
        <f t="shared" si="5"/>
        <v>31</v>
      </c>
    </row>
    <row r="348" spans="1:14" x14ac:dyDescent="0.3">
      <c r="A348" s="388" t="s">
        <v>3640</v>
      </c>
      <c r="B348" s="390">
        <v>5</v>
      </c>
      <c r="C348" s="388">
        <v>5</v>
      </c>
      <c r="D348" s="388">
        <v>4</v>
      </c>
      <c r="E348" s="388">
        <v>4.8</v>
      </c>
      <c r="F348" s="388">
        <v>154.30000000000001</v>
      </c>
      <c r="G348" s="388">
        <v>1659.9</v>
      </c>
      <c r="H348" s="388">
        <v>5</v>
      </c>
      <c r="I348" s="388">
        <v>175</v>
      </c>
      <c r="J348" s="388">
        <v>1836.1</v>
      </c>
      <c r="K348" s="388">
        <v>3</v>
      </c>
      <c r="L348" s="388">
        <v>135.5</v>
      </c>
      <c r="M348" s="388">
        <v>1765.7</v>
      </c>
      <c r="N348">
        <f t="shared" si="5"/>
        <v>5</v>
      </c>
    </row>
    <row r="349" spans="1:14" x14ac:dyDescent="0.3">
      <c r="A349" s="388" t="s">
        <v>3641</v>
      </c>
      <c r="B349" s="390">
        <v>3</v>
      </c>
      <c r="C349" s="388">
        <v>3.5</v>
      </c>
      <c r="D349" s="388">
        <v>4</v>
      </c>
      <c r="E349" s="388">
        <v>1.2</v>
      </c>
      <c r="F349" s="388">
        <v>155.5</v>
      </c>
      <c r="G349" s="388">
        <v>1661.1</v>
      </c>
      <c r="H349" s="388">
        <v>1.5</v>
      </c>
      <c r="I349" s="388">
        <v>176.5</v>
      </c>
      <c r="J349" s="388">
        <v>1837.6</v>
      </c>
      <c r="K349" s="388">
        <v>2</v>
      </c>
      <c r="L349" s="388">
        <v>137.5</v>
      </c>
      <c r="M349" s="388">
        <v>1767.7</v>
      </c>
      <c r="N349">
        <f t="shared" si="5"/>
        <v>4</v>
      </c>
    </row>
    <row r="350" spans="1:14" x14ac:dyDescent="0.3">
      <c r="A350" s="388" t="s">
        <v>3642</v>
      </c>
      <c r="B350" s="390">
        <v>0</v>
      </c>
      <c r="C350" s="388">
        <v>0</v>
      </c>
      <c r="D350" s="388">
        <v>0</v>
      </c>
      <c r="E350" s="388">
        <v>0</v>
      </c>
      <c r="F350" s="388">
        <v>155.5</v>
      </c>
      <c r="G350" s="388">
        <v>1661.1</v>
      </c>
      <c r="H350" s="388">
        <v>0</v>
      </c>
      <c r="I350" s="388">
        <v>176.5</v>
      </c>
      <c r="J350" s="388">
        <v>1837.6</v>
      </c>
      <c r="K350" s="388">
        <v>0</v>
      </c>
      <c r="L350" s="388">
        <v>137.5</v>
      </c>
      <c r="M350" s="388">
        <v>1767.7</v>
      </c>
      <c r="N350">
        <f t="shared" si="5"/>
        <v>0</v>
      </c>
    </row>
    <row r="351" spans="1:14" x14ac:dyDescent="0.3">
      <c r="A351" s="388" t="s">
        <v>3643</v>
      </c>
      <c r="B351" s="390">
        <v>10</v>
      </c>
      <c r="C351" s="388">
        <v>13.5</v>
      </c>
      <c r="D351" s="388">
        <v>1.5</v>
      </c>
      <c r="E351" s="388">
        <v>10.6</v>
      </c>
      <c r="F351" s="388">
        <v>166.1</v>
      </c>
      <c r="G351" s="388">
        <v>1671.7</v>
      </c>
      <c r="H351" s="388">
        <v>11</v>
      </c>
      <c r="I351" s="388">
        <v>187.5</v>
      </c>
      <c r="J351" s="388">
        <v>1848.6</v>
      </c>
      <c r="K351" s="388">
        <v>4.5</v>
      </c>
      <c r="L351" s="388">
        <v>142</v>
      </c>
      <c r="M351" s="388">
        <v>1772.2</v>
      </c>
      <c r="N351">
        <f t="shared" si="5"/>
        <v>13.5</v>
      </c>
    </row>
    <row r="352" spans="1:14" x14ac:dyDescent="0.3">
      <c r="A352" s="388" t="s">
        <v>3644</v>
      </c>
      <c r="B352" s="390">
        <v>3</v>
      </c>
      <c r="C352" s="388">
        <v>8.5</v>
      </c>
      <c r="D352" s="388">
        <v>23.5</v>
      </c>
      <c r="E352" s="388">
        <v>1.2</v>
      </c>
      <c r="F352" s="388">
        <v>167.3</v>
      </c>
      <c r="G352" s="388">
        <v>1672.9</v>
      </c>
      <c r="H352" s="388">
        <v>1.5</v>
      </c>
      <c r="I352" s="388">
        <v>189</v>
      </c>
      <c r="J352" s="388">
        <v>1850.1</v>
      </c>
      <c r="K352" s="388">
        <v>2.5</v>
      </c>
      <c r="L352" s="388">
        <v>144.5</v>
      </c>
      <c r="M352" s="388">
        <v>1774.7</v>
      </c>
      <c r="N352">
        <f t="shared" si="5"/>
        <v>23.5</v>
      </c>
    </row>
    <row r="353" spans="1:14" x14ac:dyDescent="0.3">
      <c r="A353" s="388" t="s">
        <v>3645</v>
      </c>
      <c r="B353" s="390">
        <v>14.5</v>
      </c>
      <c r="C353" s="388">
        <v>12</v>
      </c>
      <c r="D353" s="388">
        <v>14.5</v>
      </c>
      <c r="E353" s="388">
        <v>10.6</v>
      </c>
      <c r="F353" s="388">
        <v>177.9</v>
      </c>
      <c r="G353" s="388">
        <v>1683.5</v>
      </c>
      <c r="H353" s="388">
        <v>13</v>
      </c>
      <c r="I353" s="388">
        <v>202</v>
      </c>
      <c r="J353" s="388">
        <v>1863.1</v>
      </c>
      <c r="K353" s="388">
        <v>10.5</v>
      </c>
      <c r="L353" s="388">
        <v>155</v>
      </c>
      <c r="M353" s="388">
        <v>1785.2</v>
      </c>
      <c r="N353">
        <f t="shared" si="5"/>
        <v>14.5</v>
      </c>
    </row>
    <row r="354" spans="1:14" x14ac:dyDescent="0.3">
      <c r="A354" s="388" t="s">
        <v>3646</v>
      </c>
      <c r="B354" s="390">
        <v>0</v>
      </c>
      <c r="C354" s="388">
        <v>0</v>
      </c>
      <c r="D354" s="388">
        <v>0</v>
      </c>
      <c r="E354" s="388">
        <v>0</v>
      </c>
      <c r="F354" s="388">
        <v>177.9</v>
      </c>
      <c r="G354" s="388">
        <v>1683.5</v>
      </c>
      <c r="H354" s="388">
        <v>0</v>
      </c>
      <c r="I354" s="388">
        <v>202</v>
      </c>
      <c r="J354" s="388">
        <v>1863.1</v>
      </c>
      <c r="K354" s="388">
        <v>0</v>
      </c>
      <c r="L354" s="388">
        <v>155</v>
      </c>
      <c r="M354" s="388">
        <v>1785.2</v>
      </c>
      <c r="N354">
        <f t="shared" si="5"/>
        <v>0</v>
      </c>
    </row>
    <row r="355" spans="1:14" x14ac:dyDescent="0.3">
      <c r="A355" s="388" t="s">
        <v>3647</v>
      </c>
      <c r="B355" s="390">
        <v>0</v>
      </c>
      <c r="C355" s="388">
        <v>0</v>
      </c>
      <c r="D355" s="388">
        <v>0</v>
      </c>
      <c r="E355" s="388">
        <v>0</v>
      </c>
      <c r="F355" s="388">
        <v>177.9</v>
      </c>
      <c r="G355" s="388">
        <v>1683.5</v>
      </c>
      <c r="H355" s="388">
        <v>0</v>
      </c>
      <c r="I355" s="388">
        <v>202</v>
      </c>
      <c r="J355" s="388">
        <v>1863.1</v>
      </c>
      <c r="K355" s="388">
        <v>0</v>
      </c>
      <c r="L355" s="388">
        <v>155</v>
      </c>
      <c r="M355" s="388">
        <v>1785.2</v>
      </c>
      <c r="N355">
        <f t="shared" si="5"/>
        <v>0</v>
      </c>
    </row>
    <row r="356" spans="1:14" x14ac:dyDescent="0.3">
      <c r="A356" s="388" t="s">
        <v>3648</v>
      </c>
      <c r="B356" s="390">
        <v>9</v>
      </c>
      <c r="C356" s="388">
        <v>10.5</v>
      </c>
      <c r="D356" s="388">
        <v>7</v>
      </c>
      <c r="E356" s="388">
        <v>8.8000000000000007</v>
      </c>
      <c r="F356" s="388">
        <v>186.7</v>
      </c>
      <c r="G356" s="388">
        <v>1692.3</v>
      </c>
      <c r="H356" s="388">
        <v>9</v>
      </c>
      <c r="I356" s="388">
        <v>211</v>
      </c>
      <c r="J356" s="388">
        <v>1872.1</v>
      </c>
      <c r="K356" s="388">
        <v>12</v>
      </c>
      <c r="L356" s="388">
        <v>167</v>
      </c>
      <c r="M356" s="388">
        <v>1797.2</v>
      </c>
      <c r="N356">
        <f t="shared" si="5"/>
        <v>10.5</v>
      </c>
    </row>
    <row r="357" spans="1:14" x14ac:dyDescent="0.3">
      <c r="A357" s="388" t="s">
        <v>3649</v>
      </c>
      <c r="B357" s="390">
        <v>0</v>
      </c>
      <c r="C357" s="388">
        <v>0</v>
      </c>
      <c r="D357" s="388">
        <v>0</v>
      </c>
      <c r="E357" s="388">
        <v>0</v>
      </c>
      <c r="F357" s="388">
        <v>186.7</v>
      </c>
      <c r="G357" s="388">
        <v>1692.3</v>
      </c>
      <c r="H357" s="388">
        <v>0</v>
      </c>
      <c r="I357" s="388">
        <v>211</v>
      </c>
      <c r="J357" s="388">
        <v>1872.1</v>
      </c>
      <c r="K357" s="388">
        <v>0</v>
      </c>
      <c r="L357" s="388">
        <v>167</v>
      </c>
      <c r="M357" s="388">
        <v>1797.2</v>
      </c>
      <c r="N357">
        <f t="shared" si="5"/>
        <v>0</v>
      </c>
    </row>
    <row r="358" spans="1:14" x14ac:dyDescent="0.3">
      <c r="A358" s="388" t="s">
        <v>3650</v>
      </c>
      <c r="B358" s="390">
        <v>0</v>
      </c>
      <c r="C358" s="388">
        <v>0</v>
      </c>
      <c r="D358" s="388">
        <v>0</v>
      </c>
      <c r="E358" s="388">
        <v>0</v>
      </c>
      <c r="F358" s="388">
        <v>186.7</v>
      </c>
      <c r="G358" s="388">
        <v>1692.3</v>
      </c>
      <c r="H358" s="388">
        <v>0</v>
      </c>
      <c r="I358" s="388">
        <v>211</v>
      </c>
      <c r="J358" s="388">
        <v>1872.1</v>
      </c>
      <c r="K358" s="388">
        <v>0</v>
      </c>
      <c r="L358" s="388">
        <v>167</v>
      </c>
      <c r="M358" s="388">
        <v>1797.2</v>
      </c>
      <c r="N358">
        <f t="shared" si="5"/>
        <v>0</v>
      </c>
    </row>
    <row r="359" spans="1:14" x14ac:dyDescent="0.3">
      <c r="A359" s="388" t="s">
        <v>3651</v>
      </c>
      <c r="B359" s="390">
        <v>6</v>
      </c>
      <c r="C359" s="388">
        <v>13</v>
      </c>
      <c r="D359" s="388">
        <v>5</v>
      </c>
      <c r="E359" s="388">
        <v>4.8</v>
      </c>
      <c r="F359" s="388">
        <v>191.5</v>
      </c>
      <c r="G359" s="388">
        <v>1697.1</v>
      </c>
      <c r="H359" s="388">
        <v>5.5</v>
      </c>
      <c r="I359" s="388">
        <v>216.5</v>
      </c>
      <c r="J359" s="388">
        <v>1877.6</v>
      </c>
      <c r="K359" s="388">
        <v>7</v>
      </c>
      <c r="L359" s="388">
        <v>174</v>
      </c>
      <c r="M359" s="388">
        <v>1804.2</v>
      </c>
      <c r="N359">
        <f t="shared" si="5"/>
        <v>13</v>
      </c>
    </row>
    <row r="360" spans="1:14" x14ac:dyDescent="0.3">
      <c r="A360" s="388" t="s">
        <v>3652</v>
      </c>
      <c r="B360" s="390">
        <v>0.5</v>
      </c>
      <c r="C360" s="388">
        <v>2.5</v>
      </c>
      <c r="D360" s="388">
        <v>1.5</v>
      </c>
      <c r="E360" s="388">
        <v>1</v>
      </c>
      <c r="F360" s="388">
        <v>192.5</v>
      </c>
      <c r="G360" s="388">
        <v>1698.1</v>
      </c>
      <c r="H360" s="388">
        <v>1</v>
      </c>
      <c r="I360" s="388">
        <v>217.5</v>
      </c>
      <c r="J360" s="388">
        <v>1878.6</v>
      </c>
      <c r="K360" s="388">
        <v>2</v>
      </c>
      <c r="L360" s="388">
        <v>176</v>
      </c>
      <c r="M360" s="388">
        <v>1806.2</v>
      </c>
      <c r="N360">
        <f t="shared" si="5"/>
        <v>2.5</v>
      </c>
    </row>
    <row r="361" spans="1:14" x14ac:dyDescent="0.3">
      <c r="A361" s="388" t="s">
        <v>3653</v>
      </c>
      <c r="B361" s="390">
        <v>0</v>
      </c>
      <c r="C361" s="388">
        <v>0</v>
      </c>
      <c r="D361" s="388">
        <v>0</v>
      </c>
      <c r="E361" s="388">
        <v>0</v>
      </c>
      <c r="F361" s="388">
        <v>192.5</v>
      </c>
      <c r="G361" s="388">
        <v>1698.1</v>
      </c>
      <c r="H361" s="388">
        <v>0</v>
      </c>
      <c r="I361" s="388">
        <v>217.5</v>
      </c>
      <c r="J361" s="388">
        <v>1878.6</v>
      </c>
      <c r="K361" s="388">
        <v>0</v>
      </c>
      <c r="L361" s="388">
        <v>176</v>
      </c>
      <c r="M361" s="388">
        <v>1806.2</v>
      </c>
      <c r="N361">
        <f t="shared" si="5"/>
        <v>0</v>
      </c>
    </row>
    <row r="362" spans="1:14" x14ac:dyDescent="0.3">
      <c r="A362" s="388" t="s">
        <v>3654</v>
      </c>
      <c r="B362" s="390">
        <v>0</v>
      </c>
      <c r="C362" s="388">
        <v>0</v>
      </c>
      <c r="D362" s="388">
        <v>0</v>
      </c>
      <c r="E362" s="388">
        <v>0</v>
      </c>
      <c r="F362" s="388">
        <v>192.5</v>
      </c>
      <c r="G362" s="388">
        <v>1698.1</v>
      </c>
      <c r="H362" s="388">
        <v>0</v>
      </c>
      <c r="I362" s="388">
        <v>217.5</v>
      </c>
      <c r="J362" s="388">
        <v>1878.6</v>
      </c>
      <c r="K362" s="388">
        <v>0</v>
      </c>
      <c r="L362" s="388">
        <v>176</v>
      </c>
      <c r="M362" s="388">
        <v>1806.2</v>
      </c>
      <c r="N362">
        <f t="shared" si="5"/>
        <v>0</v>
      </c>
    </row>
    <row r="363" spans="1:14" x14ac:dyDescent="0.3">
      <c r="A363" s="388" t="s">
        <v>3655</v>
      </c>
      <c r="B363" s="390">
        <v>0</v>
      </c>
      <c r="C363" s="388">
        <v>0</v>
      </c>
      <c r="D363" s="388">
        <v>0</v>
      </c>
      <c r="E363" s="388">
        <v>0</v>
      </c>
      <c r="F363" s="388">
        <v>192.5</v>
      </c>
      <c r="G363" s="388">
        <v>1698.1</v>
      </c>
      <c r="H363" s="388">
        <v>0</v>
      </c>
      <c r="I363" s="388">
        <v>217.5</v>
      </c>
      <c r="J363" s="388">
        <v>1878.6</v>
      </c>
      <c r="K363" s="388">
        <v>0</v>
      </c>
      <c r="L363" s="388">
        <v>176</v>
      </c>
      <c r="M363" s="388">
        <v>1806.2</v>
      </c>
      <c r="N363">
        <f t="shared" si="5"/>
        <v>0</v>
      </c>
    </row>
    <row r="364" spans="1:14" x14ac:dyDescent="0.3">
      <c r="A364" s="388" t="s">
        <v>3656</v>
      </c>
      <c r="B364" s="390">
        <v>0</v>
      </c>
      <c r="C364" s="388">
        <v>0</v>
      </c>
      <c r="D364" s="388">
        <v>0</v>
      </c>
      <c r="E364" s="388">
        <v>0</v>
      </c>
      <c r="F364" s="388">
        <v>192.5</v>
      </c>
      <c r="G364" s="388">
        <v>1698.1</v>
      </c>
      <c r="H364" s="388">
        <v>0</v>
      </c>
      <c r="I364" s="388">
        <v>217.5</v>
      </c>
      <c r="J364" s="388">
        <v>1878.6</v>
      </c>
      <c r="K364" s="388">
        <v>0</v>
      </c>
      <c r="L364" s="388">
        <v>176</v>
      </c>
      <c r="M364" s="388">
        <v>1806.2</v>
      </c>
      <c r="N364">
        <f t="shared" si="5"/>
        <v>0</v>
      </c>
    </row>
    <row r="365" spans="1:14" x14ac:dyDescent="0.3">
      <c r="A365" s="388" t="s">
        <v>3657</v>
      </c>
      <c r="B365" s="390">
        <v>1.5</v>
      </c>
      <c r="C365" s="388">
        <v>2.5</v>
      </c>
      <c r="D365" s="388">
        <v>2</v>
      </c>
      <c r="E365" s="388">
        <v>1</v>
      </c>
      <c r="F365" s="388">
        <v>193.5</v>
      </c>
      <c r="G365" s="388">
        <v>1699.1</v>
      </c>
      <c r="H365" s="388">
        <v>1.5</v>
      </c>
      <c r="I365" s="388">
        <v>219</v>
      </c>
      <c r="J365" s="388">
        <v>1880.1</v>
      </c>
      <c r="K365" s="388">
        <v>1.5</v>
      </c>
      <c r="L365" s="388">
        <v>177.5</v>
      </c>
      <c r="M365" s="388">
        <v>1807.7</v>
      </c>
      <c r="N365">
        <f t="shared" si="5"/>
        <v>2.5</v>
      </c>
    </row>
    <row r="366" spans="1:14" x14ac:dyDescent="0.3">
      <c r="A366" s="388" t="s">
        <v>3658</v>
      </c>
      <c r="B366" s="390">
        <v>2</v>
      </c>
      <c r="C366" s="388">
        <v>2.5</v>
      </c>
      <c r="D366" s="388">
        <v>3</v>
      </c>
      <c r="E366" s="388">
        <v>2.2000000000000002</v>
      </c>
      <c r="F366" s="388">
        <v>195.7</v>
      </c>
      <c r="G366" s="388">
        <v>1701.3</v>
      </c>
      <c r="H366" s="388">
        <v>2.5</v>
      </c>
      <c r="I366" s="388">
        <v>221.5</v>
      </c>
      <c r="J366" s="388">
        <v>1882.6</v>
      </c>
      <c r="K366" s="388">
        <v>3</v>
      </c>
      <c r="L366" s="388">
        <v>180.5</v>
      </c>
      <c r="M366" s="388">
        <v>1810.7</v>
      </c>
      <c r="N366">
        <f t="shared" si="5"/>
        <v>3</v>
      </c>
    </row>
    <row r="367" spans="1:14" x14ac:dyDescent="0.3">
      <c r="A367" s="388" t="s">
        <v>3659</v>
      </c>
      <c r="B367" s="390">
        <v>0</v>
      </c>
      <c r="C367" s="388">
        <v>0</v>
      </c>
      <c r="D367" s="388">
        <v>0</v>
      </c>
      <c r="E367" s="388">
        <v>0</v>
      </c>
      <c r="F367" s="388">
        <v>195.7</v>
      </c>
      <c r="G367" s="388">
        <v>1701.3</v>
      </c>
      <c r="H367" s="388">
        <v>0</v>
      </c>
      <c r="I367" s="388">
        <v>221.5</v>
      </c>
      <c r="J367" s="388">
        <v>1882.6</v>
      </c>
      <c r="K367" s="388">
        <v>0</v>
      </c>
      <c r="L367" s="388">
        <v>180.5</v>
      </c>
      <c r="M367" s="388">
        <v>1810.7</v>
      </c>
      <c r="N367">
        <f t="shared" si="5"/>
        <v>0</v>
      </c>
    </row>
    <row r="368" spans="1:14" s="338" customFormat="1" x14ac:dyDescent="0.3">
      <c r="A368" s="392" t="s">
        <v>3660</v>
      </c>
      <c r="B368" s="393">
        <v>0</v>
      </c>
      <c r="C368" s="392">
        <v>0</v>
      </c>
      <c r="D368" s="392">
        <v>0</v>
      </c>
      <c r="E368" s="392">
        <v>0</v>
      </c>
      <c r="F368" s="392">
        <v>195.7</v>
      </c>
      <c r="G368" s="392">
        <v>1701.3</v>
      </c>
      <c r="H368" s="392">
        <v>0</v>
      </c>
      <c r="I368" s="392">
        <v>221.5</v>
      </c>
      <c r="J368" s="392">
        <v>1882.6</v>
      </c>
      <c r="K368" s="392">
        <v>0</v>
      </c>
      <c r="L368" s="392">
        <v>180.5</v>
      </c>
      <c r="M368" s="392">
        <v>1810.7</v>
      </c>
      <c r="N368">
        <f t="shared" si="5"/>
        <v>0</v>
      </c>
    </row>
    <row r="369" spans="1:14" x14ac:dyDescent="0.3">
      <c r="A369" s="388" t="s">
        <v>3661</v>
      </c>
      <c r="B369" s="394">
        <v>6</v>
      </c>
      <c r="C369" s="388">
        <v>4</v>
      </c>
      <c r="D369" s="388">
        <v>2</v>
      </c>
      <c r="E369" s="342"/>
      <c r="N369">
        <f t="shared" si="5"/>
        <v>6</v>
      </c>
    </row>
    <row r="370" spans="1:14" x14ac:dyDescent="0.3">
      <c r="A370" s="388" t="s">
        <v>3662</v>
      </c>
      <c r="B370" s="394">
        <v>20.5</v>
      </c>
      <c r="C370" s="388">
        <v>18.5</v>
      </c>
      <c r="D370" s="388">
        <v>12.5</v>
      </c>
      <c r="E370" s="342"/>
      <c r="N370">
        <f t="shared" si="5"/>
        <v>20.5</v>
      </c>
    </row>
    <row r="371" spans="1:14" x14ac:dyDescent="0.3">
      <c r="A371" s="388" t="s">
        <v>3663</v>
      </c>
      <c r="B371" s="394">
        <v>13.5</v>
      </c>
      <c r="C371" s="388">
        <v>29</v>
      </c>
      <c r="D371" s="388">
        <v>17</v>
      </c>
      <c r="E371" s="342"/>
      <c r="N371">
        <f t="shared" si="5"/>
        <v>29</v>
      </c>
    </row>
    <row r="372" spans="1:14" x14ac:dyDescent="0.3">
      <c r="A372" s="388" t="s">
        <v>3664</v>
      </c>
      <c r="B372" s="394">
        <v>7.5</v>
      </c>
      <c r="C372" s="388">
        <v>6.5</v>
      </c>
      <c r="D372" s="388">
        <v>9</v>
      </c>
      <c r="E372" s="342"/>
      <c r="N372">
        <f t="shared" si="5"/>
        <v>9</v>
      </c>
    </row>
    <row r="373" spans="1:14" x14ac:dyDescent="0.3">
      <c r="A373" s="388" t="s">
        <v>3665</v>
      </c>
      <c r="B373" s="394">
        <v>7</v>
      </c>
      <c r="C373" s="388">
        <v>7.5</v>
      </c>
      <c r="D373" s="388">
        <v>1</v>
      </c>
      <c r="E373" s="342"/>
      <c r="N373">
        <f t="shared" si="5"/>
        <v>7.5</v>
      </c>
    </row>
    <row r="374" spans="1:14" x14ac:dyDescent="0.3">
      <c r="A374" s="388" t="s">
        <v>3666</v>
      </c>
      <c r="B374" s="394">
        <v>3.5</v>
      </c>
      <c r="C374" s="388">
        <v>4.5</v>
      </c>
      <c r="D374" s="388">
        <v>2</v>
      </c>
      <c r="E374" s="342"/>
      <c r="N374">
        <f t="shared" si="5"/>
        <v>4.5</v>
      </c>
    </row>
    <row r="375" spans="1:14" x14ac:dyDescent="0.3">
      <c r="A375" s="388" t="s">
        <v>3667</v>
      </c>
      <c r="B375" s="394">
        <v>3</v>
      </c>
      <c r="C375" s="388">
        <v>2.5</v>
      </c>
      <c r="D375" s="388">
        <v>3</v>
      </c>
      <c r="E375" s="342"/>
      <c r="N375">
        <f t="shared" si="5"/>
        <v>3</v>
      </c>
    </row>
    <row r="376" spans="1:14" x14ac:dyDescent="0.3">
      <c r="A376" s="388" t="s">
        <v>3668</v>
      </c>
      <c r="B376" s="394">
        <v>0.5</v>
      </c>
      <c r="C376" s="388">
        <v>0.5</v>
      </c>
      <c r="D376" s="388">
        <v>0</v>
      </c>
      <c r="E376" s="342"/>
      <c r="N376">
        <f t="shared" si="5"/>
        <v>0.5</v>
      </c>
    </row>
    <row r="377" spans="1:14" x14ac:dyDescent="0.3">
      <c r="A377" s="388" t="s">
        <v>3669</v>
      </c>
      <c r="B377" s="394">
        <v>14.5</v>
      </c>
      <c r="C377" s="388">
        <v>14</v>
      </c>
      <c r="D377" s="388">
        <v>7</v>
      </c>
      <c r="E377" s="342"/>
      <c r="N377">
        <f t="shared" si="5"/>
        <v>14.5</v>
      </c>
    </row>
    <row r="378" spans="1:14" x14ac:dyDescent="0.3">
      <c r="A378" s="388" t="s">
        <v>3670</v>
      </c>
      <c r="B378" s="394">
        <v>0</v>
      </c>
      <c r="C378" s="388">
        <v>0</v>
      </c>
      <c r="D378" s="388">
        <v>0</v>
      </c>
      <c r="E378" s="342"/>
      <c r="N378">
        <f t="shared" si="5"/>
        <v>0</v>
      </c>
    </row>
    <row r="379" spans="1:14" x14ac:dyDescent="0.3">
      <c r="A379" s="388" t="s">
        <v>3671</v>
      </c>
      <c r="B379" s="394">
        <v>0</v>
      </c>
      <c r="C379" s="388">
        <v>0</v>
      </c>
      <c r="D379" s="388">
        <v>0</v>
      </c>
      <c r="E379" s="342"/>
      <c r="N379">
        <f t="shared" si="5"/>
        <v>0</v>
      </c>
    </row>
    <row r="380" spans="1:14" x14ac:dyDescent="0.3">
      <c r="A380" s="388" t="s">
        <v>3672</v>
      </c>
      <c r="B380" s="394">
        <v>0</v>
      </c>
      <c r="C380" s="388">
        <v>0</v>
      </c>
      <c r="D380" s="388">
        <v>0</v>
      </c>
      <c r="E380" s="342"/>
      <c r="N380">
        <f t="shared" si="5"/>
        <v>0</v>
      </c>
    </row>
    <row r="381" spans="1:14" x14ac:dyDescent="0.3">
      <c r="A381" s="388" t="s">
        <v>3673</v>
      </c>
      <c r="B381" s="394">
        <v>0</v>
      </c>
      <c r="C381" s="388">
        <v>0</v>
      </c>
      <c r="D381" s="388">
        <v>0</v>
      </c>
      <c r="E381" s="342"/>
      <c r="N381">
        <f t="shared" si="5"/>
        <v>0</v>
      </c>
    </row>
    <row r="382" spans="1:14" x14ac:dyDescent="0.3">
      <c r="A382" s="388" t="s">
        <v>3674</v>
      </c>
      <c r="B382" s="394">
        <v>4</v>
      </c>
      <c r="C382" s="388">
        <v>13.5</v>
      </c>
      <c r="D382" s="388">
        <v>2.5</v>
      </c>
      <c r="E382" s="342"/>
      <c r="N382">
        <f t="shared" si="5"/>
        <v>13.5</v>
      </c>
    </row>
    <row r="383" spans="1:14" x14ac:dyDescent="0.3">
      <c r="A383" s="388" t="s">
        <v>3675</v>
      </c>
      <c r="B383" s="394">
        <v>7.5</v>
      </c>
      <c r="C383" s="388">
        <v>7.5</v>
      </c>
      <c r="D383" s="388">
        <v>2.5</v>
      </c>
      <c r="E383" s="342"/>
      <c r="N383">
        <f t="shared" si="5"/>
        <v>7.5</v>
      </c>
    </row>
    <row r="384" spans="1:14" x14ac:dyDescent="0.3">
      <c r="A384" s="388" t="s">
        <v>3676</v>
      </c>
      <c r="B384" s="394">
        <v>1.5</v>
      </c>
      <c r="C384" s="388">
        <v>1</v>
      </c>
      <c r="D384" s="388">
        <v>1</v>
      </c>
      <c r="E384" s="342"/>
      <c r="N384">
        <f t="shared" si="5"/>
        <v>1.5</v>
      </c>
    </row>
    <row r="385" spans="1:14" x14ac:dyDescent="0.3">
      <c r="A385" s="388" t="s">
        <v>3677</v>
      </c>
      <c r="B385" s="394">
        <v>2</v>
      </c>
      <c r="C385" s="388">
        <v>4.5</v>
      </c>
      <c r="D385" s="388">
        <v>2.5</v>
      </c>
      <c r="E385" s="342"/>
      <c r="N385">
        <f t="shared" si="5"/>
        <v>4.5</v>
      </c>
    </row>
    <row r="386" spans="1:14" x14ac:dyDescent="0.3">
      <c r="A386" s="388" t="s">
        <v>3678</v>
      </c>
      <c r="B386" s="394">
        <v>14</v>
      </c>
      <c r="C386" s="388">
        <v>14.5</v>
      </c>
      <c r="D386" s="388">
        <v>10</v>
      </c>
      <c r="E386" s="342"/>
      <c r="N386">
        <f t="shared" si="5"/>
        <v>14.5</v>
      </c>
    </row>
    <row r="387" spans="1:14" x14ac:dyDescent="0.3">
      <c r="A387" s="388" t="s">
        <v>3679</v>
      </c>
      <c r="B387" s="394">
        <v>0</v>
      </c>
      <c r="C387" s="388">
        <v>0</v>
      </c>
      <c r="D387" s="388">
        <v>0</v>
      </c>
      <c r="E387" s="342"/>
      <c r="N387">
        <f t="shared" si="5"/>
        <v>0</v>
      </c>
    </row>
    <row r="388" spans="1:14" x14ac:dyDescent="0.3">
      <c r="A388" s="388" t="s">
        <v>3680</v>
      </c>
      <c r="B388" s="394">
        <v>0</v>
      </c>
      <c r="C388" s="388">
        <v>0</v>
      </c>
      <c r="D388" s="388">
        <v>0</v>
      </c>
      <c r="E388" s="342"/>
      <c r="N388">
        <f t="shared" si="5"/>
        <v>0</v>
      </c>
    </row>
    <row r="389" spans="1:14" x14ac:dyDescent="0.3">
      <c r="A389" s="388" t="s">
        <v>3681</v>
      </c>
      <c r="B389" s="394">
        <v>16</v>
      </c>
      <c r="C389" s="388">
        <v>16.5</v>
      </c>
      <c r="D389" s="388">
        <v>16</v>
      </c>
      <c r="E389" s="342"/>
      <c r="N389">
        <f t="shared" ref="N389:N452" si="6">MAX(B389:D389)</f>
        <v>16.5</v>
      </c>
    </row>
    <row r="390" spans="1:14" x14ac:dyDescent="0.3">
      <c r="A390" s="388" t="s">
        <v>3682</v>
      </c>
      <c r="B390" s="394">
        <v>22.5</v>
      </c>
      <c r="C390" s="388">
        <v>21</v>
      </c>
      <c r="D390" s="388">
        <v>21.5</v>
      </c>
      <c r="E390" s="342"/>
      <c r="N390">
        <f t="shared" si="6"/>
        <v>22.5</v>
      </c>
    </row>
    <row r="391" spans="1:14" x14ac:dyDescent="0.3">
      <c r="A391" s="388" t="s">
        <v>3683</v>
      </c>
      <c r="B391" s="394">
        <v>0</v>
      </c>
      <c r="C391" s="388">
        <v>0</v>
      </c>
      <c r="D391" s="388">
        <v>0</v>
      </c>
      <c r="E391" s="342"/>
      <c r="N391">
        <f t="shared" si="6"/>
        <v>0</v>
      </c>
    </row>
    <row r="392" spans="1:14" x14ac:dyDescent="0.3">
      <c r="A392" s="388" t="s">
        <v>3684</v>
      </c>
      <c r="B392" s="394">
        <v>0</v>
      </c>
      <c r="C392" s="388">
        <v>0</v>
      </c>
      <c r="D392" s="388">
        <v>0</v>
      </c>
      <c r="E392" s="342"/>
      <c r="N392">
        <f t="shared" si="6"/>
        <v>0</v>
      </c>
    </row>
    <row r="393" spans="1:14" x14ac:dyDescent="0.3">
      <c r="A393" s="388" t="s">
        <v>3685</v>
      </c>
      <c r="B393" s="394">
        <v>2.5</v>
      </c>
      <c r="C393" s="388">
        <v>4</v>
      </c>
      <c r="D393" s="388">
        <v>3</v>
      </c>
      <c r="E393" s="342"/>
      <c r="N393">
        <f t="shared" si="6"/>
        <v>4</v>
      </c>
    </row>
    <row r="394" spans="1:14" x14ac:dyDescent="0.3">
      <c r="A394" s="388" t="s">
        <v>3686</v>
      </c>
      <c r="B394" s="394">
        <v>3.5</v>
      </c>
      <c r="C394" s="388">
        <v>5</v>
      </c>
      <c r="D394" s="388">
        <v>4</v>
      </c>
      <c r="E394" s="342"/>
      <c r="N394">
        <f t="shared" si="6"/>
        <v>5</v>
      </c>
    </row>
    <row r="395" spans="1:14" x14ac:dyDescent="0.3">
      <c r="A395" s="388" t="s">
        <v>3687</v>
      </c>
      <c r="B395" s="394">
        <v>0</v>
      </c>
      <c r="C395" s="388">
        <v>0</v>
      </c>
      <c r="D395" s="388">
        <v>0</v>
      </c>
      <c r="E395" s="342"/>
      <c r="N395">
        <f t="shared" si="6"/>
        <v>0</v>
      </c>
    </row>
    <row r="396" spans="1:14" x14ac:dyDescent="0.3">
      <c r="A396" s="388" t="s">
        <v>3688</v>
      </c>
      <c r="B396" s="394">
        <v>1.5</v>
      </c>
      <c r="C396" s="388">
        <v>2</v>
      </c>
      <c r="D396" s="388">
        <v>2</v>
      </c>
      <c r="E396" s="342"/>
      <c r="N396">
        <f t="shared" si="6"/>
        <v>2</v>
      </c>
    </row>
    <row r="397" spans="1:14" x14ac:dyDescent="0.3">
      <c r="A397" s="388" t="s">
        <v>3689</v>
      </c>
      <c r="B397" s="394">
        <v>0</v>
      </c>
      <c r="C397" s="388">
        <v>0</v>
      </c>
      <c r="D397" s="388">
        <v>0</v>
      </c>
      <c r="E397" s="342"/>
      <c r="N397">
        <f t="shared" si="6"/>
        <v>0</v>
      </c>
    </row>
    <row r="398" spans="1:14" x14ac:dyDescent="0.3">
      <c r="A398" s="388" t="s">
        <v>3690</v>
      </c>
      <c r="B398" s="394">
        <v>0.5</v>
      </c>
      <c r="C398" s="388">
        <v>1</v>
      </c>
      <c r="D398" s="388">
        <v>0.5</v>
      </c>
      <c r="E398" s="342"/>
      <c r="N398">
        <f t="shared" si="6"/>
        <v>1</v>
      </c>
    </row>
    <row r="399" spans="1:14" s="338" customFormat="1" x14ac:dyDescent="0.3">
      <c r="A399" s="392" t="s">
        <v>3691</v>
      </c>
      <c r="B399" s="395">
        <v>0</v>
      </c>
      <c r="C399" s="392">
        <v>0</v>
      </c>
      <c r="D399" s="392">
        <v>0</v>
      </c>
      <c r="E399" s="396"/>
      <c r="N399">
        <f t="shared" si="6"/>
        <v>0</v>
      </c>
    </row>
    <row r="400" spans="1:14" x14ac:dyDescent="0.3">
      <c r="A400" s="388" t="s">
        <v>3692</v>
      </c>
      <c r="B400" s="394">
        <v>0.5</v>
      </c>
      <c r="C400" s="388">
        <v>1.5</v>
      </c>
      <c r="D400" s="388">
        <v>0.5</v>
      </c>
      <c r="E400" s="342"/>
      <c r="N400">
        <f t="shared" si="6"/>
        <v>1.5</v>
      </c>
    </row>
    <row r="401" spans="1:14" x14ac:dyDescent="0.3">
      <c r="A401" s="388" t="s">
        <v>3693</v>
      </c>
      <c r="B401" s="394">
        <v>0</v>
      </c>
      <c r="C401" s="388">
        <v>0</v>
      </c>
      <c r="D401" s="388">
        <v>0</v>
      </c>
      <c r="E401" s="342"/>
      <c r="N401">
        <f t="shared" si="6"/>
        <v>0</v>
      </c>
    </row>
    <row r="402" spans="1:14" x14ac:dyDescent="0.3">
      <c r="A402" s="388" t="s">
        <v>3694</v>
      </c>
      <c r="B402" s="394">
        <v>0</v>
      </c>
      <c r="C402" s="388">
        <v>0</v>
      </c>
      <c r="D402" s="388">
        <v>0</v>
      </c>
      <c r="E402" s="342"/>
      <c r="N402">
        <f t="shared" si="6"/>
        <v>0</v>
      </c>
    </row>
    <row r="403" spans="1:14" x14ac:dyDescent="0.3">
      <c r="A403" s="388" t="s">
        <v>3695</v>
      </c>
      <c r="B403" s="394">
        <v>34.5</v>
      </c>
      <c r="C403" s="388">
        <v>30</v>
      </c>
      <c r="D403" s="388">
        <v>25</v>
      </c>
      <c r="E403" s="342"/>
      <c r="N403">
        <f t="shared" si="6"/>
        <v>34.5</v>
      </c>
    </row>
    <row r="404" spans="1:14" x14ac:dyDescent="0.3">
      <c r="A404" s="388" t="s">
        <v>3696</v>
      </c>
      <c r="B404" s="394">
        <v>0</v>
      </c>
      <c r="C404" s="388">
        <v>0</v>
      </c>
      <c r="D404" s="388">
        <v>0</v>
      </c>
      <c r="E404" s="342"/>
      <c r="N404">
        <f t="shared" si="6"/>
        <v>0</v>
      </c>
    </row>
    <row r="405" spans="1:14" x14ac:dyDescent="0.3">
      <c r="A405" s="388" t="s">
        <v>3697</v>
      </c>
      <c r="B405" s="394">
        <v>1</v>
      </c>
      <c r="C405" s="388">
        <v>0.5</v>
      </c>
      <c r="D405" s="388">
        <v>0.5</v>
      </c>
      <c r="E405" s="342"/>
      <c r="N405">
        <f t="shared" si="6"/>
        <v>1</v>
      </c>
    </row>
    <row r="406" spans="1:14" x14ac:dyDescent="0.3">
      <c r="A406" s="388" t="s">
        <v>3698</v>
      </c>
      <c r="B406" s="394">
        <v>0</v>
      </c>
      <c r="C406" s="388">
        <v>0</v>
      </c>
      <c r="D406" s="388">
        <v>0</v>
      </c>
      <c r="E406" s="342"/>
      <c r="N406">
        <f t="shared" si="6"/>
        <v>0</v>
      </c>
    </row>
    <row r="407" spans="1:14" x14ac:dyDescent="0.3">
      <c r="A407" s="388" t="s">
        <v>3699</v>
      </c>
      <c r="B407" s="394">
        <v>0</v>
      </c>
      <c r="C407" s="388">
        <v>0</v>
      </c>
      <c r="D407" s="388">
        <v>0</v>
      </c>
      <c r="E407" s="342"/>
      <c r="N407">
        <f t="shared" si="6"/>
        <v>0</v>
      </c>
    </row>
    <row r="408" spans="1:14" x14ac:dyDescent="0.3">
      <c r="A408" s="388" t="s">
        <v>3700</v>
      </c>
      <c r="B408" s="394">
        <v>7.5</v>
      </c>
      <c r="C408" s="388">
        <v>10.5</v>
      </c>
      <c r="D408" s="388">
        <v>8.5</v>
      </c>
      <c r="E408" s="342"/>
      <c r="N408">
        <f t="shared" si="6"/>
        <v>10.5</v>
      </c>
    </row>
    <row r="409" spans="1:14" x14ac:dyDescent="0.3">
      <c r="A409" s="388" t="s">
        <v>3701</v>
      </c>
      <c r="B409" s="394">
        <v>47</v>
      </c>
      <c r="C409" s="388">
        <v>50</v>
      </c>
      <c r="D409" s="388">
        <v>40</v>
      </c>
      <c r="E409" s="342"/>
      <c r="N409">
        <f t="shared" si="6"/>
        <v>50</v>
      </c>
    </row>
    <row r="410" spans="1:14" x14ac:dyDescent="0.3">
      <c r="A410" s="388" t="s">
        <v>3702</v>
      </c>
      <c r="B410" s="394">
        <v>0</v>
      </c>
      <c r="C410" s="388">
        <v>0</v>
      </c>
      <c r="D410" s="388">
        <v>0</v>
      </c>
      <c r="E410" s="342"/>
      <c r="N410">
        <f t="shared" si="6"/>
        <v>0</v>
      </c>
    </row>
    <row r="411" spans="1:14" x14ac:dyDescent="0.3">
      <c r="A411" s="388" t="s">
        <v>3703</v>
      </c>
      <c r="B411" s="394">
        <v>6.5</v>
      </c>
      <c r="C411" s="388">
        <v>2.5</v>
      </c>
      <c r="D411" s="388">
        <v>7</v>
      </c>
      <c r="E411" s="342"/>
      <c r="N411">
        <f t="shared" si="6"/>
        <v>7</v>
      </c>
    </row>
    <row r="412" spans="1:14" x14ac:dyDescent="0.3">
      <c r="A412" s="388" t="s">
        <v>3704</v>
      </c>
      <c r="B412" s="394">
        <v>3.5</v>
      </c>
      <c r="C412" s="388">
        <v>2</v>
      </c>
      <c r="D412" s="388">
        <v>4</v>
      </c>
      <c r="E412" s="342"/>
      <c r="N412">
        <f t="shared" si="6"/>
        <v>4</v>
      </c>
    </row>
    <row r="413" spans="1:14" x14ac:dyDescent="0.3">
      <c r="A413" s="388" t="s">
        <v>3705</v>
      </c>
      <c r="B413" s="394">
        <v>0</v>
      </c>
      <c r="C413" s="388">
        <v>0</v>
      </c>
      <c r="D413" s="388">
        <v>0</v>
      </c>
      <c r="E413" s="342"/>
      <c r="N413">
        <f t="shared" si="6"/>
        <v>0</v>
      </c>
    </row>
    <row r="414" spans="1:14" x14ac:dyDescent="0.3">
      <c r="A414" s="388" t="s">
        <v>3706</v>
      </c>
      <c r="B414" s="394">
        <v>0</v>
      </c>
      <c r="C414" s="388">
        <v>0</v>
      </c>
      <c r="D414" s="388">
        <v>0</v>
      </c>
      <c r="E414" s="342"/>
      <c r="N414">
        <f t="shared" si="6"/>
        <v>0</v>
      </c>
    </row>
    <row r="415" spans="1:14" x14ac:dyDescent="0.3">
      <c r="A415" s="388" t="s">
        <v>3707</v>
      </c>
      <c r="B415" s="394">
        <v>0</v>
      </c>
      <c r="C415" s="388">
        <v>0</v>
      </c>
      <c r="D415" s="388">
        <v>0</v>
      </c>
      <c r="E415" s="342"/>
      <c r="N415">
        <f t="shared" si="6"/>
        <v>0</v>
      </c>
    </row>
    <row r="416" spans="1:14" x14ac:dyDescent="0.3">
      <c r="A416" s="388" t="s">
        <v>3708</v>
      </c>
      <c r="B416" s="394">
        <v>5.5</v>
      </c>
      <c r="C416" s="388">
        <v>6.5</v>
      </c>
      <c r="D416" s="388">
        <v>5</v>
      </c>
      <c r="E416" s="342"/>
      <c r="N416">
        <f t="shared" si="6"/>
        <v>6.5</v>
      </c>
    </row>
    <row r="417" spans="1:14" x14ac:dyDescent="0.3">
      <c r="A417" s="388" t="s">
        <v>3709</v>
      </c>
      <c r="B417" s="394">
        <v>0</v>
      </c>
      <c r="C417" s="388">
        <v>0</v>
      </c>
      <c r="D417" s="388">
        <v>0</v>
      </c>
      <c r="E417" s="342"/>
      <c r="N417">
        <f t="shared" si="6"/>
        <v>0</v>
      </c>
    </row>
    <row r="418" spans="1:14" x14ac:dyDescent="0.3">
      <c r="A418" s="388" t="s">
        <v>3710</v>
      </c>
      <c r="B418" s="394">
        <v>0</v>
      </c>
      <c r="C418" s="388">
        <v>0</v>
      </c>
      <c r="D418" s="388">
        <v>0</v>
      </c>
      <c r="E418" s="342"/>
      <c r="N418">
        <f t="shared" si="6"/>
        <v>0</v>
      </c>
    </row>
    <row r="419" spans="1:14" x14ac:dyDescent="0.3">
      <c r="A419" s="388" t="s">
        <v>3711</v>
      </c>
      <c r="B419" s="394">
        <v>3.5</v>
      </c>
      <c r="C419" s="388">
        <v>5</v>
      </c>
      <c r="D419" s="388">
        <v>4.5</v>
      </c>
      <c r="E419" s="342"/>
      <c r="N419">
        <f t="shared" si="6"/>
        <v>5</v>
      </c>
    </row>
    <row r="420" spans="1:14" x14ac:dyDescent="0.3">
      <c r="A420" s="388" t="s">
        <v>3712</v>
      </c>
      <c r="B420" s="394">
        <v>1.5</v>
      </c>
      <c r="C420" s="388">
        <v>2</v>
      </c>
      <c r="D420" s="388">
        <v>1</v>
      </c>
      <c r="E420" s="342"/>
      <c r="N420">
        <f t="shared" si="6"/>
        <v>2</v>
      </c>
    </row>
    <row r="421" spans="1:14" x14ac:dyDescent="0.3">
      <c r="A421" s="388" t="s">
        <v>3713</v>
      </c>
      <c r="B421" s="394">
        <v>152</v>
      </c>
      <c r="C421" s="388">
        <v>155</v>
      </c>
      <c r="D421" s="388">
        <v>160</v>
      </c>
      <c r="E421" s="342"/>
      <c r="N421">
        <f t="shared" si="6"/>
        <v>160</v>
      </c>
    </row>
    <row r="422" spans="1:14" x14ac:dyDescent="0.3">
      <c r="A422" s="388" t="s">
        <v>3714</v>
      </c>
      <c r="B422" s="394">
        <v>0.5</v>
      </c>
      <c r="C422" s="388">
        <v>0.5</v>
      </c>
      <c r="D422" s="388">
        <v>0.5</v>
      </c>
      <c r="E422" s="342"/>
      <c r="N422">
        <f t="shared" si="6"/>
        <v>0.5</v>
      </c>
    </row>
    <row r="423" spans="1:14" x14ac:dyDescent="0.3">
      <c r="A423" s="388" t="s">
        <v>3715</v>
      </c>
      <c r="B423" s="394">
        <v>0</v>
      </c>
      <c r="C423" s="388">
        <v>0</v>
      </c>
      <c r="D423" s="388">
        <v>0</v>
      </c>
      <c r="E423" s="342"/>
      <c r="N423">
        <f t="shared" si="6"/>
        <v>0</v>
      </c>
    </row>
    <row r="424" spans="1:14" x14ac:dyDescent="0.3">
      <c r="A424" s="388" t="s">
        <v>3716</v>
      </c>
      <c r="B424" s="394">
        <v>0</v>
      </c>
      <c r="C424" s="388">
        <v>0</v>
      </c>
      <c r="D424" s="388">
        <v>0</v>
      </c>
      <c r="E424" s="342"/>
      <c r="N424">
        <f t="shared" si="6"/>
        <v>0</v>
      </c>
    </row>
    <row r="425" spans="1:14" x14ac:dyDescent="0.3">
      <c r="A425" s="388" t="s">
        <v>3717</v>
      </c>
      <c r="B425" s="394">
        <v>1.5</v>
      </c>
      <c r="C425" s="388">
        <v>2.5</v>
      </c>
      <c r="D425" s="388">
        <v>1.5</v>
      </c>
      <c r="E425" s="342"/>
      <c r="N425">
        <f t="shared" si="6"/>
        <v>2.5</v>
      </c>
    </row>
    <row r="426" spans="1:14" x14ac:dyDescent="0.3">
      <c r="A426" s="388" t="s">
        <v>3718</v>
      </c>
      <c r="B426" s="394">
        <v>0.5</v>
      </c>
      <c r="C426" s="388">
        <v>1</v>
      </c>
      <c r="D426" s="388">
        <v>0.5</v>
      </c>
      <c r="E426" s="342"/>
      <c r="N426">
        <f t="shared" si="6"/>
        <v>1</v>
      </c>
    </row>
    <row r="427" spans="1:14" x14ac:dyDescent="0.3">
      <c r="A427" s="388" t="s">
        <v>3719</v>
      </c>
      <c r="B427" s="394">
        <v>7.5</v>
      </c>
      <c r="C427" s="388">
        <v>11</v>
      </c>
      <c r="D427" s="388">
        <v>6.5</v>
      </c>
      <c r="E427" s="342"/>
      <c r="N427">
        <f t="shared" si="6"/>
        <v>11</v>
      </c>
    </row>
    <row r="428" spans="1:14" s="338" customFormat="1" x14ac:dyDescent="0.3">
      <c r="A428" s="392" t="s">
        <v>3720</v>
      </c>
      <c r="B428" s="395">
        <v>4.5</v>
      </c>
      <c r="C428" s="392">
        <v>3.5</v>
      </c>
      <c r="D428" s="392">
        <v>4</v>
      </c>
      <c r="E428" s="396"/>
      <c r="N428">
        <f t="shared" si="6"/>
        <v>4.5</v>
      </c>
    </row>
    <row r="429" spans="1:14" x14ac:dyDescent="0.3">
      <c r="A429" s="388" t="s">
        <v>3721</v>
      </c>
      <c r="B429" s="394">
        <v>13.5</v>
      </c>
      <c r="C429" s="388">
        <v>12.5</v>
      </c>
      <c r="D429" s="388">
        <v>30</v>
      </c>
      <c r="E429" s="342"/>
      <c r="N429">
        <f t="shared" si="6"/>
        <v>30</v>
      </c>
    </row>
    <row r="430" spans="1:14" x14ac:dyDescent="0.3">
      <c r="A430" s="388" t="s">
        <v>3722</v>
      </c>
      <c r="B430" s="394">
        <v>0.5</v>
      </c>
      <c r="C430" s="388">
        <v>1</v>
      </c>
      <c r="D430" s="388">
        <v>0.5</v>
      </c>
      <c r="E430" s="342"/>
      <c r="N430">
        <f t="shared" si="6"/>
        <v>1</v>
      </c>
    </row>
    <row r="431" spans="1:14" x14ac:dyDescent="0.3">
      <c r="A431" s="388" t="s">
        <v>3723</v>
      </c>
      <c r="B431" s="394">
        <v>9.5</v>
      </c>
      <c r="C431" s="388">
        <v>9</v>
      </c>
      <c r="D431" s="388">
        <v>7</v>
      </c>
      <c r="E431" s="342"/>
      <c r="N431">
        <f t="shared" si="6"/>
        <v>9.5</v>
      </c>
    </row>
    <row r="432" spans="1:14" x14ac:dyDescent="0.3">
      <c r="A432" s="388" t="s">
        <v>3724</v>
      </c>
      <c r="B432" s="394">
        <v>0</v>
      </c>
      <c r="C432" s="388">
        <v>0</v>
      </c>
      <c r="D432" s="388">
        <v>0</v>
      </c>
      <c r="E432" s="342"/>
      <c r="N432">
        <f t="shared" si="6"/>
        <v>0</v>
      </c>
    </row>
    <row r="433" spans="1:14" x14ac:dyDescent="0.3">
      <c r="A433" s="388" t="s">
        <v>3725</v>
      </c>
      <c r="B433" s="394">
        <v>0</v>
      </c>
      <c r="C433" s="388">
        <v>0</v>
      </c>
      <c r="D433" s="388">
        <v>0</v>
      </c>
      <c r="E433" s="342"/>
      <c r="N433">
        <f t="shared" si="6"/>
        <v>0</v>
      </c>
    </row>
    <row r="434" spans="1:14" x14ac:dyDescent="0.3">
      <c r="A434" s="388" t="s">
        <v>3726</v>
      </c>
      <c r="B434" s="394">
        <v>3</v>
      </c>
      <c r="C434" s="388">
        <v>3.5</v>
      </c>
      <c r="D434" s="388">
        <v>3</v>
      </c>
      <c r="E434" s="342"/>
      <c r="N434">
        <f t="shared" si="6"/>
        <v>3.5</v>
      </c>
    </row>
    <row r="435" spans="1:14" x14ac:dyDescent="0.3">
      <c r="A435" s="388" t="s">
        <v>3727</v>
      </c>
      <c r="B435" s="394">
        <v>0</v>
      </c>
      <c r="C435" s="388">
        <v>0</v>
      </c>
      <c r="D435" s="388">
        <v>0</v>
      </c>
      <c r="E435" s="342"/>
      <c r="N435">
        <f t="shared" si="6"/>
        <v>0</v>
      </c>
    </row>
    <row r="436" spans="1:14" x14ac:dyDescent="0.3">
      <c r="A436" s="388" t="s">
        <v>3728</v>
      </c>
      <c r="B436" s="394">
        <v>0</v>
      </c>
      <c r="C436" s="388">
        <v>0</v>
      </c>
      <c r="D436" s="388">
        <v>0</v>
      </c>
      <c r="E436" s="342"/>
      <c r="N436">
        <f t="shared" si="6"/>
        <v>0</v>
      </c>
    </row>
    <row r="437" spans="1:14" x14ac:dyDescent="0.3">
      <c r="A437" s="388" t="s">
        <v>3729</v>
      </c>
      <c r="B437" s="394">
        <v>0</v>
      </c>
      <c r="C437" s="388">
        <v>0</v>
      </c>
      <c r="D437" s="388">
        <v>0</v>
      </c>
      <c r="E437" s="342"/>
      <c r="N437">
        <f t="shared" si="6"/>
        <v>0</v>
      </c>
    </row>
    <row r="438" spans="1:14" x14ac:dyDescent="0.3">
      <c r="A438" s="388" t="s">
        <v>3730</v>
      </c>
      <c r="B438" s="394">
        <v>0</v>
      </c>
      <c r="C438" s="388">
        <v>0</v>
      </c>
      <c r="D438" s="388">
        <v>0</v>
      </c>
      <c r="E438" s="342"/>
      <c r="N438">
        <f t="shared" si="6"/>
        <v>0</v>
      </c>
    </row>
    <row r="439" spans="1:14" x14ac:dyDescent="0.3">
      <c r="A439" s="388" t="s">
        <v>3731</v>
      </c>
      <c r="B439" s="394">
        <v>0</v>
      </c>
      <c r="C439" s="388">
        <v>0</v>
      </c>
      <c r="D439" s="388">
        <v>0</v>
      </c>
      <c r="E439" s="342"/>
      <c r="N439">
        <f t="shared" si="6"/>
        <v>0</v>
      </c>
    </row>
    <row r="440" spans="1:14" x14ac:dyDescent="0.3">
      <c r="A440" s="388" t="s">
        <v>3732</v>
      </c>
      <c r="B440" s="394">
        <v>0</v>
      </c>
      <c r="C440" s="388">
        <v>0</v>
      </c>
      <c r="D440" s="388">
        <v>0</v>
      </c>
      <c r="E440" s="342"/>
      <c r="N440">
        <f t="shared" si="6"/>
        <v>0</v>
      </c>
    </row>
    <row r="441" spans="1:14" x14ac:dyDescent="0.3">
      <c r="A441" s="388" t="s">
        <v>3733</v>
      </c>
      <c r="B441" s="394">
        <v>41.5</v>
      </c>
      <c r="C441" s="388">
        <v>37.5</v>
      </c>
      <c r="D441" s="388">
        <v>45</v>
      </c>
      <c r="E441" s="342"/>
      <c r="N441">
        <f t="shared" si="6"/>
        <v>45</v>
      </c>
    </row>
    <row r="442" spans="1:14" x14ac:dyDescent="0.3">
      <c r="A442" s="388" t="s">
        <v>3734</v>
      </c>
      <c r="B442" s="394">
        <v>0</v>
      </c>
      <c r="C442" s="388">
        <v>0</v>
      </c>
      <c r="D442" s="388">
        <v>0</v>
      </c>
      <c r="E442" s="342"/>
      <c r="N442">
        <f t="shared" si="6"/>
        <v>0</v>
      </c>
    </row>
    <row r="443" spans="1:14" x14ac:dyDescent="0.3">
      <c r="A443" s="388" t="s">
        <v>3735</v>
      </c>
      <c r="B443" s="394">
        <v>0</v>
      </c>
      <c r="C443" s="388">
        <v>0</v>
      </c>
      <c r="D443" s="388">
        <v>0</v>
      </c>
      <c r="E443" s="342"/>
      <c r="N443">
        <f t="shared" si="6"/>
        <v>0</v>
      </c>
    </row>
    <row r="444" spans="1:14" x14ac:dyDescent="0.3">
      <c r="A444" s="388" t="s">
        <v>3736</v>
      </c>
      <c r="B444" s="394">
        <v>0</v>
      </c>
      <c r="C444" s="388">
        <v>0</v>
      </c>
      <c r="D444" s="388">
        <v>0</v>
      </c>
      <c r="E444" s="342"/>
      <c r="N444">
        <f t="shared" si="6"/>
        <v>0</v>
      </c>
    </row>
    <row r="445" spans="1:14" x14ac:dyDescent="0.3">
      <c r="A445" s="388" t="s">
        <v>3737</v>
      </c>
      <c r="B445" s="394">
        <v>3.5</v>
      </c>
      <c r="C445" s="388">
        <v>6.5</v>
      </c>
      <c r="D445" s="388">
        <v>3</v>
      </c>
      <c r="E445" s="342"/>
      <c r="N445">
        <f t="shared" si="6"/>
        <v>6.5</v>
      </c>
    </row>
    <row r="446" spans="1:14" x14ac:dyDescent="0.3">
      <c r="A446" s="388" t="s">
        <v>3738</v>
      </c>
      <c r="B446" s="394">
        <v>0</v>
      </c>
      <c r="C446" s="388">
        <v>0</v>
      </c>
      <c r="D446" s="388">
        <v>0</v>
      </c>
      <c r="E446" s="342"/>
      <c r="N446">
        <f t="shared" si="6"/>
        <v>0</v>
      </c>
    </row>
    <row r="447" spans="1:14" x14ac:dyDescent="0.3">
      <c r="A447" s="388" t="s">
        <v>3739</v>
      </c>
      <c r="B447" s="394">
        <v>0</v>
      </c>
      <c r="C447" s="388">
        <v>0</v>
      </c>
      <c r="D447" s="388">
        <v>0</v>
      </c>
      <c r="E447" s="342"/>
      <c r="N447">
        <f t="shared" si="6"/>
        <v>0</v>
      </c>
    </row>
    <row r="448" spans="1:14" x14ac:dyDescent="0.3">
      <c r="A448" s="388" t="s">
        <v>3740</v>
      </c>
      <c r="B448" s="394">
        <v>0</v>
      </c>
      <c r="C448" s="388">
        <v>0</v>
      </c>
      <c r="D448" s="388">
        <v>0</v>
      </c>
      <c r="E448" s="342"/>
      <c r="N448">
        <f t="shared" si="6"/>
        <v>0</v>
      </c>
    </row>
    <row r="449" spans="1:14" x14ac:dyDescent="0.3">
      <c r="A449" s="388" t="s">
        <v>3741</v>
      </c>
      <c r="B449" s="394">
        <v>0</v>
      </c>
      <c r="C449" s="388">
        <v>0</v>
      </c>
      <c r="D449" s="388">
        <v>0</v>
      </c>
      <c r="E449" s="342"/>
      <c r="N449">
        <f t="shared" si="6"/>
        <v>0</v>
      </c>
    </row>
    <row r="450" spans="1:14" x14ac:dyDescent="0.3">
      <c r="A450" s="388" t="s">
        <v>3742</v>
      </c>
      <c r="B450" s="394">
        <v>0</v>
      </c>
      <c r="C450" s="388">
        <v>0</v>
      </c>
      <c r="D450" s="388">
        <v>0</v>
      </c>
      <c r="E450" s="342"/>
      <c r="N450">
        <f t="shared" si="6"/>
        <v>0</v>
      </c>
    </row>
    <row r="451" spans="1:14" x14ac:dyDescent="0.3">
      <c r="A451" s="388" t="s">
        <v>3743</v>
      </c>
      <c r="B451" s="394">
        <v>0</v>
      </c>
      <c r="C451" s="388">
        <v>0</v>
      </c>
      <c r="D451" s="388">
        <v>0</v>
      </c>
      <c r="E451" s="342"/>
      <c r="N451">
        <f t="shared" si="6"/>
        <v>0</v>
      </c>
    </row>
    <row r="452" spans="1:14" x14ac:dyDescent="0.3">
      <c r="A452" s="388" t="s">
        <v>3744</v>
      </c>
      <c r="B452" s="394">
        <v>0</v>
      </c>
      <c r="C452" s="388">
        <v>0</v>
      </c>
      <c r="D452" s="388">
        <v>0</v>
      </c>
      <c r="E452" s="342"/>
      <c r="N452">
        <f t="shared" si="6"/>
        <v>0</v>
      </c>
    </row>
    <row r="453" spans="1:14" x14ac:dyDescent="0.3">
      <c r="A453" s="388" t="s">
        <v>3745</v>
      </c>
      <c r="B453" s="394">
        <v>0</v>
      </c>
      <c r="C453" s="388">
        <v>0</v>
      </c>
      <c r="D453" s="388">
        <v>0</v>
      </c>
      <c r="E453" s="342"/>
      <c r="N453">
        <f t="shared" ref="N453:N516" si="7">MAX(B453:D453)</f>
        <v>0</v>
      </c>
    </row>
    <row r="454" spans="1:14" x14ac:dyDescent="0.3">
      <c r="A454" s="388" t="s">
        <v>3746</v>
      </c>
      <c r="B454" s="394">
        <v>0</v>
      </c>
      <c r="C454" s="388">
        <v>0</v>
      </c>
      <c r="D454" s="388">
        <v>0</v>
      </c>
      <c r="E454" s="342"/>
      <c r="N454">
        <f t="shared" si="7"/>
        <v>0</v>
      </c>
    </row>
    <row r="455" spans="1:14" x14ac:dyDescent="0.3">
      <c r="A455" s="388" t="s">
        <v>3747</v>
      </c>
      <c r="B455" s="394">
        <v>8</v>
      </c>
      <c r="C455" s="388">
        <v>2.5</v>
      </c>
      <c r="D455" s="388">
        <v>6</v>
      </c>
      <c r="E455" s="342"/>
      <c r="N455">
        <f t="shared" si="7"/>
        <v>8</v>
      </c>
    </row>
    <row r="456" spans="1:14" x14ac:dyDescent="0.3">
      <c r="A456" s="388" t="s">
        <v>3748</v>
      </c>
      <c r="B456" s="394">
        <v>0</v>
      </c>
      <c r="C456" s="388">
        <v>0</v>
      </c>
      <c r="D456" s="388">
        <v>0</v>
      </c>
      <c r="E456" s="342"/>
      <c r="N456">
        <f t="shared" si="7"/>
        <v>0</v>
      </c>
    </row>
    <row r="457" spans="1:14" x14ac:dyDescent="0.3">
      <c r="A457" s="388" t="s">
        <v>3749</v>
      </c>
      <c r="B457" s="394">
        <v>0</v>
      </c>
      <c r="C457" s="388">
        <v>0</v>
      </c>
      <c r="D457" s="388">
        <v>0</v>
      </c>
      <c r="E457" s="342"/>
      <c r="N457">
        <f t="shared" si="7"/>
        <v>0</v>
      </c>
    </row>
    <row r="458" spans="1:14" x14ac:dyDescent="0.3">
      <c r="A458" s="388" t="s">
        <v>3750</v>
      </c>
      <c r="B458" s="394">
        <v>2.5</v>
      </c>
      <c r="C458" s="388">
        <v>9.5</v>
      </c>
      <c r="D458" s="388">
        <v>1</v>
      </c>
      <c r="E458" s="342"/>
      <c r="N458">
        <f t="shared" si="7"/>
        <v>9.5</v>
      </c>
    </row>
    <row r="459" spans="1:14" s="338" customFormat="1" x14ac:dyDescent="0.3">
      <c r="A459" s="392" t="s">
        <v>3751</v>
      </c>
      <c r="B459" s="395">
        <v>0</v>
      </c>
      <c r="C459" s="392">
        <v>0</v>
      </c>
      <c r="D459" s="392">
        <v>0</v>
      </c>
      <c r="E459" s="396"/>
      <c r="N459">
        <f t="shared" si="7"/>
        <v>0</v>
      </c>
    </row>
    <row r="460" spans="1:14" x14ac:dyDescent="0.3">
      <c r="A460" s="388" t="s">
        <v>3752</v>
      </c>
      <c r="B460" s="394">
        <v>5.5</v>
      </c>
      <c r="C460" s="388">
        <v>3.5</v>
      </c>
      <c r="D460" s="388">
        <v>4</v>
      </c>
      <c r="E460" s="342"/>
      <c r="N460">
        <f t="shared" si="7"/>
        <v>5.5</v>
      </c>
    </row>
    <row r="461" spans="1:14" x14ac:dyDescent="0.3">
      <c r="A461" s="388" t="s">
        <v>3753</v>
      </c>
      <c r="B461" s="394">
        <v>7</v>
      </c>
      <c r="C461" s="388">
        <v>7.5</v>
      </c>
      <c r="D461" s="388">
        <v>20.5</v>
      </c>
      <c r="E461" s="342"/>
      <c r="N461">
        <f t="shared" si="7"/>
        <v>20.5</v>
      </c>
    </row>
    <row r="462" spans="1:14" x14ac:dyDescent="0.3">
      <c r="A462" s="388" t="s">
        <v>3754</v>
      </c>
      <c r="B462" s="394">
        <v>14.5</v>
      </c>
      <c r="C462" s="388">
        <v>16.5</v>
      </c>
      <c r="D462" s="388">
        <v>9</v>
      </c>
      <c r="E462" s="342"/>
      <c r="N462">
        <f t="shared" si="7"/>
        <v>16.5</v>
      </c>
    </row>
    <row r="463" spans="1:14" x14ac:dyDescent="0.3">
      <c r="A463" s="388" t="s">
        <v>3755</v>
      </c>
      <c r="B463" s="394">
        <v>0.5</v>
      </c>
      <c r="C463" s="388">
        <v>0.5</v>
      </c>
      <c r="D463" s="388">
        <v>0.5</v>
      </c>
      <c r="E463" s="342"/>
      <c r="N463">
        <f t="shared" si="7"/>
        <v>0.5</v>
      </c>
    </row>
    <row r="464" spans="1:14" x14ac:dyDescent="0.3">
      <c r="A464" s="388" t="s">
        <v>3756</v>
      </c>
      <c r="B464" s="394">
        <v>0</v>
      </c>
      <c r="C464" s="388">
        <v>0</v>
      </c>
      <c r="D464" s="388">
        <v>0</v>
      </c>
      <c r="E464" s="342"/>
      <c r="N464">
        <f t="shared" si="7"/>
        <v>0</v>
      </c>
    </row>
    <row r="465" spans="1:14" x14ac:dyDescent="0.3">
      <c r="A465" s="388" t="s">
        <v>3757</v>
      </c>
      <c r="B465" s="394">
        <v>0</v>
      </c>
      <c r="C465" s="388">
        <v>0</v>
      </c>
      <c r="D465" s="388">
        <v>0</v>
      </c>
      <c r="E465" s="342"/>
      <c r="N465">
        <f t="shared" si="7"/>
        <v>0</v>
      </c>
    </row>
    <row r="466" spans="1:14" x14ac:dyDescent="0.3">
      <c r="A466" s="388" t="s">
        <v>3758</v>
      </c>
      <c r="B466" s="394">
        <v>1.5</v>
      </c>
      <c r="C466" s="388">
        <v>1</v>
      </c>
      <c r="D466" s="388">
        <v>1.5</v>
      </c>
      <c r="E466" s="342"/>
      <c r="N466">
        <f t="shared" si="7"/>
        <v>1.5</v>
      </c>
    </row>
    <row r="467" spans="1:14" x14ac:dyDescent="0.3">
      <c r="A467" s="388" t="s">
        <v>3759</v>
      </c>
      <c r="B467" s="394">
        <v>1</v>
      </c>
      <c r="C467" s="388">
        <v>4.5</v>
      </c>
      <c r="D467" s="388">
        <v>2.5</v>
      </c>
      <c r="E467" s="342"/>
      <c r="N467">
        <f t="shared" si="7"/>
        <v>4.5</v>
      </c>
    </row>
    <row r="468" spans="1:14" x14ac:dyDescent="0.3">
      <c r="A468" s="388" t="s">
        <v>3760</v>
      </c>
      <c r="B468" s="394">
        <v>7.5</v>
      </c>
      <c r="C468" s="388">
        <v>8.5</v>
      </c>
      <c r="D468" s="388">
        <v>13.5</v>
      </c>
      <c r="E468" s="342"/>
      <c r="N468">
        <f t="shared" si="7"/>
        <v>13.5</v>
      </c>
    </row>
    <row r="469" spans="1:14" x14ac:dyDescent="0.3">
      <c r="A469" s="388" t="s">
        <v>3761</v>
      </c>
      <c r="B469" s="394">
        <v>1</v>
      </c>
      <c r="C469" s="388">
        <v>1.5</v>
      </c>
      <c r="D469" s="388">
        <v>1</v>
      </c>
      <c r="E469" s="342"/>
      <c r="N469">
        <f t="shared" si="7"/>
        <v>1.5</v>
      </c>
    </row>
    <row r="470" spans="1:14" x14ac:dyDescent="0.3">
      <c r="A470" s="388" t="s">
        <v>3762</v>
      </c>
      <c r="B470" s="394">
        <v>13</v>
      </c>
      <c r="C470" s="388">
        <v>9</v>
      </c>
      <c r="D470" s="388">
        <v>4.5</v>
      </c>
      <c r="E470" s="342"/>
      <c r="N470">
        <f t="shared" si="7"/>
        <v>13</v>
      </c>
    </row>
    <row r="471" spans="1:14" x14ac:dyDescent="0.3">
      <c r="A471" s="388" t="s">
        <v>3763</v>
      </c>
      <c r="B471" s="394">
        <v>21</v>
      </c>
      <c r="C471" s="388">
        <v>10</v>
      </c>
      <c r="D471" s="388">
        <v>19</v>
      </c>
      <c r="E471" s="342"/>
      <c r="N471">
        <f t="shared" si="7"/>
        <v>21</v>
      </c>
    </row>
    <row r="472" spans="1:14" x14ac:dyDescent="0.3">
      <c r="A472" s="388" t="s">
        <v>3764</v>
      </c>
      <c r="B472" s="394">
        <v>11.5</v>
      </c>
      <c r="C472" s="388">
        <v>11</v>
      </c>
      <c r="D472" s="388">
        <v>34</v>
      </c>
      <c r="E472" s="342"/>
      <c r="N472">
        <f t="shared" si="7"/>
        <v>34</v>
      </c>
    </row>
    <row r="473" spans="1:14" x14ac:dyDescent="0.3">
      <c r="A473" s="388" t="s">
        <v>3765</v>
      </c>
      <c r="B473" s="394">
        <v>6</v>
      </c>
      <c r="C473" s="388">
        <v>7.5</v>
      </c>
      <c r="D473" s="388">
        <v>9.5</v>
      </c>
      <c r="E473" s="342"/>
      <c r="N473">
        <f t="shared" si="7"/>
        <v>9.5</v>
      </c>
    </row>
    <row r="474" spans="1:14" x14ac:dyDescent="0.3">
      <c r="A474" s="388" t="s">
        <v>3766</v>
      </c>
      <c r="B474" s="394">
        <v>6</v>
      </c>
      <c r="C474" s="388">
        <v>5.5</v>
      </c>
      <c r="D474" s="388">
        <v>8</v>
      </c>
      <c r="E474" s="342"/>
      <c r="N474">
        <f t="shared" si="7"/>
        <v>8</v>
      </c>
    </row>
    <row r="475" spans="1:14" x14ac:dyDescent="0.3">
      <c r="A475" s="388" t="s">
        <v>3767</v>
      </c>
      <c r="B475" s="394">
        <v>6.5</v>
      </c>
      <c r="C475" s="388">
        <v>6.5</v>
      </c>
      <c r="D475" s="388">
        <v>7</v>
      </c>
      <c r="E475" s="342"/>
      <c r="N475">
        <f t="shared" si="7"/>
        <v>7</v>
      </c>
    </row>
    <row r="476" spans="1:14" x14ac:dyDescent="0.3">
      <c r="A476" s="388" t="s">
        <v>3768</v>
      </c>
      <c r="B476" s="394">
        <v>39</v>
      </c>
      <c r="C476" s="388">
        <v>35</v>
      </c>
      <c r="D476" s="388">
        <v>40</v>
      </c>
      <c r="E476" s="342"/>
      <c r="N476">
        <f t="shared" si="7"/>
        <v>40</v>
      </c>
    </row>
    <row r="477" spans="1:14" x14ac:dyDescent="0.3">
      <c r="A477" s="388" t="s">
        <v>3769</v>
      </c>
      <c r="B477" s="394">
        <v>36</v>
      </c>
      <c r="C477" s="388">
        <v>25</v>
      </c>
      <c r="D477" s="388">
        <v>15</v>
      </c>
      <c r="E477" s="342"/>
      <c r="N477">
        <f t="shared" si="7"/>
        <v>36</v>
      </c>
    </row>
    <row r="478" spans="1:14" x14ac:dyDescent="0.3">
      <c r="A478" s="388" t="s">
        <v>3770</v>
      </c>
      <c r="B478" s="394">
        <v>10.5</v>
      </c>
      <c r="C478" s="388">
        <v>29.5</v>
      </c>
      <c r="D478" s="388">
        <v>11.5</v>
      </c>
      <c r="E478" s="342"/>
      <c r="N478">
        <f t="shared" si="7"/>
        <v>29.5</v>
      </c>
    </row>
    <row r="479" spans="1:14" x14ac:dyDescent="0.3">
      <c r="A479" s="388" t="s">
        <v>3771</v>
      </c>
      <c r="B479" s="394">
        <v>0</v>
      </c>
      <c r="C479" s="388">
        <v>0</v>
      </c>
      <c r="D479" s="388">
        <v>0</v>
      </c>
      <c r="E479" s="342"/>
      <c r="N479">
        <f t="shared" si="7"/>
        <v>0</v>
      </c>
    </row>
    <row r="480" spans="1:14" x14ac:dyDescent="0.3">
      <c r="A480" s="388" t="s">
        <v>3772</v>
      </c>
      <c r="B480" s="394">
        <v>2</v>
      </c>
      <c r="C480" s="388">
        <v>5.5</v>
      </c>
      <c r="D480" s="388">
        <v>2.5</v>
      </c>
      <c r="E480" s="342"/>
      <c r="N480">
        <f t="shared" si="7"/>
        <v>5.5</v>
      </c>
    </row>
    <row r="481" spans="1:14" x14ac:dyDescent="0.3">
      <c r="A481" s="388" t="s">
        <v>3773</v>
      </c>
      <c r="B481" s="394">
        <v>0</v>
      </c>
      <c r="C481" s="388">
        <v>0</v>
      </c>
      <c r="D481" s="388">
        <v>0</v>
      </c>
      <c r="E481" s="342"/>
      <c r="N481">
        <f t="shared" si="7"/>
        <v>0</v>
      </c>
    </row>
    <row r="482" spans="1:14" x14ac:dyDescent="0.3">
      <c r="A482" s="388" t="s">
        <v>3774</v>
      </c>
      <c r="B482" s="394">
        <v>0.5</v>
      </c>
      <c r="C482" s="388">
        <v>0.5</v>
      </c>
      <c r="D482" s="388">
        <v>0.5</v>
      </c>
      <c r="E482" s="342"/>
      <c r="N482">
        <f t="shared" si="7"/>
        <v>0.5</v>
      </c>
    </row>
    <row r="483" spans="1:14" x14ac:dyDescent="0.3">
      <c r="A483" s="388" t="s">
        <v>3775</v>
      </c>
      <c r="B483" s="394">
        <v>15</v>
      </c>
      <c r="C483" s="388">
        <v>9</v>
      </c>
      <c r="D483" s="388">
        <v>28.5</v>
      </c>
      <c r="E483" s="342"/>
      <c r="N483">
        <f t="shared" si="7"/>
        <v>28.5</v>
      </c>
    </row>
    <row r="484" spans="1:14" x14ac:dyDescent="0.3">
      <c r="A484" s="388" t="s">
        <v>3776</v>
      </c>
      <c r="B484" s="394">
        <v>23.5</v>
      </c>
      <c r="C484" s="388">
        <v>19.5</v>
      </c>
      <c r="D484" s="388">
        <v>25</v>
      </c>
      <c r="E484" s="342"/>
      <c r="N484">
        <f t="shared" si="7"/>
        <v>25</v>
      </c>
    </row>
    <row r="485" spans="1:14" x14ac:dyDescent="0.3">
      <c r="A485" s="388" t="s">
        <v>3777</v>
      </c>
      <c r="B485" s="394">
        <v>30</v>
      </c>
      <c r="C485" s="388">
        <v>13.5</v>
      </c>
      <c r="D485" s="388">
        <v>31.5</v>
      </c>
      <c r="E485" s="342"/>
      <c r="N485">
        <f t="shared" si="7"/>
        <v>31.5</v>
      </c>
    </row>
    <row r="486" spans="1:14" x14ac:dyDescent="0.3">
      <c r="A486" s="388" t="s">
        <v>3778</v>
      </c>
      <c r="B486" s="394">
        <v>0.5</v>
      </c>
      <c r="C486" s="388">
        <v>0.5</v>
      </c>
      <c r="D486" s="388">
        <v>0.5</v>
      </c>
      <c r="E486" s="342"/>
      <c r="N486">
        <f t="shared" si="7"/>
        <v>0.5</v>
      </c>
    </row>
    <row r="487" spans="1:14" x14ac:dyDescent="0.3">
      <c r="A487" s="388" t="s">
        <v>3779</v>
      </c>
      <c r="B487" s="394">
        <v>36.5</v>
      </c>
      <c r="C487" s="388">
        <v>34.5</v>
      </c>
      <c r="D487" s="388">
        <v>18</v>
      </c>
      <c r="E487" s="342"/>
      <c r="N487">
        <f t="shared" si="7"/>
        <v>36.5</v>
      </c>
    </row>
    <row r="488" spans="1:14" x14ac:dyDescent="0.3">
      <c r="A488" s="388" t="s">
        <v>3780</v>
      </c>
      <c r="B488" s="394">
        <v>1.5</v>
      </c>
      <c r="C488" s="388">
        <v>1</v>
      </c>
      <c r="D488" s="388">
        <v>2.5</v>
      </c>
      <c r="E488" s="342"/>
      <c r="N488">
        <f t="shared" si="7"/>
        <v>2.5</v>
      </c>
    </row>
    <row r="489" spans="1:14" s="338" customFormat="1" x14ac:dyDescent="0.3">
      <c r="A489" s="392" t="s">
        <v>3781</v>
      </c>
      <c r="B489" s="395">
        <v>0</v>
      </c>
      <c r="C489" s="392">
        <v>0</v>
      </c>
      <c r="D489" s="392">
        <v>0</v>
      </c>
      <c r="E489" s="396"/>
      <c r="N489">
        <f t="shared" si="7"/>
        <v>0</v>
      </c>
    </row>
    <row r="490" spans="1:14" x14ac:dyDescent="0.3">
      <c r="A490" s="388" t="s">
        <v>3782</v>
      </c>
      <c r="B490" s="394">
        <v>0</v>
      </c>
      <c r="C490" s="388">
        <v>0</v>
      </c>
      <c r="D490" s="388">
        <v>0.2</v>
      </c>
      <c r="E490" s="342"/>
      <c r="N490">
        <f t="shared" si="7"/>
        <v>0.2</v>
      </c>
    </row>
    <row r="491" spans="1:14" x14ac:dyDescent="0.3">
      <c r="A491" s="388" t="s">
        <v>3783</v>
      </c>
      <c r="B491" s="394">
        <v>0</v>
      </c>
      <c r="C491" s="388">
        <v>0</v>
      </c>
      <c r="D491" s="388">
        <v>0</v>
      </c>
      <c r="E491" s="342"/>
      <c r="N491">
        <f t="shared" si="7"/>
        <v>0</v>
      </c>
    </row>
    <row r="492" spans="1:14" x14ac:dyDescent="0.3">
      <c r="A492" s="388" t="s">
        <v>3784</v>
      </c>
      <c r="B492" s="394">
        <v>7.5</v>
      </c>
      <c r="C492" s="388">
        <v>6</v>
      </c>
      <c r="D492" s="388">
        <v>7.5</v>
      </c>
      <c r="E492" s="342"/>
      <c r="N492">
        <f t="shared" si="7"/>
        <v>7.5</v>
      </c>
    </row>
    <row r="493" spans="1:14" x14ac:dyDescent="0.3">
      <c r="A493" s="388" t="s">
        <v>3785</v>
      </c>
      <c r="B493" s="394">
        <v>0.5</v>
      </c>
      <c r="C493" s="388">
        <v>0.5</v>
      </c>
      <c r="D493" s="388">
        <v>0.5</v>
      </c>
      <c r="E493" s="342"/>
      <c r="N493">
        <f t="shared" si="7"/>
        <v>0.5</v>
      </c>
    </row>
    <row r="494" spans="1:14" x14ac:dyDescent="0.3">
      <c r="A494" s="388" t="s">
        <v>3786</v>
      </c>
      <c r="B494" s="394">
        <v>23.5</v>
      </c>
      <c r="C494" s="388">
        <v>10.5</v>
      </c>
      <c r="D494" s="388">
        <v>20.5</v>
      </c>
      <c r="E494" s="342"/>
      <c r="N494">
        <f t="shared" si="7"/>
        <v>23.5</v>
      </c>
    </row>
    <row r="495" spans="1:14" x14ac:dyDescent="0.3">
      <c r="A495" s="388" t="s">
        <v>3787</v>
      </c>
      <c r="B495" s="394">
        <v>1</v>
      </c>
      <c r="C495" s="388">
        <v>14</v>
      </c>
      <c r="D495" s="388">
        <v>0.5</v>
      </c>
      <c r="E495" s="342"/>
      <c r="N495">
        <f t="shared" si="7"/>
        <v>14</v>
      </c>
    </row>
    <row r="496" spans="1:14" x14ac:dyDescent="0.3">
      <c r="A496" s="388" t="s">
        <v>3788</v>
      </c>
      <c r="B496" s="394">
        <v>0</v>
      </c>
      <c r="C496" s="388">
        <v>0</v>
      </c>
      <c r="D496" s="388">
        <v>0</v>
      </c>
      <c r="E496" s="342"/>
      <c r="N496">
        <f t="shared" si="7"/>
        <v>0</v>
      </c>
    </row>
    <row r="497" spans="1:14" x14ac:dyDescent="0.3">
      <c r="A497" s="388" t="s">
        <v>3789</v>
      </c>
      <c r="B497" s="394">
        <v>0</v>
      </c>
      <c r="C497" s="388">
        <v>0</v>
      </c>
      <c r="D497" s="388">
        <v>0</v>
      </c>
      <c r="E497" s="342"/>
      <c r="N497">
        <f t="shared" si="7"/>
        <v>0</v>
      </c>
    </row>
    <row r="498" spans="1:14" x14ac:dyDescent="0.3">
      <c r="A498" s="388" t="s">
        <v>3790</v>
      </c>
      <c r="B498" s="394">
        <v>10.5</v>
      </c>
      <c r="C498" s="388">
        <v>26</v>
      </c>
      <c r="D498" s="388">
        <v>7</v>
      </c>
      <c r="E498" s="342"/>
      <c r="N498">
        <f t="shared" si="7"/>
        <v>26</v>
      </c>
    </row>
    <row r="499" spans="1:14" x14ac:dyDescent="0.3">
      <c r="A499" s="388" t="s">
        <v>3791</v>
      </c>
      <c r="B499" s="394">
        <v>0</v>
      </c>
      <c r="C499" s="388">
        <v>0</v>
      </c>
      <c r="D499" s="388">
        <v>0</v>
      </c>
      <c r="E499" s="342"/>
      <c r="N499">
        <f t="shared" si="7"/>
        <v>0</v>
      </c>
    </row>
    <row r="500" spans="1:14" x14ac:dyDescent="0.3">
      <c r="A500" s="388" t="s">
        <v>3792</v>
      </c>
      <c r="B500" s="394">
        <v>0</v>
      </c>
      <c r="C500" s="388">
        <v>0</v>
      </c>
      <c r="D500" s="388">
        <v>0</v>
      </c>
      <c r="E500" s="342"/>
      <c r="N500">
        <f t="shared" si="7"/>
        <v>0</v>
      </c>
    </row>
    <row r="501" spans="1:14" x14ac:dyDescent="0.3">
      <c r="A501" s="388" t="s">
        <v>3793</v>
      </c>
      <c r="B501" s="394">
        <v>4.5</v>
      </c>
      <c r="C501" s="388">
        <v>9</v>
      </c>
      <c r="D501" s="388">
        <v>9.5</v>
      </c>
      <c r="E501" s="342"/>
      <c r="N501">
        <f t="shared" si="7"/>
        <v>9.5</v>
      </c>
    </row>
    <row r="502" spans="1:14" x14ac:dyDescent="0.3">
      <c r="A502" s="388" t="s">
        <v>3794</v>
      </c>
      <c r="B502" s="394">
        <v>25.5</v>
      </c>
      <c r="C502" s="388">
        <v>30</v>
      </c>
      <c r="D502" s="388">
        <v>13.5</v>
      </c>
      <c r="E502" s="342"/>
      <c r="N502">
        <f t="shared" si="7"/>
        <v>30</v>
      </c>
    </row>
    <row r="503" spans="1:14" x14ac:dyDescent="0.3">
      <c r="A503" s="388" t="s">
        <v>3795</v>
      </c>
      <c r="B503" s="394">
        <v>2.5</v>
      </c>
      <c r="C503" s="388">
        <v>5.5</v>
      </c>
      <c r="D503" s="388">
        <v>2</v>
      </c>
      <c r="E503" s="342"/>
      <c r="N503">
        <f t="shared" si="7"/>
        <v>5.5</v>
      </c>
    </row>
    <row r="504" spans="1:14" x14ac:dyDescent="0.3">
      <c r="A504" s="388" t="s">
        <v>3796</v>
      </c>
      <c r="B504" s="394">
        <v>0</v>
      </c>
      <c r="C504" s="388">
        <v>0</v>
      </c>
      <c r="D504" s="388">
        <v>0</v>
      </c>
      <c r="E504" s="342"/>
      <c r="N504">
        <f t="shared" si="7"/>
        <v>0</v>
      </c>
    </row>
    <row r="505" spans="1:14" x14ac:dyDescent="0.3">
      <c r="A505" s="388" t="s">
        <v>3797</v>
      </c>
      <c r="B505" s="394">
        <v>7.5</v>
      </c>
      <c r="C505" s="388">
        <v>21.5</v>
      </c>
      <c r="D505" s="388">
        <v>24</v>
      </c>
      <c r="E505" s="342"/>
      <c r="N505">
        <f t="shared" si="7"/>
        <v>24</v>
      </c>
    </row>
    <row r="506" spans="1:14" x14ac:dyDescent="0.3">
      <c r="A506" s="388" t="s">
        <v>3798</v>
      </c>
      <c r="B506" s="394">
        <v>1.5</v>
      </c>
      <c r="C506" s="388">
        <v>2</v>
      </c>
      <c r="D506" s="388">
        <v>1.5</v>
      </c>
      <c r="E506" s="342"/>
      <c r="N506">
        <f t="shared" si="7"/>
        <v>2</v>
      </c>
    </row>
    <row r="507" spans="1:14" x14ac:dyDescent="0.3">
      <c r="A507" s="388" t="s">
        <v>3799</v>
      </c>
      <c r="B507" s="394">
        <v>10.5</v>
      </c>
      <c r="C507" s="388">
        <v>14.5</v>
      </c>
      <c r="D507" s="388">
        <v>8.5</v>
      </c>
      <c r="E507" s="342"/>
      <c r="N507">
        <f t="shared" si="7"/>
        <v>14.5</v>
      </c>
    </row>
    <row r="508" spans="1:14" x14ac:dyDescent="0.3">
      <c r="A508" s="388" t="s">
        <v>3800</v>
      </c>
      <c r="B508" s="394">
        <v>41.5</v>
      </c>
      <c r="C508" s="388">
        <v>23.5</v>
      </c>
      <c r="D508" s="388">
        <v>22.5</v>
      </c>
      <c r="E508" s="342"/>
      <c r="N508">
        <f t="shared" si="7"/>
        <v>41.5</v>
      </c>
    </row>
    <row r="509" spans="1:14" x14ac:dyDescent="0.3">
      <c r="A509" s="388" t="s">
        <v>3801</v>
      </c>
      <c r="B509" s="394">
        <v>2.5</v>
      </c>
      <c r="C509" s="388">
        <v>2.5</v>
      </c>
      <c r="D509" s="388">
        <v>6</v>
      </c>
      <c r="E509" s="342"/>
      <c r="N509">
        <f t="shared" si="7"/>
        <v>6</v>
      </c>
    </row>
    <row r="510" spans="1:14" x14ac:dyDescent="0.3">
      <c r="A510" s="388" t="s">
        <v>3802</v>
      </c>
      <c r="B510" s="394">
        <v>8</v>
      </c>
      <c r="C510" s="388">
        <v>4.5</v>
      </c>
      <c r="D510" s="388">
        <v>7.5</v>
      </c>
      <c r="E510" s="342"/>
      <c r="N510">
        <f t="shared" si="7"/>
        <v>8</v>
      </c>
    </row>
    <row r="511" spans="1:14" x14ac:dyDescent="0.3">
      <c r="A511" s="388" t="s">
        <v>3803</v>
      </c>
      <c r="B511" s="394">
        <v>4</v>
      </c>
      <c r="C511" s="388">
        <v>5.5</v>
      </c>
      <c r="D511" s="388">
        <v>7.5</v>
      </c>
      <c r="E511" s="342"/>
      <c r="N511">
        <f t="shared" si="7"/>
        <v>7.5</v>
      </c>
    </row>
    <row r="512" spans="1:14" x14ac:dyDescent="0.3">
      <c r="A512" s="388" t="s">
        <v>3804</v>
      </c>
      <c r="B512" s="394">
        <v>1.5</v>
      </c>
      <c r="C512" s="388">
        <v>1</v>
      </c>
      <c r="D512" s="388">
        <v>1.5</v>
      </c>
      <c r="E512" s="342"/>
      <c r="N512">
        <f t="shared" si="7"/>
        <v>1.5</v>
      </c>
    </row>
    <row r="513" spans="1:14" x14ac:dyDescent="0.3">
      <c r="A513" s="388" t="s">
        <v>3805</v>
      </c>
      <c r="B513" s="394">
        <v>14.5</v>
      </c>
      <c r="C513" s="388">
        <v>16.5</v>
      </c>
      <c r="D513" s="388">
        <v>15</v>
      </c>
      <c r="E513" s="342"/>
      <c r="N513">
        <f t="shared" si="7"/>
        <v>16.5</v>
      </c>
    </row>
    <row r="514" spans="1:14" x14ac:dyDescent="0.3">
      <c r="A514" s="388" t="s">
        <v>3806</v>
      </c>
      <c r="B514" s="394">
        <v>9.5</v>
      </c>
      <c r="C514" s="388">
        <v>11.5</v>
      </c>
      <c r="D514" s="388">
        <v>8.5</v>
      </c>
      <c r="E514" s="342"/>
      <c r="N514">
        <f t="shared" si="7"/>
        <v>11.5</v>
      </c>
    </row>
    <row r="515" spans="1:14" x14ac:dyDescent="0.3">
      <c r="A515" s="388" t="s">
        <v>3807</v>
      </c>
      <c r="B515" s="394">
        <v>1.5</v>
      </c>
      <c r="C515" s="388">
        <v>1.5</v>
      </c>
      <c r="D515" s="388">
        <v>2</v>
      </c>
      <c r="E515" s="342"/>
      <c r="N515">
        <f t="shared" si="7"/>
        <v>2</v>
      </c>
    </row>
    <row r="516" spans="1:14" x14ac:dyDescent="0.3">
      <c r="A516" s="388" t="s">
        <v>3808</v>
      </c>
      <c r="B516" s="394">
        <v>1</v>
      </c>
      <c r="C516" s="388">
        <v>1</v>
      </c>
      <c r="D516" s="388">
        <v>0.5</v>
      </c>
      <c r="E516" s="342"/>
      <c r="N516">
        <f t="shared" si="7"/>
        <v>1</v>
      </c>
    </row>
    <row r="517" spans="1:14" x14ac:dyDescent="0.3">
      <c r="A517" s="388" t="s">
        <v>3809</v>
      </c>
      <c r="B517" s="394">
        <v>11.5</v>
      </c>
      <c r="C517" s="388">
        <v>6</v>
      </c>
      <c r="D517" s="388">
        <v>11</v>
      </c>
      <c r="E517" s="342"/>
      <c r="N517">
        <f t="shared" ref="N517:N580" si="8">MAX(B517:D517)</f>
        <v>11.5</v>
      </c>
    </row>
    <row r="518" spans="1:14" x14ac:dyDescent="0.3">
      <c r="A518" s="388" t="s">
        <v>3810</v>
      </c>
      <c r="B518" s="394">
        <v>9</v>
      </c>
      <c r="C518" s="388">
        <v>2.5</v>
      </c>
      <c r="D518" s="388">
        <v>6.5</v>
      </c>
      <c r="E518" s="342"/>
      <c r="N518">
        <f t="shared" si="8"/>
        <v>9</v>
      </c>
    </row>
    <row r="519" spans="1:14" x14ac:dyDescent="0.3">
      <c r="A519" s="388" t="s">
        <v>3811</v>
      </c>
      <c r="B519" s="394">
        <v>7.5</v>
      </c>
      <c r="C519" s="388">
        <v>7.5</v>
      </c>
      <c r="D519" s="388">
        <v>8.5</v>
      </c>
      <c r="E519" s="342"/>
      <c r="N519">
        <f t="shared" si="8"/>
        <v>8.5</v>
      </c>
    </row>
    <row r="520" spans="1:14" s="338" customFormat="1" x14ac:dyDescent="0.3">
      <c r="A520" s="392" t="s">
        <v>3812</v>
      </c>
      <c r="B520" s="395">
        <v>0.5</v>
      </c>
      <c r="C520" s="392">
        <v>1.5</v>
      </c>
      <c r="D520" s="392">
        <v>1</v>
      </c>
      <c r="E520" s="396"/>
      <c r="N520">
        <f t="shared" si="8"/>
        <v>1.5</v>
      </c>
    </row>
    <row r="521" spans="1:14" x14ac:dyDescent="0.3">
      <c r="A521" s="388" t="s">
        <v>3813</v>
      </c>
      <c r="B521" s="394">
        <v>7.5</v>
      </c>
      <c r="C521" s="388">
        <v>6</v>
      </c>
      <c r="D521" s="388">
        <v>7.5</v>
      </c>
      <c r="E521" s="342"/>
      <c r="N521">
        <f t="shared" si="8"/>
        <v>7.5</v>
      </c>
    </row>
    <row r="522" spans="1:14" x14ac:dyDescent="0.3">
      <c r="A522" s="388" t="s">
        <v>3814</v>
      </c>
      <c r="B522" s="394">
        <v>0.5</v>
      </c>
      <c r="C522" s="388">
        <v>1</v>
      </c>
      <c r="D522" s="388">
        <v>0.5</v>
      </c>
      <c r="E522" s="342"/>
      <c r="N522">
        <f t="shared" si="8"/>
        <v>1</v>
      </c>
    </row>
    <row r="523" spans="1:14" x14ac:dyDescent="0.3">
      <c r="A523" s="388" t="s">
        <v>3815</v>
      </c>
      <c r="B523" s="394">
        <v>0</v>
      </c>
      <c r="C523" s="388">
        <v>0</v>
      </c>
      <c r="D523" s="388">
        <v>0</v>
      </c>
      <c r="E523" s="342"/>
      <c r="N523">
        <f t="shared" si="8"/>
        <v>0</v>
      </c>
    </row>
    <row r="524" spans="1:14" x14ac:dyDescent="0.3">
      <c r="A524" s="388" t="s">
        <v>3816</v>
      </c>
      <c r="B524" s="394">
        <v>0</v>
      </c>
      <c r="C524" s="388">
        <v>0</v>
      </c>
      <c r="D524" s="388">
        <v>0</v>
      </c>
      <c r="E524" s="342"/>
      <c r="N524">
        <f t="shared" si="8"/>
        <v>0</v>
      </c>
    </row>
    <row r="525" spans="1:14" x14ac:dyDescent="0.3">
      <c r="A525" s="388" t="s">
        <v>3817</v>
      </c>
      <c r="B525" s="394">
        <v>3</v>
      </c>
      <c r="C525" s="388">
        <v>2.5</v>
      </c>
      <c r="D525" s="388">
        <v>3.5</v>
      </c>
      <c r="E525" s="342"/>
      <c r="N525">
        <f t="shared" si="8"/>
        <v>3.5</v>
      </c>
    </row>
    <row r="526" spans="1:14" x14ac:dyDescent="0.3">
      <c r="A526" s="388" t="s">
        <v>3818</v>
      </c>
      <c r="B526" s="394">
        <v>4</v>
      </c>
      <c r="C526" s="388">
        <v>5</v>
      </c>
      <c r="D526" s="388">
        <v>4.5</v>
      </c>
      <c r="E526" s="342"/>
      <c r="N526">
        <f t="shared" si="8"/>
        <v>5</v>
      </c>
    </row>
    <row r="527" spans="1:14" x14ac:dyDescent="0.3">
      <c r="A527" s="388" t="s">
        <v>3819</v>
      </c>
      <c r="B527" s="394">
        <v>5</v>
      </c>
      <c r="C527" s="388">
        <v>7.5</v>
      </c>
      <c r="D527" s="388">
        <v>6.5</v>
      </c>
      <c r="E527" s="342"/>
      <c r="N527">
        <f t="shared" si="8"/>
        <v>7.5</v>
      </c>
    </row>
    <row r="528" spans="1:14" x14ac:dyDescent="0.3">
      <c r="A528" s="388" t="s">
        <v>3820</v>
      </c>
      <c r="B528" s="394">
        <v>0</v>
      </c>
      <c r="C528" s="388">
        <v>0</v>
      </c>
      <c r="D528" s="388">
        <v>0</v>
      </c>
      <c r="E528" s="342"/>
      <c r="N528">
        <f t="shared" si="8"/>
        <v>0</v>
      </c>
    </row>
    <row r="529" spans="1:14" x14ac:dyDescent="0.3">
      <c r="A529" s="388" t="s">
        <v>3821</v>
      </c>
      <c r="B529" s="394">
        <v>0</v>
      </c>
      <c r="C529" s="388">
        <v>0</v>
      </c>
      <c r="D529" s="388">
        <v>0</v>
      </c>
      <c r="E529" s="342"/>
      <c r="N529">
        <f t="shared" si="8"/>
        <v>0</v>
      </c>
    </row>
    <row r="530" spans="1:14" x14ac:dyDescent="0.3">
      <c r="A530" s="388" t="s">
        <v>3822</v>
      </c>
      <c r="B530" s="394">
        <v>0</v>
      </c>
      <c r="C530" s="388">
        <v>0</v>
      </c>
      <c r="D530" s="388">
        <v>0</v>
      </c>
      <c r="E530" s="342"/>
      <c r="N530">
        <f t="shared" si="8"/>
        <v>0</v>
      </c>
    </row>
    <row r="531" spans="1:14" x14ac:dyDescent="0.3">
      <c r="A531" s="388" t="s">
        <v>3823</v>
      </c>
      <c r="B531" s="394">
        <v>8.5</v>
      </c>
      <c r="C531" s="388">
        <v>11.5</v>
      </c>
      <c r="D531" s="388">
        <v>7.5</v>
      </c>
      <c r="E531" s="342"/>
      <c r="N531">
        <f t="shared" si="8"/>
        <v>11.5</v>
      </c>
    </row>
    <row r="532" spans="1:14" x14ac:dyDescent="0.3">
      <c r="A532" s="388" t="s">
        <v>3824</v>
      </c>
      <c r="B532" s="394">
        <v>4.5</v>
      </c>
      <c r="C532" s="388">
        <v>6.5</v>
      </c>
      <c r="D532" s="388">
        <v>4</v>
      </c>
      <c r="E532" s="342"/>
      <c r="N532">
        <f t="shared" si="8"/>
        <v>6.5</v>
      </c>
    </row>
    <row r="533" spans="1:14" x14ac:dyDescent="0.3">
      <c r="A533" s="388" t="s">
        <v>3825</v>
      </c>
      <c r="B533" s="394">
        <v>1</v>
      </c>
      <c r="C533" s="388">
        <v>1.5</v>
      </c>
      <c r="D533" s="388">
        <v>1</v>
      </c>
      <c r="E533" s="342"/>
      <c r="N533">
        <f t="shared" si="8"/>
        <v>1.5</v>
      </c>
    </row>
    <row r="534" spans="1:14" x14ac:dyDescent="0.3">
      <c r="A534" s="388" t="s">
        <v>3826</v>
      </c>
      <c r="B534" s="394">
        <v>13</v>
      </c>
      <c r="C534" s="388">
        <v>8.5</v>
      </c>
      <c r="D534" s="388">
        <v>12.5</v>
      </c>
      <c r="E534" s="342"/>
      <c r="N534">
        <f t="shared" si="8"/>
        <v>13</v>
      </c>
    </row>
    <row r="535" spans="1:14" x14ac:dyDescent="0.3">
      <c r="A535" s="388" t="s">
        <v>3827</v>
      </c>
      <c r="B535" s="394">
        <v>8.5</v>
      </c>
      <c r="C535" s="388">
        <v>5.5</v>
      </c>
      <c r="D535" s="388">
        <v>6.5</v>
      </c>
      <c r="E535" s="342"/>
      <c r="N535">
        <f t="shared" si="8"/>
        <v>8.5</v>
      </c>
    </row>
    <row r="536" spans="1:14" x14ac:dyDescent="0.3">
      <c r="A536" s="388" t="s">
        <v>3828</v>
      </c>
      <c r="B536" s="394">
        <v>1.5</v>
      </c>
      <c r="C536" s="388">
        <v>2</v>
      </c>
      <c r="D536" s="388">
        <v>1.5</v>
      </c>
      <c r="E536" s="342"/>
      <c r="N536">
        <f t="shared" si="8"/>
        <v>2</v>
      </c>
    </row>
    <row r="537" spans="1:14" x14ac:dyDescent="0.3">
      <c r="A537" s="388" t="s">
        <v>3829</v>
      </c>
      <c r="B537" s="394">
        <v>0</v>
      </c>
      <c r="C537" s="388">
        <v>0.5</v>
      </c>
      <c r="D537" s="388">
        <v>0</v>
      </c>
      <c r="E537" s="342"/>
      <c r="N537">
        <f t="shared" si="8"/>
        <v>0.5</v>
      </c>
    </row>
    <row r="538" spans="1:14" x14ac:dyDescent="0.3">
      <c r="A538" s="388" t="s">
        <v>3830</v>
      </c>
      <c r="B538" s="394">
        <v>0</v>
      </c>
      <c r="C538" s="388">
        <v>0.5</v>
      </c>
      <c r="D538" s="388">
        <v>0</v>
      </c>
      <c r="E538" s="342"/>
      <c r="N538">
        <f t="shared" si="8"/>
        <v>0.5</v>
      </c>
    </row>
    <row r="539" spans="1:14" x14ac:dyDescent="0.3">
      <c r="A539" s="388" t="s">
        <v>3831</v>
      </c>
      <c r="B539" s="394">
        <v>6</v>
      </c>
      <c r="C539" s="388">
        <v>6.5</v>
      </c>
      <c r="D539" s="388">
        <v>5.5</v>
      </c>
      <c r="E539" s="342"/>
      <c r="N539">
        <f t="shared" si="8"/>
        <v>6.5</v>
      </c>
    </row>
    <row r="540" spans="1:14" x14ac:dyDescent="0.3">
      <c r="A540" s="388" t="s">
        <v>3832</v>
      </c>
      <c r="B540" s="394">
        <v>13</v>
      </c>
      <c r="C540" s="388">
        <v>14</v>
      </c>
      <c r="D540" s="388">
        <v>12.5</v>
      </c>
      <c r="E540" s="342"/>
      <c r="N540">
        <f t="shared" si="8"/>
        <v>14</v>
      </c>
    </row>
    <row r="541" spans="1:14" x14ac:dyDescent="0.3">
      <c r="A541" s="388" t="s">
        <v>3833</v>
      </c>
      <c r="B541" s="394">
        <v>10.5</v>
      </c>
      <c r="C541" s="388">
        <v>13</v>
      </c>
      <c r="D541" s="388">
        <v>11</v>
      </c>
      <c r="E541" s="342"/>
      <c r="N541">
        <f t="shared" si="8"/>
        <v>13</v>
      </c>
    </row>
    <row r="542" spans="1:14" x14ac:dyDescent="0.3">
      <c r="A542" s="388" t="s">
        <v>3834</v>
      </c>
      <c r="B542" s="394">
        <v>3</v>
      </c>
      <c r="C542" s="388">
        <v>4.5</v>
      </c>
      <c r="D542" s="388">
        <v>4</v>
      </c>
      <c r="E542" s="342"/>
      <c r="N542">
        <f t="shared" si="8"/>
        <v>4.5</v>
      </c>
    </row>
    <row r="543" spans="1:14" x14ac:dyDescent="0.3">
      <c r="A543" s="388" t="s">
        <v>3835</v>
      </c>
      <c r="B543" s="394">
        <v>1</v>
      </c>
      <c r="C543" s="388">
        <v>1.5</v>
      </c>
      <c r="D543" s="388">
        <v>2</v>
      </c>
      <c r="E543" s="342"/>
      <c r="N543">
        <f t="shared" si="8"/>
        <v>2</v>
      </c>
    </row>
    <row r="544" spans="1:14" x14ac:dyDescent="0.3">
      <c r="A544" s="388" t="s">
        <v>3836</v>
      </c>
      <c r="B544" s="394">
        <v>61</v>
      </c>
      <c r="C544" s="388">
        <v>78</v>
      </c>
      <c r="D544" s="388">
        <v>67.5</v>
      </c>
      <c r="E544" s="342"/>
      <c r="N544">
        <f t="shared" si="8"/>
        <v>78</v>
      </c>
    </row>
    <row r="545" spans="1:14" x14ac:dyDescent="0.3">
      <c r="A545" s="388" t="s">
        <v>3837</v>
      </c>
      <c r="B545" s="394">
        <v>0</v>
      </c>
      <c r="C545" s="388">
        <v>0</v>
      </c>
      <c r="D545" s="388">
        <v>0</v>
      </c>
      <c r="E545" s="342"/>
      <c r="N545">
        <f t="shared" si="8"/>
        <v>0</v>
      </c>
    </row>
    <row r="546" spans="1:14" x14ac:dyDescent="0.3">
      <c r="A546" s="388" t="s">
        <v>3838</v>
      </c>
      <c r="B546" s="394">
        <v>4</v>
      </c>
      <c r="C546" s="388">
        <v>7.5</v>
      </c>
      <c r="D546" s="388">
        <v>6.5</v>
      </c>
      <c r="E546" s="342"/>
      <c r="N546">
        <f t="shared" si="8"/>
        <v>7.5</v>
      </c>
    </row>
    <row r="547" spans="1:14" x14ac:dyDescent="0.3">
      <c r="A547" s="388" t="s">
        <v>3839</v>
      </c>
      <c r="B547" s="394">
        <v>2</v>
      </c>
      <c r="C547" s="388">
        <v>3</v>
      </c>
      <c r="D547" s="388">
        <v>2.5</v>
      </c>
      <c r="E547" s="342"/>
      <c r="N547">
        <f t="shared" si="8"/>
        <v>3</v>
      </c>
    </row>
    <row r="548" spans="1:14" x14ac:dyDescent="0.3">
      <c r="A548" s="388" t="s">
        <v>3840</v>
      </c>
      <c r="B548" s="394">
        <v>0.5</v>
      </c>
      <c r="C548" s="388">
        <v>0.5</v>
      </c>
      <c r="D548" s="388">
        <v>0</v>
      </c>
      <c r="E548" s="342"/>
      <c r="N548">
        <f t="shared" si="8"/>
        <v>0.5</v>
      </c>
    </row>
    <row r="549" spans="1:14" x14ac:dyDescent="0.3">
      <c r="A549" s="388" t="s">
        <v>3841</v>
      </c>
      <c r="B549" s="394">
        <v>29</v>
      </c>
      <c r="C549" s="388">
        <v>30.5</v>
      </c>
      <c r="D549" s="388">
        <v>29.5</v>
      </c>
      <c r="E549" s="342"/>
      <c r="N549">
        <f t="shared" si="8"/>
        <v>30.5</v>
      </c>
    </row>
    <row r="550" spans="1:14" s="338" customFormat="1" x14ac:dyDescent="0.3">
      <c r="A550" s="392" t="s">
        <v>3842</v>
      </c>
      <c r="B550" s="395">
        <v>1</v>
      </c>
      <c r="C550" s="392">
        <v>0.5</v>
      </c>
      <c r="D550" s="392">
        <v>0.5</v>
      </c>
      <c r="E550" s="396"/>
      <c r="N550">
        <f t="shared" si="8"/>
        <v>1</v>
      </c>
    </row>
    <row r="551" spans="1:14" x14ac:dyDescent="0.3">
      <c r="A551" s="388" t="s">
        <v>3843</v>
      </c>
      <c r="B551" s="394">
        <v>32</v>
      </c>
      <c r="C551" s="388">
        <v>35.5</v>
      </c>
      <c r="D551" s="388">
        <v>20.5</v>
      </c>
      <c r="E551" s="342"/>
      <c r="N551">
        <f t="shared" si="8"/>
        <v>35.5</v>
      </c>
    </row>
    <row r="552" spans="1:14" x14ac:dyDescent="0.3">
      <c r="A552" s="388" t="s">
        <v>3844</v>
      </c>
      <c r="B552" s="394">
        <v>35</v>
      </c>
      <c r="C552" s="388">
        <v>46.5</v>
      </c>
      <c r="D552" s="388">
        <v>30.5</v>
      </c>
      <c r="E552" s="342"/>
      <c r="N552">
        <f t="shared" si="8"/>
        <v>46.5</v>
      </c>
    </row>
    <row r="553" spans="1:14" x14ac:dyDescent="0.3">
      <c r="A553" s="388" t="s">
        <v>3845</v>
      </c>
      <c r="B553" s="394">
        <v>3</v>
      </c>
      <c r="C553" s="388">
        <v>3.5</v>
      </c>
      <c r="D553" s="388">
        <v>2.5</v>
      </c>
      <c r="E553" s="342"/>
      <c r="N553">
        <f t="shared" si="8"/>
        <v>3.5</v>
      </c>
    </row>
    <row r="554" spans="1:14" x14ac:dyDescent="0.3">
      <c r="A554" s="388" t="s">
        <v>3846</v>
      </c>
      <c r="B554" s="394">
        <v>20</v>
      </c>
      <c r="C554" s="388">
        <v>22.5</v>
      </c>
      <c r="D554" s="388">
        <v>20.5</v>
      </c>
      <c r="E554" s="342"/>
      <c r="N554">
        <f t="shared" si="8"/>
        <v>22.5</v>
      </c>
    </row>
    <row r="555" spans="1:14" x14ac:dyDescent="0.3">
      <c r="A555" s="388" t="s">
        <v>3847</v>
      </c>
      <c r="B555" s="394">
        <v>2</v>
      </c>
      <c r="C555" s="388">
        <v>3</v>
      </c>
      <c r="D555" s="388">
        <v>2.5</v>
      </c>
      <c r="E555" s="342"/>
      <c r="N555">
        <f t="shared" si="8"/>
        <v>3</v>
      </c>
    </row>
    <row r="556" spans="1:14" x14ac:dyDescent="0.3">
      <c r="A556" s="388" t="s">
        <v>3848</v>
      </c>
      <c r="B556" s="394">
        <v>0</v>
      </c>
      <c r="C556" s="388">
        <v>0</v>
      </c>
      <c r="D556" s="388">
        <v>0</v>
      </c>
      <c r="E556" s="342"/>
      <c r="N556">
        <f t="shared" si="8"/>
        <v>0</v>
      </c>
    </row>
    <row r="557" spans="1:14" x14ac:dyDescent="0.3">
      <c r="A557" s="388" t="s">
        <v>3849</v>
      </c>
      <c r="B557" s="394">
        <v>0</v>
      </c>
      <c r="C557" s="388">
        <v>0</v>
      </c>
      <c r="D557" s="388">
        <v>0</v>
      </c>
      <c r="E557" s="342"/>
      <c r="N557">
        <f t="shared" si="8"/>
        <v>0</v>
      </c>
    </row>
    <row r="558" spans="1:14" x14ac:dyDescent="0.3">
      <c r="A558" s="388" t="s">
        <v>3850</v>
      </c>
      <c r="B558" s="394">
        <v>0</v>
      </c>
      <c r="C558" s="388">
        <v>0</v>
      </c>
      <c r="D558" s="388">
        <v>0</v>
      </c>
      <c r="E558" s="342"/>
      <c r="N558">
        <f t="shared" si="8"/>
        <v>0</v>
      </c>
    </row>
    <row r="559" spans="1:14" x14ac:dyDescent="0.3">
      <c r="A559" s="388" t="s">
        <v>3851</v>
      </c>
      <c r="B559" s="394">
        <v>0</v>
      </c>
      <c r="C559" s="388">
        <v>0</v>
      </c>
      <c r="D559" s="388">
        <v>0</v>
      </c>
      <c r="E559" s="342"/>
      <c r="N559">
        <f t="shared" si="8"/>
        <v>0</v>
      </c>
    </row>
    <row r="560" spans="1:14" x14ac:dyDescent="0.3">
      <c r="A560" s="388" t="s">
        <v>3852</v>
      </c>
      <c r="B560" s="394">
        <v>0</v>
      </c>
      <c r="C560" s="388">
        <v>0</v>
      </c>
      <c r="D560" s="388">
        <v>0</v>
      </c>
      <c r="E560" s="342"/>
      <c r="N560">
        <f t="shared" si="8"/>
        <v>0</v>
      </c>
    </row>
    <row r="561" spans="1:14" x14ac:dyDescent="0.3">
      <c r="A561" s="388" t="s">
        <v>3853</v>
      </c>
      <c r="B561" s="394">
        <v>7</v>
      </c>
      <c r="C561" s="388">
        <v>9.5</v>
      </c>
      <c r="D561" s="388">
        <v>12.5</v>
      </c>
      <c r="E561" s="342"/>
      <c r="N561">
        <f t="shared" si="8"/>
        <v>12.5</v>
      </c>
    </row>
    <row r="562" spans="1:14" x14ac:dyDescent="0.3">
      <c r="A562" s="388" t="s">
        <v>3854</v>
      </c>
      <c r="B562" s="394">
        <v>5</v>
      </c>
      <c r="C562" s="388">
        <v>7</v>
      </c>
      <c r="D562" s="388">
        <v>4.5</v>
      </c>
      <c r="E562" s="342"/>
      <c r="N562">
        <f t="shared" si="8"/>
        <v>7</v>
      </c>
    </row>
    <row r="563" spans="1:14" x14ac:dyDescent="0.3">
      <c r="A563" s="388" t="s">
        <v>3855</v>
      </c>
      <c r="B563" s="394">
        <v>6</v>
      </c>
      <c r="C563" s="388">
        <v>8</v>
      </c>
      <c r="D563" s="388">
        <v>11</v>
      </c>
      <c r="E563" s="342"/>
      <c r="N563">
        <f t="shared" si="8"/>
        <v>11</v>
      </c>
    </row>
    <row r="564" spans="1:14" x14ac:dyDescent="0.3">
      <c r="A564" s="388" t="s">
        <v>3856</v>
      </c>
      <c r="B564" s="394">
        <v>4</v>
      </c>
      <c r="C564" s="388">
        <v>12</v>
      </c>
      <c r="D564" s="388">
        <v>3</v>
      </c>
      <c r="E564" s="342"/>
      <c r="N564">
        <f t="shared" si="8"/>
        <v>12</v>
      </c>
    </row>
    <row r="565" spans="1:14" x14ac:dyDescent="0.3">
      <c r="A565" s="388" t="s">
        <v>3857</v>
      </c>
      <c r="B565" s="394">
        <v>0</v>
      </c>
      <c r="C565" s="388">
        <v>0</v>
      </c>
      <c r="D565" s="388">
        <v>0</v>
      </c>
      <c r="E565" s="342"/>
      <c r="N565">
        <f t="shared" si="8"/>
        <v>0</v>
      </c>
    </row>
    <row r="566" spans="1:14" x14ac:dyDescent="0.3">
      <c r="A566" s="388" t="s">
        <v>3858</v>
      </c>
      <c r="B566" s="394">
        <v>0</v>
      </c>
      <c r="C566" s="388">
        <v>0</v>
      </c>
      <c r="D566" s="388">
        <v>0</v>
      </c>
      <c r="E566" s="342"/>
      <c r="N566">
        <f t="shared" si="8"/>
        <v>0</v>
      </c>
    </row>
    <row r="567" spans="1:14" x14ac:dyDescent="0.3">
      <c r="A567" s="388" t="s">
        <v>3859</v>
      </c>
      <c r="B567" s="394">
        <v>3.5</v>
      </c>
      <c r="C567" s="388">
        <v>7</v>
      </c>
      <c r="D567" s="388">
        <v>1.5</v>
      </c>
      <c r="E567" s="342"/>
      <c r="N567">
        <f t="shared" si="8"/>
        <v>7</v>
      </c>
    </row>
    <row r="568" spans="1:14" x14ac:dyDescent="0.3">
      <c r="A568" s="388" t="s">
        <v>3860</v>
      </c>
      <c r="B568" s="394">
        <v>1.5</v>
      </c>
      <c r="C568" s="388">
        <v>2</v>
      </c>
      <c r="D568" s="388">
        <v>2.5</v>
      </c>
      <c r="E568" s="342"/>
      <c r="N568">
        <f t="shared" si="8"/>
        <v>2.5</v>
      </c>
    </row>
    <row r="569" spans="1:14" x14ac:dyDescent="0.3">
      <c r="A569" s="388" t="s">
        <v>3861</v>
      </c>
      <c r="B569" s="394">
        <v>3.5</v>
      </c>
      <c r="C569" s="388">
        <v>4</v>
      </c>
      <c r="D569" s="388">
        <v>3.5</v>
      </c>
      <c r="E569" s="342"/>
      <c r="N569">
        <f t="shared" si="8"/>
        <v>4</v>
      </c>
    </row>
    <row r="570" spans="1:14" x14ac:dyDescent="0.3">
      <c r="A570" s="388" t="s">
        <v>3862</v>
      </c>
      <c r="B570" s="394">
        <v>13</v>
      </c>
      <c r="C570" s="388">
        <v>14</v>
      </c>
      <c r="D570" s="388">
        <v>13</v>
      </c>
      <c r="E570" s="342"/>
      <c r="N570">
        <f t="shared" si="8"/>
        <v>14</v>
      </c>
    </row>
    <row r="571" spans="1:14" x14ac:dyDescent="0.3">
      <c r="A571" s="388" t="s">
        <v>3863</v>
      </c>
      <c r="B571" s="394">
        <v>63.5</v>
      </c>
      <c r="C571" s="388">
        <v>51.5</v>
      </c>
      <c r="D571" s="388">
        <v>64.5</v>
      </c>
      <c r="E571" s="342"/>
      <c r="N571">
        <f t="shared" si="8"/>
        <v>64.5</v>
      </c>
    </row>
    <row r="572" spans="1:14" x14ac:dyDescent="0.3">
      <c r="A572" s="388" t="s">
        <v>3864</v>
      </c>
      <c r="B572" s="394">
        <v>4</v>
      </c>
      <c r="C572" s="388">
        <v>5.5</v>
      </c>
      <c r="D572" s="388">
        <v>4.5</v>
      </c>
      <c r="E572" s="342"/>
      <c r="N572">
        <f t="shared" si="8"/>
        <v>5.5</v>
      </c>
    </row>
    <row r="573" spans="1:14" x14ac:dyDescent="0.3">
      <c r="A573" s="388" t="s">
        <v>3865</v>
      </c>
      <c r="B573" s="394">
        <v>4</v>
      </c>
      <c r="C573" s="388">
        <v>4.5</v>
      </c>
      <c r="D573" s="388">
        <v>3.5</v>
      </c>
      <c r="E573" s="342"/>
      <c r="N573">
        <f t="shared" si="8"/>
        <v>4.5</v>
      </c>
    </row>
    <row r="574" spans="1:14" x14ac:dyDescent="0.3">
      <c r="A574" s="388" t="s">
        <v>3866</v>
      </c>
      <c r="B574" s="394">
        <v>1</v>
      </c>
      <c r="C574" s="388">
        <v>1.5</v>
      </c>
      <c r="D574" s="388">
        <v>1</v>
      </c>
      <c r="E574" s="342"/>
      <c r="N574">
        <f t="shared" si="8"/>
        <v>1.5</v>
      </c>
    </row>
    <row r="575" spans="1:14" x14ac:dyDescent="0.3">
      <c r="A575" s="388" t="s">
        <v>3867</v>
      </c>
      <c r="B575" s="394">
        <v>7</v>
      </c>
      <c r="C575" s="388">
        <v>9.5</v>
      </c>
      <c r="D575" s="388">
        <v>8.5</v>
      </c>
      <c r="E575" s="342"/>
      <c r="N575">
        <f t="shared" si="8"/>
        <v>9.5</v>
      </c>
    </row>
    <row r="576" spans="1:14" x14ac:dyDescent="0.3">
      <c r="A576" s="388" t="s">
        <v>3868</v>
      </c>
      <c r="B576" s="394">
        <v>103</v>
      </c>
      <c r="C576" s="388">
        <v>127.5</v>
      </c>
      <c r="D576" s="388">
        <v>115.5</v>
      </c>
      <c r="E576" s="342"/>
      <c r="N576">
        <f t="shared" si="8"/>
        <v>127.5</v>
      </c>
    </row>
    <row r="577" spans="1:14" x14ac:dyDescent="0.3">
      <c r="A577" s="388" t="s">
        <v>3869</v>
      </c>
      <c r="B577" s="394">
        <v>1.5</v>
      </c>
      <c r="C577" s="388">
        <v>2</v>
      </c>
      <c r="D577" s="388">
        <v>1.5</v>
      </c>
      <c r="E577" s="342"/>
      <c r="N577">
        <f t="shared" si="8"/>
        <v>2</v>
      </c>
    </row>
    <row r="578" spans="1:14" x14ac:dyDescent="0.3">
      <c r="A578" s="388" t="s">
        <v>3870</v>
      </c>
      <c r="B578" s="394">
        <v>19.5</v>
      </c>
      <c r="C578" s="388">
        <v>20.5</v>
      </c>
      <c r="D578" s="388">
        <v>22</v>
      </c>
      <c r="E578" s="342"/>
      <c r="N578">
        <f t="shared" si="8"/>
        <v>22</v>
      </c>
    </row>
    <row r="579" spans="1:14" x14ac:dyDescent="0.3">
      <c r="A579" s="388" t="s">
        <v>3871</v>
      </c>
      <c r="B579" s="394">
        <v>0</v>
      </c>
      <c r="C579" s="388">
        <v>0.5</v>
      </c>
      <c r="D579" s="388">
        <v>0.5</v>
      </c>
      <c r="E579" s="342"/>
      <c r="N579">
        <f t="shared" si="8"/>
        <v>0.5</v>
      </c>
    </row>
    <row r="580" spans="1:14" x14ac:dyDescent="0.3">
      <c r="A580" s="388" t="s">
        <v>3872</v>
      </c>
      <c r="B580" s="394">
        <v>22</v>
      </c>
      <c r="C580" s="388">
        <v>25.5</v>
      </c>
      <c r="D580" s="388">
        <v>23.5</v>
      </c>
      <c r="E580" s="342"/>
      <c r="N580">
        <f t="shared" si="8"/>
        <v>25.5</v>
      </c>
    </row>
    <row r="581" spans="1:14" s="338" customFormat="1" x14ac:dyDescent="0.3">
      <c r="A581" s="392" t="s">
        <v>3873</v>
      </c>
      <c r="B581" s="395">
        <v>8</v>
      </c>
      <c r="C581" s="392">
        <v>8.5</v>
      </c>
      <c r="D581" s="392">
        <v>9.5</v>
      </c>
      <c r="E581" s="396"/>
      <c r="N581">
        <f t="shared" ref="N581:N644" si="9">MAX(B581:D581)</f>
        <v>9.5</v>
      </c>
    </row>
    <row r="582" spans="1:14" x14ac:dyDescent="0.3">
      <c r="A582" s="388" t="s">
        <v>3874</v>
      </c>
      <c r="B582" s="394">
        <v>18</v>
      </c>
      <c r="C582" s="388">
        <v>15</v>
      </c>
      <c r="D582" s="388">
        <v>19.5</v>
      </c>
      <c r="E582" s="342"/>
      <c r="N582">
        <f t="shared" si="9"/>
        <v>19.5</v>
      </c>
    </row>
    <row r="583" spans="1:14" x14ac:dyDescent="0.3">
      <c r="A583" s="388" t="s">
        <v>3875</v>
      </c>
      <c r="B583" s="394">
        <v>2</v>
      </c>
      <c r="C583" s="388">
        <v>3</v>
      </c>
      <c r="D583" s="388">
        <v>3</v>
      </c>
      <c r="E583" s="342"/>
      <c r="N583">
        <f t="shared" si="9"/>
        <v>3</v>
      </c>
    </row>
    <row r="584" spans="1:14" x14ac:dyDescent="0.3">
      <c r="A584" s="388" t="s">
        <v>3876</v>
      </c>
      <c r="B584" s="394">
        <v>3.5</v>
      </c>
      <c r="C584" s="388">
        <v>4</v>
      </c>
      <c r="D584" s="388">
        <v>4</v>
      </c>
      <c r="E584" s="342"/>
      <c r="N584">
        <f t="shared" si="9"/>
        <v>4</v>
      </c>
    </row>
    <row r="585" spans="1:14" x14ac:dyDescent="0.3">
      <c r="A585" s="388" t="s">
        <v>3877</v>
      </c>
      <c r="B585" s="394">
        <v>1</v>
      </c>
      <c r="C585" s="388">
        <v>1</v>
      </c>
      <c r="D585" s="388">
        <v>1</v>
      </c>
      <c r="E585" s="342"/>
      <c r="N585">
        <f t="shared" si="9"/>
        <v>1</v>
      </c>
    </row>
    <row r="586" spans="1:14" x14ac:dyDescent="0.3">
      <c r="A586" s="388" t="s">
        <v>3878</v>
      </c>
      <c r="B586" s="394">
        <v>21</v>
      </c>
      <c r="C586" s="388">
        <v>24.5</v>
      </c>
      <c r="D586" s="388">
        <v>22.5</v>
      </c>
      <c r="E586" s="342"/>
      <c r="N586">
        <f t="shared" si="9"/>
        <v>24.5</v>
      </c>
    </row>
    <row r="587" spans="1:14" x14ac:dyDescent="0.3">
      <c r="A587" s="388" t="s">
        <v>3879</v>
      </c>
      <c r="B587" s="394">
        <v>4</v>
      </c>
      <c r="C587" s="388">
        <v>6</v>
      </c>
      <c r="D587" s="388">
        <v>4.5</v>
      </c>
      <c r="E587" s="342"/>
      <c r="N587">
        <f t="shared" si="9"/>
        <v>6</v>
      </c>
    </row>
    <row r="588" spans="1:14" x14ac:dyDescent="0.3">
      <c r="A588" s="388" t="s">
        <v>3880</v>
      </c>
      <c r="B588" s="394">
        <v>0</v>
      </c>
      <c r="C588" s="388">
        <v>0.5</v>
      </c>
      <c r="D588" s="388">
        <v>0</v>
      </c>
      <c r="E588" s="342"/>
      <c r="N588">
        <f t="shared" si="9"/>
        <v>0.5</v>
      </c>
    </row>
    <row r="589" spans="1:14" x14ac:dyDescent="0.3">
      <c r="A589" s="388" t="s">
        <v>3881</v>
      </c>
      <c r="B589" s="394">
        <v>0</v>
      </c>
      <c r="C589" s="388">
        <v>0</v>
      </c>
      <c r="D589" s="388">
        <v>0</v>
      </c>
      <c r="E589" s="342"/>
      <c r="N589">
        <f t="shared" si="9"/>
        <v>0</v>
      </c>
    </row>
    <row r="590" spans="1:14" x14ac:dyDescent="0.3">
      <c r="A590" s="388" t="s">
        <v>3882</v>
      </c>
      <c r="B590" s="394">
        <v>0</v>
      </c>
      <c r="C590" s="388">
        <v>0</v>
      </c>
      <c r="D590" s="388">
        <v>0</v>
      </c>
      <c r="E590" s="342"/>
      <c r="N590">
        <f t="shared" si="9"/>
        <v>0</v>
      </c>
    </row>
    <row r="591" spans="1:14" x14ac:dyDescent="0.3">
      <c r="A591" s="388" t="s">
        <v>3883</v>
      </c>
      <c r="B591" s="394">
        <v>0</v>
      </c>
      <c r="C591" s="388">
        <v>0</v>
      </c>
      <c r="D591" s="388">
        <v>0</v>
      </c>
      <c r="E591" s="342"/>
      <c r="N591">
        <f t="shared" si="9"/>
        <v>0</v>
      </c>
    </row>
    <row r="592" spans="1:14" x14ac:dyDescent="0.3">
      <c r="A592" s="388" t="s">
        <v>3884</v>
      </c>
      <c r="B592" s="394">
        <v>1.5</v>
      </c>
      <c r="C592" s="388">
        <v>2</v>
      </c>
      <c r="D592" s="388">
        <v>1</v>
      </c>
      <c r="E592" s="342"/>
      <c r="N592">
        <f t="shared" si="9"/>
        <v>2</v>
      </c>
    </row>
    <row r="593" spans="1:14" x14ac:dyDescent="0.3">
      <c r="A593" s="388" t="s">
        <v>3885</v>
      </c>
      <c r="B593" s="394">
        <v>18.5</v>
      </c>
      <c r="C593" s="388">
        <v>22.5</v>
      </c>
      <c r="D593" s="388">
        <v>32</v>
      </c>
      <c r="E593" s="342"/>
      <c r="N593">
        <f t="shared" si="9"/>
        <v>32</v>
      </c>
    </row>
    <row r="594" spans="1:14" x14ac:dyDescent="0.3">
      <c r="A594" s="388" t="s">
        <v>3886</v>
      </c>
      <c r="B594" s="394">
        <v>0</v>
      </c>
      <c r="C594" s="388">
        <v>0</v>
      </c>
      <c r="D594" s="388">
        <v>0</v>
      </c>
      <c r="E594" s="342"/>
      <c r="N594">
        <f t="shared" si="9"/>
        <v>0</v>
      </c>
    </row>
    <row r="595" spans="1:14" x14ac:dyDescent="0.3">
      <c r="A595" s="388" t="s">
        <v>3887</v>
      </c>
      <c r="B595" s="394">
        <v>0.5</v>
      </c>
      <c r="C595" s="388">
        <v>0.5</v>
      </c>
      <c r="D595" s="388">
        <v>1</v>
      </c>
      <c r="E595" s="342"/>
      <c r="N595">
        <f t="shared" si="9"/>
        <v>1</v>
      </c>
    </row>
    <row r="596" spans="1:14" x14ac:dyDescent="0.3">
      <c r="A596" s="388" t="s">
        <v>3888</v>
      </c>
      <c r="B596" s="394">
        <v>0.5</v>
      </c>
      <c r="C596" s="388">
        <v>0.5</v>
      </c>
      <c r="D596" s="388">
        <v>1</v>
      </c>
      <c r="E596" s="342"/>
      <c r="N596">
        <f t="shared" si="9"/>
        <v>1</v>
      </c>
    </row>
    <row r="597" spans="1:14" x14ac:dyDescent="0.3">
      <c r="A597" s="388" t="s">
        <v>3889</v>
      </c>
      <c r="B597" s="394">
        <v>0</v>
      </c>
      <c r="C597" s="388">
        <v>0</v>
      </c>
      <c r="D597" s="388">
        <v>0</v>
      </c>
      <c r="E597" s="342"/>
      <c r="N597">
        <f t="shared" si="9"/>
        <v>0</v>
      </c>
    </row>
    <row r="598" spans="1:14" x14ac:dyDescent="0.3">
      <c r="A598" s="388" t="s">
        <v>3890</v>
      </c>
      <c r="B598" s="394">
        <v>0</v>
      </c>
      <c r="C598" s="388">
        <v>0</v>
      </c>
      <c r="D598" s="388">
        <v>0</v>
      </c>
      <c r="E598" s="342"/>
      <c r="N598">
        <f t="shared" si="9"/>
        <v>0</v>
      </c>
    </row>
    <row r="599" spans="1:14" x14ac:dyDescent="0.3">
      <c r="A599" s="388" t="s">
        <v>3891</v>
      </c>
      <c r="B599" s="394">
        <v>0</v>
      </c>
      <c r="C599" s="388">
        <v>0</v>
      </c>
      <c r="D599" s="388">
        <v>0</v>
      </c>
      <c r="E599" s="342"/>
      <c r="N599">
        <f t="shared" si="9"/>
        <v>0</v>
      </c>
    </row>
    <row r="600" spans="1:14" x14ac:dyDescent="0.3">
      <c r="A600" s="388" t="s">
        <v>3892</v>
      </c>
      <c r="B600" s="394">
        <v>0</v>
      </c>
      <c r="C600" s="388">
        <v>0</v>
      </c>
      <c r="D600" s="388">
        <v>0</v>
      </c>
      <c r="E600" s="342"/>
      <c r="N600">
        <f t="shared" si="9"/>
        <v>0</v>
      </c>
    </row>
    <row r="601" spans="1:14" x14ac:dyDescent="0.3">
      <c r="A601" s="388" t="s">
        <v>3893</v>
      </c>
      <c r="B601" s="394">
        <v>0</v>
      </c>
      <c r="C601" s="388">
        <v>0</v>
      </c>
      <c r="D601" s="388">
        <v>0</v>
      </c>
      <c r="E601" s="342"/>
      <c r="N601">
        <f t="shared" si="9"/>
        <v>0</v>
      </c>
    </row>
    <row r="602" spans="1:14" x14ac:dyDescent="0.3">
      <c r="A602" s="388" t="s">
        <v>3894</v>
      </c>
      <c r="B602" s="394">
        <v>2.5</v>
      </c>
      <c r="C602" s="388">
        <v>5.5</v>
      </c>
      <c r="D602" s="388">
        <v>2.5</v>
      </c>
      <c r="E602" s="342"/>
      <c r="N602">
        <f t="shared" si="9"/>
        <v>5.5</v>
      </c>
    </row>
    <row r="603" spans="1:14" x14ac:dyDescent="0.3">
      <c r="A603" s="388" t="s">
        <v>3895</v>
      </c>
      <c r="B603" s="394">
        <v>0</v>
      </c>
      <c r="C603" s="388">
        <v>0</v>
      </c>
      <c r="D603" s="388">
        <v>0</v>
      </c>
      <c r="E603" s="342"/>
      <c r="N603">
        <f t="shared" si="9"/>
        <v>0</v>
      </c>
    </row>
    <row r="604" spans="1:14" x14ac:dyDescent="0.3">
      <c r="A604" s="388" t="s">
        <v>3896</v>
      </c>
      <c r="B604" s="394">
        <v>0</v>
      </c>
      <c r="C604" s="388">
        <v>0</v>
      </c>
      <c r="D604" s="388">
        <v>0</v>
      </c>
      <c r="E604" s="342"/>
      <c r="N604">
        <f t="shared" si="9"/>
        <v>0</v>
      </c>
    </row>
    <row r="605" spans="1:14" x14ac:dyDescent="0.3">
      <c r="A605" s="388" t="s">
        <v>3897</v>
      </c>
      <c r="B605" s="394">
        <v>0</v>
      </c>
      <c r="C605" s="388">
        <v>0</v>
      </c>
      <c r="D605" s="388">
        <v>0</v>
      </c>
      <c r="E605" s="342"/>
      <c r="N605">
        <f t="shared" si="9"/>
        <v>0</v>
      </c>
    </row>
    <row r="606" spans="1:14" x14ac:dyDescent="0.3">
      <c r="A606" s="388" t="s">
        <v>3898</v>
      </c>
      <c r="B606" s="394">
        <v>2.5</v>
      </c>
      <c r="C606" s="388">
        <v>3</v>
      </c>
      <c r="D606" s="388">
        <v>2.5</v>
      </c>
      <c r="E606" s="342"/>
      <c r="N606">
        <f t="shared" si="9"/>
        <v>3</v>
      </c>
    </row>
    <row r="607" spans="1:14" x14ac:dyDescent="0.3">
      <c r="A607" s="388" t="s">
        <v>3899</v>
      </c>
      <c r="B607" s="394">
        <v>0</v>
      </c>
      <c r="C607" s="388">
        <v>0</v>
      </c>
      <c r="D607" s="388">
        <v>0</v>
      </c>
      <c r="E607" s="342"/>
      <c r="N607">
        <f t="shared" si="9"/>
        <v>0</v>
      </c>
    </row>
    <row r="608" spans="1:14" x14ac:dyDescent="0.3">
      <c r="A608" s="388" t="s">
        <v>3900</v>
      </c>
      <c r="B608" s="394">
        <v>0</v>
      </c>
      <c r="C608" s="388">
        <v>0</v>
      </c>
      <c r="D608" s="388">
        <v>0</v>
      </c>
      <c r="E608" s="342"/>
      <c r="N608">
        <f t="shared" si="9"/>
        <v>0</v>
      </c>
    </row>
    <row r="609" spans="1:14" x14ac:dyDescent="0.3">
      <c r="A609" s="388" t="s">
        <v>3901</v>
      </c>
      <c r="B609" s="394">
        <v>27.5</v>
      </c>
      <c r="C609" s="388">
        <v>52.5</v>
      </c>
      <c r="D609" s="388">
        <v>17</v>
      </c>
      <c r="E609" s="342"/>
      <c r="N609">
        <f t="shared" si="9"/>
        <v>52.5</v>
      </c>
    </row>
    <row r="610" spans="1:14" x14ac:dyDescent="0.3">
      <c r="A610" s="388" t="s">
        <v>3902</v>
      </c>
      <c r="B610" s="394">
        <v>0</v>
      </c>
      <c r="C610" s="388">
        <v>0</v>
      </c>
      <c r="D610" s="388">
        <v>3</v>
      </c>
      <c r="E610" s="342"/>
      <c r="N610">
        <f t="shared" si="9"/>
        <v>3</v>
      </c>
    </row>
    <row r="611" spans="1:14" x14ac:dyDescent="0.3">
      <c r="A611" s="388" t="s">
        <v>3903</v>
      </c>
      <c r="B611" s="394">
        <v>2</v>
      </c>
      <c r="C611" s="388">
        <v>1.5</v>
      </c>
      <c r="D611" s="388">
        <v>2</v>
      </c>
      <c r="E611" s="342"/>
      <c r="N611">
        <f t="shared" si="9"/>
        <v>2</v>
      </c>
    </row>
    <row r="612" spans="1:14" s="338" customFormat="1" x14ac:dyDescent="0.3">
      <c r="A612" s="392" t="s">
        <v>3904</v>
      </c>
      <c r="B612" s="395">
        <v>0</v>
      </c>
      <c r="C612" s="392">
        <v>0</v>
      </c>
      <c r="D612" s="392">
        <v>0</v>
      </c>
      <c r="E612" s="396"/>
      <c r="N612">
        <f t="shared" si="9"/>
        <v>0</v>
      </c>
    </row>
    <row r="613" spans="1:14" x14ac:dyDescent="0.3">
      <c r="A613" s="388" t="s">
        <v>3905</v>
      </c>
      <c r="B613" s="394">
        <v>0</v>
      </c>
      <c r="C613" s="388">
        <v>0</v>
      </c>
      <c r="D613" s="388">
        <v>0</v>
      </c>
      <c r="E613" s="342"/>
      <c r="N613">
        <f t="shared" si="9"/>
        <v>0</v>
      </c>
    </row>
    <row r="614" spans="1:14" x14ac:dyDescent="0.3">
      <c r="A614" s="388" t="s">
        <v>3906</v>
      </c>
      <c r="B614" s="394">
        <v>10</v>
      </c>
      <c r="C614" s="388">
        <v>8.5</v>
      </c>
      <c r="D614" s="388">
        <v>10.5</v>
      </c>
      <c r="E614" s="342"/>
      <c r="N614">
        <f t="shared" si="9"/>
        <v>10.5</v>
      </c>
    </row>
    <row r="615" spans="1:14" x14ac:dyDescent="0.3">
      <c r="A615" s="388" t="s">
        <v>3907</v>
      </c>
      <c r="B615" s="394">
        <v>1.5</v>
      </c>
      <c r="C615" s="388">
        <v>1</v>
      </c>
      <c r="D615" s="388">
        <v>1</v>
      </c>
      <c r="E615" s="342"/>
      <c r="N615">
        <f t="shared" si="9"/>
        <v>1.5</v>
      </c>
    </row>
    <row r="616" spans="1:14" x14ac:dyDescent="0.3">
      <c r="A616" s="388" t="s">
        <v>3908</v>
      </c>
      <c r="B616" s="394">
        <v>0</v>
      </c>
      <c r="C616" s="388">
        <v>0</v>
      </c>
      <c r="D616" s="388">
        <v>0</v>
      </c>
      <c r="E616" s="342"/>
      <c r="N616">
        <f t="shared" si="9"/>
        <v>0</v>
      </c>
    </row>
    <row r="617" spans="1:14" x14ac:dyDescent="0.3">
      <c r="A617" s="388" t="s">
        <v>3909</v>
      </c>
      <c r="B617" s="394">
        <v>1</v>
      </c>
      <c r="C617" s="388">
        <v>0.5</v>
      </c>
      <c r="D617" s="388">
        <v>0.5</v>
      </c>
      <c r="E617" s="342"/>
      <c r="N617">
        <f t="shared" si="9"/>
        <v>1</v>
      </c>
    </row>
    <row r="618" spans="1:14" x14ac:dyDescent="0.3">
      <c r="A618" s="388" t="s">
        <v>3910</v>
      </c>
      <c r="B618" s="394">
        <v>0</v>
      </c>
      <c r="C618" s="388">
        <v>0</v>
      </c>
      <c r="D618" s="388">
        <v>0</v>
      </c>
      <c r="E618" s="342"/>
      <c r="N618">
        <f t="shared" si="9"/>
        <v>0</v>
      </c>
    </row>
    <row r="619" spans="1:14" x14ac:dyDescent="0.3">
      <c r="A619" s="388" t="s">
        <v>3911</v>
      </c>
      <c r="B619" s="394">
        <v>8.5</v>
      </c>
      <c r="C619" s="388">
        <v>9.5</v>
      </c>
      <c r="D619" s="388">
        <v>10</v>
      </c>
      <c r="E619" s="342"/>
      <c r="N619">
        <f t="shared" si="9"/>
        <v>10</v>
      </c>
    </row>
    <row r="620" spans="1:14" x14ac:dyDescent="0.3">
      <c r="A620" s="388" t="s">
        <v>3912</v>
      </c>
      <c r="B620" s="394">
        <v>148</v>
      </c>
      <c r="C620" s="388">
        <v>158.5</v>
      </c>
      <c r="D620" s="388">
        <v>155</v>
      </c>
      <c r="E620" s="342"/>
      <c r="N620">
        <f t="shared" si="9"/>
        <v>158.5</v>
      </c>
    </row>
    <row r="621" spans="1:14" x14ac:dyDescent="0.3">
      <c r="A621" s="388" t="s">
        <v>3913</v>
      </c>
      <c r="B621" s="394">
        <v>0.5</v>
      </c>
      <c r="C621" s="388">
        <v>1</v>
      </c>
      <c r="D621" s="388">
        <v>0.5</v>
      </c>
      <c r="E621" s="342"/>
      <c r="N621">
        <f t="shared" si="9"/>
        <v>1</v>
      </c>
    </row>
    <row r="622" spans="1:14" x14ac:dyDescent="0.3">
      <c r="A622" s="388" t="s">
        <v>3914</v>
      </c>
      <c r="B622" s="394">
        <v>0</v>
      </c>
      <c r="C622" s="388">
        <v>0</v>
      </c>
      <c r="D622" s="388">
        <v>0</v>
      </c>
      <c r="E622" s="342"/>
      <c r="N622">
        <f t="shared" si="9"/>
        <v>0</v>
      </c>
    </row>
    <row r="623" spans="1:14" x14ac:dyDescent="0.3">
      <c r="A623" s="388" t="s">
        <v>3915</v>
      </c>
      <c r="B623" s="394">
        <v>0</v>
      </c>
      <c r="C623" s="388">
        <v>0</v>
      </c>
      <c r="D623" s="388">
        <v>0</v>
      </c>
      <c r="E623" s="342"/>
      <c r="N623">
        <f t="shared" si="9"/>
        <v>0</v>
      </c>
    </row>
    <row r="624" spans="1:14" x14ac:dyDescent="0.3">
      <c r="A624" s="388" t="s">
        <v>3916</v>
      </c>
      <c r="B624" s="394">
        <v>0</v>
      </c>
      <c r="C624" s="388">
        <v>0</v>
      </c>
      <c r="D624" s="388">
        <v>0</v>
      </c>
      <c r="E624" s="342"/>
      <c r="N624">
        <f t="shared" si="9"/>
        <v>0</v>
      </c>
    </row>
    <row r="625" spans="1:14" x14ac:dyDescent="0.3">
      <c r="A625" s="388" t="s">
        <v>3917</v>
      </c>
      <c r="B625" s="394">
        <v>19.5</v>
      </c>
      <c r="C625" s="388">
        <v>27.5</v>
      </c>
      <c r="D625" s="388">
        <v>19.5</v>
      </c>
      <c r="E625" s="342"/>
      <c r="N625">
        <f t="shared" si="9"/>
        <v>27.5</v>
      </c>
    </row>
    <row r="626" spans="1:14" x14ac:dyDescent="0.3">
      <c r="A626" s="388" t="s">
        <v>3918</v>
      </c>
      <c r="B626" s="394">
        <v>0.5</v>
      </c>
      <c r="C626" s="388">
        <v>0.5</v>
      </c>
      <c r="D626" s="388">
        <v>0.5</v>
      </c>
      <c r="E626" s="342"/>
      <c r="N626">
        <f t="shared" si="9"/>
        <v>0.5</v>
      </c>
    </row>
    <row r="627" spans="1:14" x14ac:dyDescent="0.3">
      <c r="A627" s="388" t="s">
        <v>3919</v>
      </c>
      <c r="B627" s="394">
        <v>5.5</v>
      </c>
      <c r="C627" s="388">
        <v>7</v>
      </c>
      <c r="D627" s="388">
        <v>6.5</v>
      </c>
      <c r="E627" s="342"/>
      <c r="N627">
        <f t="shared" si="9"/>
        <v>7</v>
      </c>
    </row>
    <row r="628" spans="1:14" x14ac:dyDescent="0.3">
      <c r="A628" s="388" t="s">
        <v>3920</v>
      </c>
      <c r="B628" s="394">
        <v>0</v>
      </c>
      <c r="C628" s="388">
        <v>0.5</v>
      </c>
      <c r="D628" s="388">
        <v>0.5</v>
      </c>
      <c r="E628" s="342"/>
      <c r="N628">
        <f t="shared" si="9"/>
        <v>0.5</v>
      </c>
    </row>
    <row r="629" spans="1:14" x14ac:dyDescent="0.3">
      <c r="A629" s="388" t="s">
        <v>3921</v>
      </c>
      <c r="B629" s="394">
        <v>0.5</v>
      </c>
      <c r="C629" s="388">
        <v>0</v>
      </c>
      <c r="D629" s="388">
        <v>0</v>
      </c>
      <c r="E629" s="342"/>
      <c r="N629">
        <f t="shared" si="9"/>
        <v>0.5</v>
      </c>
    </row>
    <row r="630" spans="1:14" x14ac:dyDescent="0.3">
      <c r="A630" s="388" t="s">
        <v>3922</v>
      </c>
      <c r="B630" s="394">
        <v>1</v>
      </c>
      <c r="C630" s="388">
        <v>2</v>
      </c>
      <c r="D630" s="388">
        <v>1.5</v>
      </c>
      <c r="E630" s="342"/>
      <c r="N630">
        <f t="shared" si="9"/>
        <v>2</v>
      </c>
    </row>
    <row r="631" spans="1:14" x14ac:dyDescent="0.3">
      <c r="A631" s="388" t="s">
        <v>3923</v>
      </c>
      <c r="B631" s="394">
        <v>13</v>
      </c>
      <c r="C631" s="388">
        <v>22</v>
      </c>
      <c r="D631" s="388">
        <v>12.5</v>
      </c>
      <c r="E631" s="342"/>
      <c r="N631">
        <f t="shared" si="9"/>
        <v>22</v>
      </c>
    </row>
    <row r="632" spans="1:14" x14ac:dyDescent="0.3">
      <c r="A632" s="388" t="s">
        <v>3924</v>
      </c>
      <c r="B632" s="394">
        <v>56.5</v>
      </c>
      <c r="C632" s="388">
        <v>60</v>
      </c>
      <c r="D632" s="388">
        <v>58</v>
      </c>
      <c r="E632" s="342"/>
      <c r="N632">
        <f t="shared" si="9"/>
        <v>60</v>
      </c>
    </row>
    <row r="633" spans="1:14" x14ac:dyDescent="0.3">
      <c r="A633" s="388" t="s">
        <v>3925</v>
      </c>
      <c r="B633" s="394">
        <v>3.5</v>
      </c>
      <c r="C633" s="388">
        <v>4.5</v>
      </c>
      <c r="D633" s="388">
        <v>4</v>
      </c>
      <c r="E633" s="342"/>
      <c r="N633">
        <f t="shared" si="9"/>
        <v>4.5</v>
      </c>
    </row>
    <row r="634" spans="1:14" x14ac:dyDescent="0.3">
      <c r="A634" s="388" t="s">
        <v>3926</v>
      </c>
      <c r="B634" s="394">
        <v>0.5</v>
      </c>
      <c r="C634" s="388">
        <v>1</v>
      </c>
      <c r="D634" s="388">
        <v>0.5</v>
      </c>
      <c r="E634" s="342"/>
      <c r="N634">
        <f t="shared" si="9"/>
        <v>1</v>
      </c>
    </row>
    <row r="635" spans="1:14" x14ac:dyDescent="0.3">
      <c r="A635" s="388" t="s">
        <v>3927</v>
      </c>
      <c r="B635" s="394">
        <v>74</v>
      </c>
      <c r="C635" s="388">
        <v>67.5</v>
      </c>
      <c r="D635" s="388">
        <v>76.5</v>
      </c>
      <c r="E635" s="342"/>
      <c r="N635">
        <f t="shared" si="9"/>
        <v>76.5</v>
      </c>
    </row>
    <row r="636" spans="1:14" x14ac:dyDescent="0.3">
      <c r="A636" s="388" t="s">
        <v>3928</v>
      </c>
      <c r="B636" s="394">
        <v>1.5</v>
      </c>
      <c r="C636" s="388">
        <v>2.5</v>
      </c>
      <c r="D636" s="388">
        <v>2.5</v>
      </c>
      <c r="E636" s="342"/>
      <c r="N636">
        <f t="shared" si="9"/>
        <v>2.5</v>
      </c>
    </row>
    <row r="637" spans="1:14" x14ac:dyDescent="0.3">
      <c r="A637" s="388" t="s">
        <v>3929</v>
      </c>
      <c r="B637" s="394">
        <v>0</v>
      </c>
      <c r="C637" s="388">
        <v>0</v>
      </c>
      <c r="D637" s="388">
        <v>0</v>
      </c>
      <c r="E637" s="342"/>
      <c r="N637">
        <f t="shared" si="9"/>
        <v>0</v>
      </c>
    </row>
    <row r="638" spans="1:14" x14ac:dyDescent="0.3">
      <c r="A638" s="388" t="s">
        <v>3930</v>
      </c>
      <c r="B638" s="394">
        <v>24.5</v>
      </c>
      <c r="C638" s="388">
        <v>23.5</v>
      </c>
      <c r="D638" s="388">
        <v>25.5</v>
      </c>
      <c r="E638" s="342"/>
      <c r="N638">
        <f t="shared" si="9"/>
        <v>25.5</v>
      </c>
    </row>
    <row r="639" spans="1:14" x14ac:dyDescent="0.3">
      <c r="A639" s="388" t="s">
        <v>3931</v>
      </c>
      <c r="B639" s="394">
        <v>6</v>
      </c>
      <c r="C639" s="388">
        <v>12</v>
      </c>
      <c r="D639" s="388">
        <v>6.5</v>
      </c>
      <c r="E639" s="342"/>
      <c r="N639">
        <f t="shared" si="9"/>
        <v>12</v>
      </c>
    </row>
    <row r="640" spans="1:14" x14ac:dyDescent="0.3">
      <c r="A640" s="388" t="s">
        <v>3932</v>
      </c>
      <c r="B640" s="394">
        <v>0</v>
      </c>
      <c r="C640" s="388">
        <v>0</v>
      </c>
      <c r="D640" s="388">
        <v>0</v>
      </c>
      <c r="E640" s="342"/>
      <c r="N640">
        <f t="shared" si="9"/>
        <v>0</v>
      </c>
    </row>
    <row r="641" spans="1:14" x14ac:dyDescent="0.3">
      <c r="A641" s="388" t="s">
        <v>3933</v>
      </c>
      <c r="B641" s="394">
        <v>20.5</v>
      </c>
      <c r="C641" s="388">
        <v>23</v>
      </c>
      <c r="D641" s="388">
        <v>20.5</v>
      </c>
      <c r="E641" s="342"/>
      <c r="N641">
        <f t="shared" si="9"/>
        <v>23</v>
      </c>
    </row>
    <row r="642" spans="1:14" s="338" customFormat="1" x14ac:dyDescent="0.3">
      <c r="A642" s="392" t="s">
        <v>3934</v>
      </c>
      <c r="B642" s="395">
        <v>1.5</v>
      </c>
      <c r="C642" s="392">
        <v>2</v>
      </c>
      <c r="D642" s="392">
        <v>1.5</v>
      </c>
      <c r="E642" s="396"/>
      <c r="N642">
        <f t="shared" si="9"/>
        <v>2</v>
      </c>
    </row>
    <row r="643" spans="1:14" x14ac:dyDescent="0.3">
      <c r="A643" s="388" t="s">
        <v>3935</v>
      </c>
      <c r="B643" s="394">
        <v>8.5</v>
      </c>
      <c r="C643" s="388">
        <v>11.5</v>
      </c>
      <c r="D643" s="388">
        <v>9</v>
      </c>
      <c r="E643" s="342"/>
      <c r="N643">
        <f t="shared" si="9"/>
        <v>11.5</v>
      </c>
    </row>
    <row r="644" spans="1:14" x14ac:dyDescent="0.3">
      <c r="A644" s="388" t="s">
        <v>3936</v>
      </c>
      <c r="B644" s="394">
        <v>3</v>
      </c>
      <c r="C644" s="388">
        <v>3.5</v>
      </c>
      <c r="D644" s="388">
        <v>4</v>
      </c>
      <c r="E644" s="342"/>
      <c r="N644">
        <f t="shared" si="9"/>
        <v>4</v>
      </c>
    </row>
    <row r="645" spans="1:14" x14ac:dyDescent="0.3">
      <c r="A645" s="388" t="s">
        <v>3937</v>
      </c>
      <c r="B645" s="394">
        <v>3.5</v>
      </c>
      <c r="C645" s="388">
        <v>4.5</v>
      </c>
      <c r="D645" s="388">
        <v>3</v>
      </c>
      <c r="E645" s="342"/>
      <c r="N645">
        <f t="shared" ref="N645:N708" si="10">MAX(B645:D645)</f>
        <v>4.5</v>
      </c>
    </row>
    <row r="646" spans="1:14" x14ac:dyDescent="0.3">
      <c r="A646" s="388" t="s">
        <v>3938</v>
      </c>
      <c r="B646" s="394">
        <v>0</v>
      </c>
      <c r="C646" s="388">
        <v>0</v>
      </c>
      <c r="D646" s="388">
        <v>0</v>
      </c>
      <c r="E646" s="342"/>
      <c r="N646">
        <f t="shared" si="10"/>
        <v>0</v>
      </c>
    </row>
    <row r="647" spans="1:14" x14ac:dyDescent="0.3">
      <c r="A647" s="388" t="s">
        <v>3939</v>
      </c>
      <c r="B647" s="394">
        <v>1.5</v>
      </c>
      <c r="C647" s="388">
        <v>2</v>
      </c>
      <c r="D647" s="388">
        <v>1.5</v>
      </c>
      <c r="E647" s="342"/>
      <c r="N647">
        <f t="shared" si="10"/>
        <v>2</v>
      </c>
    </row>
    <row r="648" spans="1:14" x14ac:dyDescent="0.3">
      <c r="A648" s="388" t="s">
        <v>3940</v>
      </c>
      <c r="B648" s="394">
        <v>70</v>
      </c>
      <c r="C648" s="388">
        <v>65</v>
      </c>
      <c r="D648" s="388">
        <v>80</v>
      </c>
      <c r="E648" s="342"/>
      <c r="N648">
        <f t="shared" si="10"/>
        <v>80</v>
      </c>
    </row>
    <row r="649" spans="1:14" x14ac:dyDescent="0.3">
      <c r="A649" s="388" t="s">
        <v>3941</v>
      </c>
      <c r="B649" s="394">
        <v>14</v>
      </c>
      <c r="C649" s="388">
        <v>16.5</v>
      </c>
      <c r="D649" s="388">
        <v>12.5</v>
      </c>
      <c r="E649" s="342"/>
      <c r="N649">
        <f t="shared" si="10"/>
        <v>16.5</v>
      </c>
    </row>
    <row r="650" spans="1:14" x14ac:dyDescent="0.3">
      <c r="A650" s="388" t="s">
        <v>3942</v>
      </c>
      <c r="B650" s="394">
        <v>1</v>
      </c>
      <c r="C650" s="388">
        <v>1</v>
      </c>
      <c r="D650" s="388">
        <v>0.5</v>
      </c>
      <c r="E650" s="342"/>
      <c r="N650">
        <f t="shared" si="10"/>
        <v>1</v>
      </c>
    </row>
    <row r="651" spans="1:14" x14ac:dyDescent="0.3">
      <c r="A651" s="388" t="s">
        <v>3943</v>
      </c>
      <c r="B651" s="394">
        <v>4</v>
      </c>
      <c r="C651" s="388">
        <v>5</v>
      </c>
      <c r="D651" s="388">
        <v>5.5</v>
      </c>
      <c r="E651" s="342"/>
      <c r="N651">
        <f t="shared" si="10"/>
        <v>5.5</v>
      </c>
    </row>
    <row r="652" spans="1:14" x14ac:dyDescent="0.3">
      <c r="A652" s="388" t="s">
        <v>3944</v>
      </c>
      <c r="B652" s="394">
        <v>0</v>
      </c>
      <c r="C652" s="388">
        <v>0</v>
      </c>
      <c r="D652" s="388">
        <v>0</v>
      </c>
      <c r="E652" s="342"/>
      <c r="N652">
        <f t="shared" si="10"/>
        <v>0</v>
      </c>
    </row>
    <row r="653" spans="1:14" x14ac:dyDescent="0.3">
      <c r="A653" s="388" t="s">
        <v>3945</v>
      </c>
      <c r="B653" s="394">
        <v>0</v>
      </c>
      <c r="C653" s="388">
        <v>0</v>
      </c>
      <c r="D653" s="388">
        <v>0</v>
      </c>
      <c r="E653" s="342"/>
      <c r="N653">
        <f t="shared" si="10"/>
        <v>0</v>
      </c>
    </row>
    <row r="654" spans="1:14" x14ac:dyDescent="0.3">
      <c r="A654" s="388" t="s">
        <v>3946</v>
      </c>
      <c r="B654" s="394">
        <v>8.5</v>
      </c>
      <c r="C654" s="388">
        <v>10.5</v>
      </c>
      <c r="D654" s="388">
        <v>10</v>
      </c>
      <c r="E654" s="342"/>
      <c r="N654">
        <f t="shared" si="10"/>
        <v>10.5</v>
      </c>
    </row>
    <row r="655" spans="1:14" x14ac:dyDescent="0.3">
      <c r="A655" s="388" t="s">
        <v>3947</v>
      </c>
      <c r="B655" s="394">
        <v>4</v>
      </c>
      <c r="C655" s="388">
        <v>8.5</v>
      </c>
      <c r="D655" s="388">
        <v>14.5</v>
      </c>
      <c r="E655" s="342"/>
      <c r="N655">
        <f t="shared" si="10"/>
        <v>14.5</v>
      </c>
    </row>
    <row r="656" spans="1:14" x14ac:dyDescent="0.3">
      <c r="A656" s="388" t="s">
        <v>3948</v>
      </c>
      <c r="B656" s="394">
        <v>0</v>
      </c>
      <c r="C656" s="388">
        <v>0</v>
      </c>
      <c r="D656" s="388">
        <v>0</v>
      </c>
      <c r="E656" s="342"/>
      <c r="N656">
        <f t="shared" si="10"/>
        <v>0</v>
      </c>
    </row>
    <row r="657" spans="1:14" x14ac:dyDescent="0.3">
      <c r="A657" s="388" t="s">
        <v>3949</v>
      </c>
      <c r="B657" s="394">
        <v>0.5</v>
      </c>
      <c r="C657" s="388">
        <v>0.5</v>
      </c>
      <c r="D657" s="388">
        <v>0.5</v>
      </c>
      <c r="E657" s="342"/>
      <c r="N657">
        <f t="shared" si="10"/>
        <v>0.5</v>
      </c>
    </row>
    <row r="658" spans="1:14" x14ac:dyDescent="0.3">
      <c r="A658" s="388" t="s">
        <v>3950</v>
      </c>
      <c r="B658" s="394">
        <v>0</v>
      </c>
      <c r="C658" s="388">
        <v>0</v>
      </c>
      <c r="D658" s="388">
        <v>0</v>
      </c>
      <c r="E658" s="342"/>
      <c r="N658">
        <f t="shared" si="10"/>
        <v>0</v>
      </c>
    </row>
    <row r="659" spans="1:14" x14ac:dyDescent="0.3">
      <c r="A659" s="388" t="s">
        <v>3951</v>
      </c>
      <c r="B659" s="394">
        <v>0</v>
      </c>
      <c r="C659" s="388">
        <v>0</v>
      </c>
      <c r="D659" s="388">
        <v>0</v>
      </c>
      <c r="E659" s="342"/>
      <c r="N659">
        <f t="shared" si="10"/>
        <v>0</v>
      </c>
    </row>
    <row r="660" spans="1:14" x14ac:dyDescent="0.3">
      <c r="A660" s="388" t="s">
        <v>3952</v>
      </c>
      <c r="B660" s="394">
        <v>23.5</v>
      </c>
      <c r="C660" s="388">
        <v>22.5</v>
      </c>
      <c r="D660" s="388">
        <v>23</v>
      </c>
      <c r="E660" s="342"/>
      <c r="N660">
        <f t="shared" si="10"/>
        <v>23.5</v>
      </c>
    </row>
    <row r="661" spans="1:14" x14ac:dyDescent="0.3">
      <c r="A661" s="388" t="s">
        <v>3953</v>
      </c>
      <c r="B661" s="394">
        <v>3</v>
      </c>
      <c r="C661" s="388">
        <v>3</v>
      </c>
      <c r="D661" s="388">
        <v>4.5</v>
      </c>
      <c r="E661" s="342"/>
      <c r="N661">
        <f t="shared" si="10"/>
        <v>4.5</v>
      </c>
    </row>
    <row r="662" spans="1:14" x14ac:dyDescent="0.3">
      <c r="A662" s="388" t="s">
        <v>3954</v>
      </c>
      <c r="B662" s="394">
        <v>1.5</v>
      </c>
      <c r="C662" s="388">
        <v>2</v>
      </c>
      <c r="D662" s="388">
        <v>2.5</v>
      </c>
      <c r="E662" s="342"/>
      <c r="N662">
        <f t="shared" si="10"/>
        <v>2.5</v>
      </c>
    </row>
    <row r="663" spans="1:14" x14ac:dyDescent="0.3">
      <c r="A663" s="388" t="s">
        <v>3955</v>
      </c>
      <c r="B663" s="394">
        <v>13</v>
      </c>
      <c r="C663" s="388">
        <v>13.5</v>
      </c>
      <c r="D663" s="388">
        <v>14</v>
      </c>
      <c r="E663" s="342"/>
      <c r="N663">
        <f t="shared" si="10"/>
        <v>14</v>
      </c>
    </row>
    <row r="664" spans="1:14" x14ac:dyDescent="0.3">
      <c r="A664" s="388" t="s">
        <v>3956</v>
      </c>
      <c r="B664" s="394">
        <v>43.5</v>
      </c>
      <c r="C664" s="388">
        <v>36</v>
      </c>
      <c r="D664" s="388">
        <v>47</v>
      </c>
      <c r="E664" s="342"/>
      <c r="N664">
        <f t="shared" si="10"/>
        <v>47</v>
      </c>
    </row>
    <row r="665" spans="1:14" x14ac:dyDescent="0.3">
      <c r="A665" s="388" t="s">
        <v>3957</v>
      </c>
      <c r="B665" s="394">
        <v>0.5</v>
      </c>
      <c r="C665" s="388">
        <v>1</v>
      </c>
      <c r="D665" s="388">
        <v>1</v>
      </c>
      <c r="E665" s="342"/>
      <c r="N665">
        <f t="shared" si="10"/>
        <v>1</v>
      </c>
    </row>
    <row r="666" spans="1:14" x14ac:dyDescent="0.3">
      <c r="A666" s="388" t="s">
        <v>3958</v>
      </c>
      <c r="B666" s="394">
        <v>2</v>
      </c>
      <c r="C666" s="388">
        <v>2</v>
      </c>
      <c r="D666" s="388">
        <v>2</v>
      </c>
      <c r="E666" s="342"/>
      <c r="N666">
        <f t="shared" si="10"/>
        <v>2</v>
      </c>
    </row>
    <row r="667" spans="1:14" x14ac:dyDescent="0.3">
      <c r="A667" s="388" t="s">
        <v>3959</v>
      </c>
      <c r="B667" s="394">
        <v>9</v>
      </c>
      <c r="C667" s="388">
        <v>12.5</v>
      </c>
      <c r="D667" s="388">
        <v>10.5</v>
      </c>
      <c r="E667" s="342"/>
      <c r="N667">
        <f t="shared" si="10"/>
        <v>12.5</v>
      </c>
    </row>
    <row r="668" spans="1:14" x14ac:dyDescent="0.3">
      <c r="A668" s="388" t="s">
        <v>3960</v>
      </c>
      <c r="B668" s="394">
        <v>0</v>
      </c>
      <c r="C668" s="388">
        <v>0</v>
      </c>
      <c r="D668" s="388">
        <v>0</v>
      </c>
      <c r="E668" s="342"/>
      <c r="N668">
        <f t="shared" si="10"/>
        <v>0</v>
      </c>
    </row>
    <row r="669" spans="1:14" x14ac:dyDescent="0.3">
      <c r="A669" s="388" t="s">
        <v>3961</v>
      </c>
      <c r="B669" s="394">
        <v>35.5</v>
      </c>
      <c r="C669" s="388">
        <v>34</v>
      </c>
      <c r="D669" s="388">
        <v>35</v>
      </c>
      <c r="E669" s="342"/>
      <c r="N669">
        <f t="shared" si="10"/>
        <v>35.5</v>
      </c>
    </row>
    <row r="670" spans="1:14" x14ac:dyDescent="0.3">
      <c r="A670" s="388" t="s">
        <v>3962</v>
      </c>
      <c r="B670" s="394">
        <v>18</v>
      </c>
      <c r="C670" s="388">
        <v>22</v>
      </c>
      <c r="D670" s="388">
        <v>14.5</v>
      </c>
      <c r="E670" s="342"/>
      <c r="N670">
        <f t="shared" si="10"/>
        <v>22</v>
      </c>
    </row>
    <row r="671" spans="1:14" x14ac:dyDescent="0.3">
      <c r="A671" s="388" t="s">
        <v>3963</v>
      </c>
      <c r="B671" s="394">
        <v>6</v>
      </c>
      <c r="C671" s="388">
        <v>10</v>
      </c>
      <c r="D671" s="388">
        <v>8.5</v>
      </c>
      <c r="E671" s="342"/>
      <c r="N671">
        <f t="shared" si="10"/>
        <v>10</v>
      </c>
    </row>
    <row r="672" spans="1:14" x14ac:dyDescent="0.3">
      <c r="A672" s="388" t="s">
        <v>3964</v>
      </c>
      <c r="B672" s="394">
        <v>8</v>
      </c>
      <c r="C672" s="388">
        <v>10.5</v>
      </c>
      <c r="D672" s="388">
        <v>9</v>
      </c>
      <c r="E672" s="342"/>
      <c r="N672">
        <f t="shared" si="10"/>
        <v>10.5</v>
      </c>
    </row>
    <row r="673" spans="1:14" s="338" customFormat="1" x14ac:dyDescent="0.3">
      <c r="A673" s="392" t="s">
        <v>3965</v>
      </c>
      <c r="B673" s="395">
        <v>16.5</v>
      </c>
      <c r="C673" s="392">
        <v>25.5</v>
      </c>
      <c r="D673" s="392">
        <v>16.5</v>
      </c>
      <c r="E673" s="396"/>
      <c r="N673">
        <f t="shared" si="10"/>
        <v>25.5</v>
      </c>
    </row>
    <row r="674" spans="1:14" x14ac:dyDescent="0.3">
      <c r="A674" s="388" t="s">
        <v>3966</v>
      </c>
      <c r="B674" s="394">
        <v>10.5</v>
      </c>
      <c r="C674" s="388">
        <v>9.5</v>
      </c>
      <c r="D674" s="388">
        <v>11.5</v>
      </c>
      <c r="E674" s="342"/>
      <c r="N674">
        <f t="shared" si="10"/>
        <v>11.5</v>
      </c>
    </row>
    <row r="675" spans="1:14" x14ac:dyDescent="0.3">
      <c r="A675" s="388" t="s">
        <v>3967</v>
      </c>
      <c r="B675" s="394">
        <v>0.5</v>
      </c>
      <c r="C675" s="388">
        <v>0.5</v>
      </c>
      <c r="D675" s="388">
        <v>0</v>
      </c>
      <c r="E675" s="342"/>
      <c r="N675">
        <f t="shared" si="10"/>
        <v>0.5</v>
      </c>
    </row>
    <row r="676" spans="1:14" x14ac:dyDescent="0.3">
      <c r="A676" s="388" t="s">
        <v>3968</v>
      </c>
      <c r="B676" s="394">
        <v>0.5</v>
      </c>
      <c r="C676" s="388">
        <v>0.5</v>
      </c>
      <c r="D676" s="388">
        <v>0.5</v>
      </c>
      <c r="E676" s="342"/>
      <c r="N676">
        <f t="shared" si="10"/>
        <v>0.5</v>
      </c>
    </row>
    <row r="677" spans="1:14" x14ac:dyDescent="0.3">
      <c r="A677" s="388" t="s">
        <v>3969</v>
      </c>
      <c r="B677" s="394">
        <v>0</v>
      </c>
      <c r="C677" s="388">
        <v>0</v>
      </c>
      <c r="D677" s="388">
        <v>0</v>
      </c>
      <c r="E677" s="342"/>
      <c r="N677">
        <f t="shared" si="10"/>
        <v>0</v>
      </c>
    </row>
    <row r="678" spans="1:14" x14ac:dyDescent="0.3">
      <c r="A678" s="388" t="s">
        <v>3970</v>
      </c>
      <c r="B678" s="394">
        <v>0</v>
      </c>
      <c r="C678" s="388">
        <v>0</v>
      </c>
      <c r="D678" s="388">
        <v>0</v>
      </c>
      <c r="E678" s="342"/>
      <c r="N678">
        <f t="shared" si="10"/>
        <v>0</v>
      </c>
    </row>
    <row r="679" spans="1:14" x14ac:dyDescent="0.3">
      <c r="A679" s="388" t="s">
        <v>3971</v>
      </c>
      <c r="B679" s="394">
        <v>6</v>
      </c>
      <c r="C679" s="388">
        <v>4.5</v>
      </c>
      <c r="D679" s="388">
        <v>6.5</v>
      </c>
      <c r="E679" s="342"/>
      <c r="N679">
        <f t="shared" si="10"/>
        <v>6.5</v>
      </c>
    </row>
    <row r="680" spans="1:14" x14ac:dyDescent="0.3">
      <c r="A680" s="388" t="s">
        <v>3972</v>
      </c>
      <c r="B680" s="394">
        <v>2</v>
      </c>
      <c r="C680" s="388">
        <v>2.5</v>
      </c>
      <c r="D680" s="388">
        <v>3</v>
      </c>
      <c r="E680" s="342"/>
      <c r="N680">
        <f t="shared" si="10"/>
        <v>3</v>
      </c>
    </row>
    <row r="681" spans="1:14" x14ac:dyDescent="0.3">
      <c r="A681" s="388" t="s">
        <v>3973</v>
      </c>
      <c r="B681" s="394">
        <v>34.5</v>
      </c>
      <c r="C681" s="388">
        <v>25.5</v>
      </c>
      <c r="D681" s="388">
        <v>36</v>
      </c>
      <c r="E681" s="342"/>
      <c r="N681">
        <f t="shared" si="10"/>
        <v>36</v>
      </c>
    </row>
    <row r="682" spans="1:14" x14ac:dyDescent="0.3">
      <c r="A682" s="388" t="s">
        <v>3974</v>
      </c>
      <c r="B682" s="394">
        <v>0</v>
      </c>
      <c r="C682" s="388">
        <v>0</v>
      </c>
      <c r="D682" s="388">
        <v>0.5</v>
      </c>
      <c r="E682" s="342"/>
      <c r="N682">
        <f t="shared" si="10"/>
        <v>0.5</v>
      </c>
    </row>
    <row r="683" spans="1:14" x14ac:dyDescent="0.3">
      <c r="A683" s="388" t="s">
        <v>3975</v>
      </c>
      <c r="B683" s="394">
        <v>0</v>
      </c>
      <c r="C683" s="388">
        <v>0</v>
      </c>
      <c r="D683" s="388">
        <v>0</v>
      </c>
      <c r="E683" s="342"/>
      <c r="N683">
        <f t="shared" si="10"/>
        <v>0</v>
      </c>
    </row>
    <row r="684" spans="1:14" x14ac:dyDescent="0.3">
      <c r="A684" s="388" t="s">
        <v>3976</v>
      </c>
      <c r="B684" s="394">
        <v>25</v>
      </c>
      <c r="C684" s="388">
        <v>25.5</v>
      </c>
      <c r="D684" s="388">
        <v>13</v>
      </c>
      <c r="E684" s="342"/>
      <c r="N684">
        <f t="shared" si="10"/>
        <v>25.5</v>
      </c>
    </row>
    <row r="685" spans="1:14" x14ac:dyDescent="0.3">
      <c r="A685" s="388" t="s">
        <v>3977</v>
      </c>
      <c r="B685" s="394">
        <v>2</v>
      </c>
      <c r="C685" s="388">
        <v>2.5</v>
      </c>
      <c r="D685" s="388">
        <v>1.5</v>
      </c>
      <c r="E685" s="342"/>
      <c r="N685">
        <f t="shared" si="10"/>
        <v>2.5</v>
      </c>
    </row>
    <row r="686" spans="1:14" x14ac:dyDescent="0.3">
      <c r="A686" s="388" t="s">
        <v>3978</v>
      </c>
      <c r="B686" s="394">
        <v>10</v>
      </c>
      <c r="C686" s="388">
        <v>10.5</v>
      </c>
      <c r="D686" s="388">
        <v>9</v>
      </c>
      <c r="E686" s="342"/>
      <c r="N686">
        <f t="shared" si="10"/>
        <v>10.5</v>
      </c>
    </row>
    <row r="687" spans="1:14" x14ac:dyDescent="0.3">
      <c r="A687" s="388" t="s">
        <v>3979</v>
      </c>
      <c r="B687" s="394">
        <v>1.5</v>
      </c>
      <c r="C687" s="388">
        <v>2.5</v>
      </c>
      <c r="D687" s="388">
        <v>1</v>
      </c>
      <c r="E687" s="342"/>
      <c r="N687">
        <f t="shared" si="10"/>
        <v>2.5</v>
      </c>
    </row>
    <row r="688" spans="1:14" x14ac:dyDescent="0.3">
      <c r="A688" s="388" t="s">
        <v>3980</v>
      </c>
      <c r="B688" s="394">
        <v>0</v>
      </c>
      <c r="C688" s="388">
        <v>0</v>
      </c>
      <c r="D688" s="388">
        <v>0</v>
      </c>
      <c r="E688" s="342"/>
      <c r="N688">
        <f t="shared" si="10"/>
        <v>0</v>
      </c>
    </row>
    <row r="689" spans="1:14" x14ac:dyDescent="0.3">
      <c r="A689" s="388" t="s">
        <v>3981</v>
      </c>
      <c r="B689" s="394">
        <v>6.5</v>
      </c>
      <c r="C689" s="388">
        <v>6</v>
      </c>
      <c r="D689" s="388">
        <v>6</v>
      </c>
      <c r="E689" s="342"/>
      <c r="N689">
        <f t="shared" si="10"/>
        <v>6.5</v>
      </c>
    </row>
    <row r="690" spans="1:14" x14ac:dyDescent="0.3">
      <c r="A690" s="388" t="s">
        <v>3982</v>
      </c>
      <c r="B690" s="394">
        <v>0</v>
      </c>
      <c r="C690" s="388">
        <v>0</v>
      </c>
      <c r="D690" s="388">
        <v>0</v>
      </c>
      <c r="E690" s="342"/>
      <c r="N690">
        <f t="shared" si="10"/>
        <v>0</v>
      </c>
    </row>
    <row r="691" spans="1:14" x14ac:dyDescent="0.3">
      <c r="A691" s="388" t="s">
        <v>3983</v>
      </c>
      <c r="B691" s="394">
        <v>0</v>
      </c>
      <c r="C691" s="388">
        <v>0</v>
      </c>
      <c r="D691" s="388">
        <v>0</v>
      </c>
      <c r="E691" s="342"/>
      <c r="N691">
        <f t="shared" si="10"/>
        <v>0</v>
      </c>
    </row>
    <row r="692" spans="1:14" x14ac:dyDescent="0.3">
      <c r="A692" s="388" t="s">
        <v>3984</v>
      </c>
      <c r="B692" s="394">
        <v>10</v>
      </c>
      <c r="C692" s="388">
        <v>10.5</v>
      </c>
      <c r="D692" s="388">
        <v>9.5</v>
      </c>
      <c r="E692" s="342"/>
      <c r="N692">
        <f t="shared" si="10"/>
        <v>10.5</v>
      </c>
    </row>
    <row r="693" spans="1:14" x14ac:dyDescent="0.3">
      <c r="A693" s="388" t="s">
        <v>3985</v>
      </c>
      <c r="B693" s="394">
        <v>0</v>
      </c>
      <c r="C693" s="388">
        <v>0</v>
      </c>
      <c r="D693" s="388">
        <v>0</v>
      </c>
      <c r="E693" s="342"/>
      <c r="N693">
        <f t="shared" si="10"/>
        <v>0</v>
      </c>
    </row>
    <row r="694" spans="1:14" x14ac:dyDescent="0.3">
      <c r="A694" s="388" t="s">
        <v>3986</v>
      </c>
      <c r="B694" s="394">
        <v>36.5</v>
      </c>
      <c r="C694" s="388">
        <v>65.5</v>
      </c>
      <c r="D694" s="388">
        <v>28</v>
      </c>
      <c r="E694" s="342"/>
      <c r="N694">
        <f t="shared" si="10"/>
        <v>65.5</v>
      </c>
    </row>
    <row r="695" spans="1:14" x14ac:dyDescent="0.3">
      <c r="A695" s="388" t="s">
        <v>3987</v>
      </c>
      <c r="B695" s="394">
        <v>65</v>
      </c>
      <c r="C695" s="388">
        <v>39.5</v>
      </c>
      <c r="D695" s="388">
        <v>27.5</v>
      </c>
      <c r="E695" s="342"/>
      <c r="N695">
        <f t="shared" si="10"/>
        <v>65</v>
      </c>
    </row>
    <row r="696" spans="1:14" x14ac:dyDescent="0.3">
      <c r="A696" s="388" t="s">
        <v>3988</v>
      </c>
      <c r="B696" s="394">
        <v>4</v>
      </c>
      <c r="C696" s="388">
        <v>2.5</v>
      </c>
      <c r="D696" s="388">
        <v>1.5</v>
      </c>
      <c r="E696" s="342"/>
      <c r="N696">
        <f t="shared" si="10"/>
        <v>4</v>
      </c>
    </row>
    <row r="697" spans="1:14" x14ac:dyDescent="0.3">
      <c r="A697" s="388" t="s">
        <v>3989</v>
      </c>
      <c r="B697" s="394">
        <v>8</v>
      </c>
      <c r="C697" s="388">
        <v>17.5</v>
      </c>
      <c r="D697" s="388">
        <v>21</v>
      </c>
      <c r="E697" s="342"/>
      <c r="N697">
        <f t="shared" si="10"/>
        <v>21</v>
      </c>
    </row>
    <row r="698" spans="1:14" x14ac:dyDescent="0.3">
      <c r="A698" s="388" t="s">
        <v>3990</v>
      </c>
      <c r="B698" s="394">
        <v>0</v>
      </c>
      <c r="C698" s="388">
        <v>0</v>
      </c>
      <c r="D698" s="388">
        <v>0</v>
      </c>
      <c r="E698" s="342"/>
      <c r="N698">
        <f t="shared" si="10"/>
        <v>0</v>
      </c>
    </row>
    <row r="699" spans="1:14" x14ac:dyDescent="0.3">
      <c r="A699" s="388" t="s">
        <v>3991</v>
      </c>
      <c r="B699" s="394">
        <v>0</v>
      </c>
      <c r="C699" s="388">
        <v>0</v>
      </c>
      <c r="D699" s="388">
        <v>0</v>
      </c>
      <c r="E699" s="342"/>
      <c r="N699">
        <f t="shared" si="10"/>
        <v>0</v>
      </c>
    </row>
    <row r="700" spans="1:14" x14ac:dyDescent="0.3">
      <c r="A700" s="388" t="s">
        <v>3992</v>
      </c>
      <c r="B700" s="394">
        <v>13</v>
      </c>
      <c r="C700" s="388">
        <v>11</v>
      </c>
      <c r="D700" s="388">
        <v>9</v>
      </c>
      <c r="E700" s="342"/>
      <c r="N700">
        <f t="shared" si="10"/>
        <v>13</v>
      </c>
    </row>
    <row r="701" spans="1:14" x14ac:dyDescent="0.3">
      <c r="A701" s="388" t="s">
        <v>3993</v>
      </c>
      <c r="B701" s="394">
        <v>1.5</v>
      </c>
      <c r="C701" s="388">
        <v>2</v>
      </c>
      <c r="D701" s="388">
        <v>0.5</v>
      </c>
      <c r="E701" s="342"/>
      <c r="N701">
        <f t="shared" si="10"/>
        <v>2</v>
      </c>
    </row>
    <row r="702" spans="1:14" x14ac:dyDescent="0.3">
      <c r="A702" s="388" t="s">
        <v>3994</v>
      </c>
      <c r="B702" s="394">
        <v>1</v>
      </c>
      <c r="C702" s="388">
        <v>1.5</v>
      </c>
      <c r="D702" s="388">
        <v>1</v>
      </c>
      <c r="E702" s="342"/>
      <c r="N702">
        <f t="shared" si="10"/>
        <v>1.5</v>
      </c>
    </row>
    <row r="703" spans="1:14" s="338" customFormat="1" x14ac:dyDescent="0.3">
      <c r="A703" s="392" t="s">
        <v>3995</v>
      </c>
      <c r="B703" s="395">
        <v>21.5</v>
      </c>
      <c r="C703" s="392">
        <v>24.5</v>
      </c>
      <c r="D703" s="392">
        <v>20</v>
      </c>
      <c r="E703" s="396"/>
      <c r="N703">
        <f t="shared" si="10"/>
        <v>24.5</v>
      </c>
    </row>
    <row r="704" spans="1:14" x14ac:dyDescent="0.3">
      <c r="A704" s="388" t="s">
        <v>3996</v>
      </c>
      <c r="B704" s="394">
        <v>3</v>
      </c>
      <c r="C704" s="388">
        <v>4</v>
      </c>
      <c r="D704" s="388">
        <v>2.5</v>
      </c>
      <c r="E704" s="342"/>
      <c r="N704">
        <f t="shared" si="10"/>
        <v>4</v>
      </c>
    </row>
    <row r="705" spans="1:14" x14ac:dyDescent="0.3">
      <c r="A705" s="388" t="s">
        <v>3997</v>
      </c>
      <c r="B705" s="394">
        <v>0</v>
      </c>
      <c r="C705" s="388">
        <v>0</v>
      </c>
      <c r="D705" s="388">
        <v>0</v>
      </c>
      <c r="E705" s="342"/>
      <c r="N705">
        <f t="shared" si="10"/>
        <v>0</v>
      </c>
    </row>
    <row r="706" spans="1:14" x14ac:dyDescent="0.3">
      <c r="A706" s="388" t="s">
        <v>3998</v>
      </c>
      <c r="B706" s="394">
        <v>50</v>
      </c>
      <c r="C706" s="388">
        <v>60.5</v>
      </c>
      <c r="D706" s="388">
        <v>50</v>
      </c>
      <c r="E706" s="342"/>
      <c r="N706">
        <f t="shared" si="10"/>
        <v>60.5</v>
      </c>
    </row>
    <row r="707" spans="1:14" x14ac:dyDescent="0.3">
      <c r="A707" s="388" t="s">
        <v>3999</v>
      </c>
      <c r="B707" s="394">
        <v>19</v>
      </c>
      <c r="C707" s="388">
        <v>23.5</v>
      </c>
      <c r="D707" s="388">
        <v>12.5</v>
      </c>
      <c r="E707" s="342"/>
      <c r="N707">
        <f t="shared" si="10"/>
        <v>23.5</v>
      </c>
    </row>
    <row r="708" spans="1:14" x14ac:dyDescent="0.3">
      <c r="A708" s="388" t="s">
        <v>4000</v>
      </c>
      <c r="B708" s="394">
        <v>5</v>
      </c>
      <c r="C708" s="388">
        <v>8</v>
      </c>
      <c r="D708" s="388">
        <v>6</v>
      </c>
      <c r="E708" s="342"/>
      <c r="N708">
        <f t="shared" si="10"/>
        <v>8</v>
      </c>
    </row>
    <row r="709" spans="1:14" x14ac:dyDescent="0.3">
      <c r="A709" s="388" t="s">
        <v>4001</v>
      </c>
      <c r="B709" s="394">
        <v>0</v>
      </c>
      <c r="C709" s="388">
        <v>0</v>
      </c>
      <c r="D709" s="388">
        <v>0</v>
      </c>
      <c r="E709" s="342"/>
      <c r="N709">
        <f t="shared" ref="N709:N772" si="11">MAX(B709:D709)</f>
        <v>0</v>
      </c>
    </row>
    <row r="710" spans="1:14" x14ac:dyDescent="0.3">
      <c r="A710" s="388" t="s">
        <v>4002</v>
      </c>
      <c r="B710" s="394">
        <v>0</v>
      </c>
      <c r="C710" s="388">
        <v>0</v>
      </c>
      <c r="D710" s="388">
        <v>0</v>
      </c>
      <c r="E710" s="342"/>
      <c r="N710">
        <f t="shared" si="11"/>
        <v>0</v>
      </c>
    </row>
    <row r="711" spans="1:14" x14ac:dyDescent="0.3">
      <c r="A711" s="388" t="s">
        <v>4003</v>
      </c>
      <c r="B711" s="394">
        <v>8.5</v>
      </c>
      <c r="C711" s="388">
        <v>6.5</v>
      </c>
      <c r="D711" s="388">
        <v>10.5</v>
      </c>
      <c r="E711" s="342"/>
      <c r="N711">
        <f t="shared" si="11"/>
        <v>10.5</v>
      </c>
    </row>
    <row r="712" spans="1:14" x14ac:dyDescent="0.3">
      <c r="A712" s="388" t="s">
        <v>4004</v>
      </c>
      <c r="B712" s="394">
        <v>0</v>
      </c>
      <c r="C712" s="388">
        <v>0</v>
      </c>
      <c r="D712" s="388">
        <v>0</v>
      </c>
      <c r="E712" s="342"/>
      <c r="N712">
        <f t="shared" si="11"/>
        <v>0</v>
      </c>
    </row>
    <row r="713" spans="1:14" x14ac:dyDescent="0.3">
      <c r="A713" s="388" t="s">
        <v>4005</v>
      </c>
      <c r="B713" s="394">
        <v>1</v>
      </c>
      <c r="C713" s="388">
        <v>1.5</v>
      </c>
      <c r="D713" s="388">
        <v>1</v>
      </c>
      <c r="E713" s="342"/>
      <c r="N713">
        <f t="shared" si="11"/>
        <v>1.5</v>
      </c>
    </row>
    <row r="714" spans="1:14" x14ac:dyDescent="0.3">
      <c r="A714" s="388" t="s">
        <v>4006</v>
      </c>
      <c r="B714" s="394">
        <v>14.5</v>
      </c>
      <c r="C714" s="388">
        <v>16</v>
      </c>
      <c r="D714" s="388">
        <v>19</v>
      </c>
      <c r="E714" s="342"/>
      <c r="N714">
        <f t="shared" si="11"/>
        <v>19</v>
      </c>
    </row>
    <row r="715" spans="1:14" x14ac:dyDescent="0.3">
      <c r="A715" s="388" t="s">
        <v>4007</v>
      </c>
      <c r="B715" s="394">
        <v>2</v>
      </c>
      <c r="C715" s="388">
        <v>2.5</v>
      </c>
      <c r="D715" s="388">
        <v>1.5</v>
      </c>
      <c r="E715" s="342"/>
      <c r="N715">
        <f t="shared" si="11"/>
        <v>2.5</v>
      </c>
    </row>
    <row r="716" spans="1:14" x14ac:dyDescent="0.3">
      <c r="A716" s="388" t="s">
        <v>4008</v>
      </c>
      <c r="B716" s="394">
        <v>9.5</v>
      </c>
      <c r="C716" s="388">
        <v>11.5</v>
      </c>
      <c r="D716" s="388">
        <v>14</v>
      </c>
      <c r="E716" s="342"/>
      <c r="N716">
        <f t="shared" si="11"/>
        <v>14</v>
      </c>
    </row>
    <row r="717" spans="1:14" x14ac:dyDescent="0.3">
      <c r="A717" s="388" t="s">
        <v>4009</v>
      </c>
      <c r="B717" s="394">
        <v>0.5</v>
      </c>
      <c r="C717" s="388">
        <v>1</v>
      </c>
      <c r="D717" s="388">
        <v>0.5</v>
      </c>
      <c r="E717" s="342"/>
      <c r="N717">
        <f t="shared" si="11"/>
        <v>1</v>
      </c>
    </row>
    <row r="718" spans="1:14" x14ac:dyDescent="0.3">
      <c r="A718" s="388" t="s">
        <v>4010</v>
      </c>
      <c r="B718" s="394">
        <v>3.5</v>
      </c>
      <c r="C718" s="388">
        <v>4.5</v>
      </c>
      <c r="D718" s="388">
        <v>4</v>
      </c>
      <c r="E718" s="342"/>
      <c r="N718">
        <f t="shared" si="11"/>
        <v>4.5</v>
      </c>
    </row>
    <row r="719" spans="1:14" x14ac:dyDescent="0.3">
      <c r="A719" s="388" t="s">
        <v>4011</v>
      </c>
      <c r="B719" s="394">
        <v>0</v>
      </c>
      <c r="C719" s="388">
        <v>0</v>
      </c>
      <c r="D719" s="388">
        <v>0</v>
      </c>
      <c r="E719" s="342"/>
      <c r="N719">
        <f t="shared" si="11"/>
        <v>0</v>
      </c>
    </row>
    <row r="720" spans="1:14" x14ac:dyDescent="0.3">
      <c r="A720" s="388" t="s">
        <v>4012</v>
      </c>
      <c r="B720" s="394">
        <v>0</v>
      </c>
      <c r="C720" s="388">
        <v>0.5</v>
      </c>
      <c r="D720" s="388">
        <v>0</v>
      </c>
      <c r="E720" s="342"/>
      <c r="N720">
        <f t="shared" si="11"/>
        <v>0.5</v>
      </c>
    </row>
    <row r="721" spans="1:14" x14ac:dyDescent="0.3">
      <c r="A721" s="388" t="s">
        <v>4013</v>
      </c>
      <c r="B721" s="394">
        <v>2</v>
      </c>
      <c r="C721" s="388">
        <v>0.5</v>
      </c>
      <c r="D721" s="388">
        <v>0.5</v>
      </c>
      <c r="E721" s="342"/>
      <c r="N721">
        <f t="shared" si="11"/>
        <v>2</v>
      </c>
    </row>
    <row r="722" spans="1:14" x14ac:dyDescent="0.3">
      <c r="A722" s="388" t="s">
        <v>4014</v>
      </c>
      <c r="B722" s="394">
        <v>0</v>
      </c>
      <c r="C722" s="388">
        <v>0</v>
      </c>
      <c r="D722" s="388">
        <v>0</v>
      </c>
      <c r="E722" s="342"/>
      <c r="N722">
        <f t="shared" si="11"/>
        <v>0</v>
      </c>
    </row>
    <row r="723" spans="1:14" x14ac:dyDescent="0.3">
      <c r="A723" s="388" t="s">
        <v>4015</v>
      </c>
      <c r="B723" s="394">
        <v>21</v>
      </c>
      <c r="C723" s="388">
        <v>25.5</v>
      </c>
      <c r="D723" s="388">
        <v>20.5</v>
      </c>
      <c r="E723" s="342"/>
      <c r="N723">
        <f t="shared" si="11"/>
        <v>25.5</v>
      </c>
    </row>
    <row r="724" spans="1:14" x14ac:dyDescent="0.3">
      <c r="A724" s="388" t="s">
        <v>4016</v>
      </c>
      <c r="B724" s="394">
        <v>0</v>
      </c>
      <c r="C724" s="388">
        <v>0</v>
      </c>
      <c r="D724" s="388">
        <v>0</v>
      </c>
      <c r="E724" s="342"/>
      <c r="N724">
        <f t="shared" si="11"/>
        <v>0</v>
      </c>
    </row>
    <row r="725" spans="1:14" x14ac:dyDescent="0.3">
      <c r="A725" s="388" t="s">
        <v>4017</v>
      </c>
      <c r="B725" s="394">
        <v>0</v>
      </c>
      <c r="C725" s="388">
        <v>0</v>
      </c>
      <c r="D725" s="388">
        <v>0</v>
      </c>
      <c r="E725" s="342"/>
      <c r="N725">
        <f t="shared" si="11"/>
        <v>0</v>
      </c>
    </row>
    <row r="726" spans="1:14" x14ac:dyDescent="0.3">
      <c r="A726" s="388" t="s">
        <v>4018</v>
      </c>
      <c r="B726" s="394">
        <v>36.5</v>
      </c>
      <c r="C726" s="388">
        <v>30.5</v>
      </c>
      <c r="D726" s="388">
        <v>27.5</v>
      </c>
      <c r="E726" s="342"/>
      <c r="N726">
        <f t="shared" si="11"/>
        <v>36.5</v>
      </c>
    </row>
    <row r="727" spans="1:14" x14ac:dyDescent="0.3">
      <c r="A727" s="388" t="s">
        <v>4019</v>
      </c>
      <c r="B727" s="394">
        <v>0.5</v>
      </c>
      <c r="C727" s="388">
        <v>0.5</v>
      </c>
      <c r="D727" s="388">
        <v>0.5</v>
      </c>
      <c r="E727" s="342"/>
      <c r="N727">
        <f t="shared" si="11"/>
        <v>0.5</v>
      </c>
    </row>
    <row r="728" spans="1:14" x14ac:dyDescent="0.3">
      <c r="A728" s="388" t="s">
        <v>4020</v>
      </c>
      <c r="B728" s="394">
        <v>24</v>
      </c>
      <c r="C728" s="388">
        <v>26.5</v>
      </c>
      <c r="D728" s="388">
        <v>23</v>
      </c>
      <c r="E728" s="342"/>
      <c r="N728">
        <f t="shared" si="11"/>
        <v>26.5</v>
      </c>
    </row>
    <row r="729" spans="1:14" x14ac:dyDescent="0.3">
      <c r="A729" s="388" t="s">
        <v>4021</v>
      </c>
      <c r="B729" s="394">
        <v>5.5</v>
      </c>
      <c r="C729" s="388">
        <v>6.5</v>
      </c>
      <c r="D729" s="388">
        <v>6</v>
      </c>
      <c r="E729" s="342"/>
      <c r="N729">
        <f t="shared" si="11"/>
        <v>6.5</v>
      </c>
    </row>
    <row r="730" spans="1:14" x14ac:dyDescent="0.3">
      <c r="A730" s="388" t="s">
        <v>4022</v>
      </c>
      <c r="B730" s="394">
        <v>0</v>
      </c>
      <c r="C730" s="388">
        <v>0</v>
      </c>
      <c r="D730" s="388">
        <v>0</v>
      </c>
      <c r="E730" s="342"/>
      <c r="N730">
        <f t="shared" si="11"/>
        <v>0</v>
      </c>
    </row>
    <row r="731" spans="1:14" x14ac:dyDescent="0.3">
      <c r="A731" s="388" t="s">
        <v>4023</v>
      </c>
      <c r="B731" s="394">
        <v>3</v>
      </c>
      <c r="C731" s="388">
        <v>2</v>
      </c>
      <c r="D731" s="388">
        <v>1.5</v>
      </c>
      <c r="E731" s="342"/>
      <c r="N731">
        <f t="shared" si="11"/>
        <v>3</v>
      </c>
    </row>
    <row r="732" spans="1:14" x14ac:dyDescent="0.3">
      <c r="A732" s="388" t="s">
        <v>4024</v>
      </c>
      <c r="B732" s="394">
        <v>0.5</v>
      </c>
      <c r="C732" s="388">
        <v>0.5</v>
      </c>
      <c r="D732" s="388">
        <v>0.5</v>
      </c>
      <c r="E732" s="342"/>
      <c r="N732">
        <f t="shared" si="11"/>
        <v>0.5</v>
      </c>
    </row>
    <row r="733" spans="1:14" x14ac:dyDescent="0.3">
      <c r="A733" s="388" t="s">
        <v>4025</v>
      </c>
      <c r="B733" s="394">
        <v>7.5</v>
      </c>
      <c r="C733" s="388">
        <v>4.5</v>
      </c>
      <c r="D733" s="388">
        <v>8.5</v>
      </c>
      <c r="E733" s="342"/>
      <c r="N733">
        <f t="shared" si="11"/>
        <v>8.5</v>
      </c>
    </row>
    <row r="734" spans="1:14" s="338" customFormat="1" x14ac:dyDescent="0.3">
      <c r="A734" s="392" t="s">
        <v>4026</v>
      </c>
      <c r="B734" s="395">
        <v>7.5</v>
      </c>
      <c r="C734" s="392">
        <v>8</v>
      </c>
      <c r="D734" s="392">
        <v>6.5</v>
      </c>
      <c r="E734" s="396"/>
      <c r="N734">
        <f t="shared" si="11"/>
        <v>8</v>
      </c>
    </row>
    <row r="735" spans="1:14" x14ac:dyDescent="0.3">
      <c r="A735" s="388" t="s">
        <v>4027</v>
      </c>
      <c r="B735" s="394">
        <v>1</v>
      </c>
      <c r="C735" s="388">
        <v>1.5</v>
      </c>
      <c r="D735" s="388">
        <v>1</v>
      </c>
      <c r="E735" s="342"/>
      <c r="N735">
        <f t="shared" si="11"/>
        <v>1.5</v>
      </c>
    </row>
    <row r="736" spans="1:14" x14ac:dyDescent="0.3">
      <c r="A736" s="388" t="s">
        <v>4028</v>
      </c>
      <c r="B736" s="394">
        <v>5.5</v>
      </c>
      <c r="C736" s="388">
        <v>7</v>
      </c>
      <c r="D736" s="388">
        <v>7.5</v>
      </c>
      <c r="E736" s="342"/>
      <c r="N736">
        <f t="shared" si="11"/>
        <v>7.5</v>
      </c>
    </row>
    <row r="737" spans="1:14" x14ac:dyDescent="0.3">
      <c r="A737" s="388" t="s">
        <v>4029</v>
      </c>
      <c r="B737" s="394">
        <v>4</v>
      </c>
      <c r="C737" s="388">
        <v>4.5</v>
      </c>
      <c r="D737" s="388">
        <v>2</v>
      </c>
      <c r="E737" s="342"/>
      <c r="N737">
        <f t="shared" si="11"/>
        <v>4.5</v>
      </c>
    </row>
    <row r="738" spans="1:14" x14ac:dyDescent="0.3">
      <c r="A738" s="388" t="s">
        <v>4030</v>
      </c>
      <c r="B738" s="394">
        <v>6</v>
      </c>
      <c r="C738" s="388">
        <v>9.5</v>
      </c>
      <c r="D738" s="388">
        <v>7</v>
      </c>
      <c r="E738" s="342"/>
      <c r="N738">
        <f t="shared" si="11"/>
        <v>9.5</v>
      </c>
    </row>
    <row r="739" spans="1:14" x14ac:dyDescent="0.3">
      <c r="A739" s="388" t="s">
        <v>4031</v>
      </c>
      <c r="B739" s="394">
        <v>7</v>
      </c>
      <c r="C739" s="388">
        <v>11</v>
      </c>
      <c r="D739" s="388">
        <v>8.5</v>
      </c>
      <c r="E739" s="342"/>
      <c r="N739">
        <f t="shared" si="11"/>
        <v>11</v>
      </c>
    </row>
    <row r="740" spans="1:14" x14ac:dyDescent="0.3">
      <c r="A740" s="388" t="s">
        <v>4032</v>
      </c>
      <c r="B740" s="394">
        <v>1.5</v>
      </c>
      <c r="C740" s="388">
        <v>3</v>
      </c>
      <c r="D740" s="388">
        <v>1.5</v>
      </c>
      <c r="E740" s="342"/>
      <c r="N740">
        <f t="shared" si="11"/>
        <v>3</v>
      </c>
    </row>
    <row r="741" spans="1:14" x14ac:dyDescent="0.3">
      <c r="A741" s="388" t="s">
        <v>4033</v>
      </c>
      <c r="B741" s="394">
        <v>0</v>
      </c>
      <c r="C741" s="388">
        <v>0</v>
      </c>
      <c r="D741" s="388">
        <v>0</v>
      </c>
      <c r="E741" s="342"/>
      <c r="N741">
        <f t="shared" si="11"/>
        <v>0</v>
      </c>
    </row>
    <row r="742" spans="1:14" x14ac:dyDescent="0.3">
      <c r="A742" s="388" t="s">
        <v>4034</v>
      </c>
      <c r="B742" s="394">
        <v>12</v>
      </c>
      <c r="C742" s="388">
        <v>20</v>
      </c>
      <c r="D742" s="388">
        <v>9.5</v>
      </c>
      <c r="E742" s="342"/>
      <c r="N742">
        <f t="shared" si="11"/>
        <v>20</v>
      </c>
    </row>
    <row r="743" spans="1:14" x14ac:dyDescent="0.3">
      <c r="A743" s="388" t="s">
        <v>4035</v>
      </c>
      <c r="B743" s="394">
        <v>0</v>
      </c>
      <c r="C743" s="388">
        <v>0</v>
      </c>
      <c r="D743" s="388">
        <v>0</v>
      </c>
      <c r="E743" s="342"/>
      <c r="N743">
        <f t="shared" si="11"/>
        <v>0</v>
      </c>
    </row>
    <row r="744" spans="1:14" x14ac:dyDescent="0.3">
      <c r="A744" s="388" t="s">
        <v>4036</v>
      </c>
      <c r="B744" s="394">
        <v>2</v>
      </c>
      <c r="C744" s="388">
        <v>8</v>
      </c>
      <c r="D744" s="388">
        <v>4.5</v>
      </c>
      <c r="E744" s="342"/>
      <c r="N744">
        <f t="shared" si="11"/>
        <v>8</v>
      </c>
    </row>
    <row r="745" spans="1:14" x14ac:dyDescent="0.3">
      <c r="A745" s="388" t="s">
        <v>4037</v>
      </c>
      <c r="B745" s="394">
        <v>0</v>
      </c>
      <c r="C745" s="388">
        <v>0</v>
      </c>
      <c r="D745" s="388">
        <v>0</v>
      </c>
      <c r="E745" s="342"/>
      <c r="N745">
        <f t="shared" si="11"/>
        <v>0</v>
      </c>
    </row>
    <row r="746" spans="1:14" x14ac:dyDescent="0.3">
      <c r="A746" s="388" t="s">
        <v>4038</v>
      </c>
      <c r="B746" s="394">
        <v>27</v>
      </c>
      <c r="C746" s="388">
        <v>27.5</v>
      </c>
      <c r="D746" s="388">
        <v>28</v>
      </c>
      <c r="E746" s="342"/>
      <c r="N746">
        <f t="shared" si="11"/>
        <v>28</v>
      </c>
    </row>
    <row r="747" spans="1:14" x14ac:dyDescent="0.3">
      <c r="A747" s="388" t="s">
        <v>4039</v>
      </c>
      <c r="B747" s="394">
        <v>0</v>
      </c>
      <c r="C747" s="388">
        <v>0</v>
      </c>
      <c r="D747" s="388">
        <v>0</v>
      </c>
      <c r="E747" s="342"/>
      <c r="N747">
        <f t="shared" si="11"/>
        <v>0</v>
      </c>
    </row>
    <row r="748" spans="1:14" x14ac:dyDescent="0.3">
      <c r="A748" s="388" t="s">
        <v>4040</v>
      </c>
      <c r="B748" s="394">
        <v>17.5</v>
      </c>
      <c r="C748" s="388">
        <v>18.5</v>
      </c>
      <c r="D748" s="388">
        <v>17</v>
      </c>
      <c r="E748" s="342"/>
      <c r="N748">
        <f t="shared" si="11"/>
        <v>18.5</v>
      </c>
    </row>
    <row r="749" spans="1:14" x14ac:dyDescent="0.3">
      <c r="A749" s="388" t="s">
        <v>4041</v>
      </c>
      <c r="B749" s="394">
        <v>0</v>
      </c>
      <c r="C749" s="388">
        <v>0</v>
      </c>
      <c r="D749" s="388">
        <v>0</v>
      </c>
      <c r="E749" s="342"/>
      <c r="N749">
        <f t="shared" si="11"/>
        <v>0</v>
      </c>
    </row>
    <row r="750" spans="1:14" x14ac:dyDescent="0.3">
      <c r="A750" s="388" t="s">
        <v>4042</v>
      </c>
      <c r="B750" s="394">
        <v>7</v>
      </c>
      <c r="C750" s="388">
        <v>11</v>
      </c>
      <c r="D750" s="388">
        <v>5</v>
      </c>
      <c r="E750" s="342"/>
      <c r="N750">
        <f t="shared" si="11"/>
        <v>11</v>
      </c>
    </row>
    <row r="751" spans="1:14" x14ac:dyDescent="0.3">
      <c r="A751" s="388" t="s">
        <v>4043</v>
      </c>
      <c r="B751" s="394">
        <v>0</v>
      </c>
      <c r="C751" s="388">
        <v>0</v>
      </c>
      <c r="D751" s="388">
        <v>0</v>
      </c>
      <c r="E751" s="342"/>
      <c r="N751">
        <f t="shared" si="11"/>
        <v>0</v>
      </c>
    </row>
    <row r="752" spans="1:14" x14ac:dyDescent="0.3">
      <c r="A752" s="388" t="s">
        <v>4044</v>
      </c>
      <c r="B752" s="394">
        <v>38</v>
      </c>
      <c r="C752" s="388">
        <v>36</v>
      </c>
      <c r="D752" s="388">
        <v>38.5</v>
      </c>
      <c r="E752" s="342"/>
      <c r="N752">
        <f t="shared" si="11"/>
        <v>38.5</v>
      </c>
    </row>
    <row r="753" spans="1:14" x14ac:dyDescent="0.3">
      <c r="A753" s="388" t="s">
        <v>4045</v>
      </c>
      <c r="B753" s="394">
        <v>19.5</v>
      </c>
      <c r="C753" s="388">
        <v>13.5</v>
      </c>
      <c r="D753" s="388">
        <v>20.5</v>
      </c>
      <c r="E753" s="342"/>
      <c r="N753">
        <f t="shared" si="11"/>
        <v>20.5</v>
      </c>
    </row>
    <row r="754" spans="1:14" x14ac:dyDescent="0.3">
      <c r="A754" s="388" t="s">
        <v>4046</v>
      </c>
      <c r="B754" s="394">
        <v>1.5</v>
      </c>
      <c r="C754" s="388">
        <v>1.5</v>
      </c>
      <c r="D754" s="388">
        <v>1.5</v>
      </c>
      <c r="E754" s="342"/>
      <c r="N754">
        <f t="shared" si="11"/>
        <v>1.5</v>
      </c>
    </row>
    <row r="755" spans="1:14" x14ac:dyDescent="0.3">
      <c r="A755" s="388" t="s">
        <v>4047</v>
      </c>
      <c r="B755" s="394">
        <v>7.5</v>
      </c>
      <c r="C755" s="388">
        <v>8.5</v>
      </c>
      <c r="D755" s="388">
        <v>8</v>
      </c>
      <c r="E755" s="342"/>
      <c r="N755">
        <f t="shared" si="11"/>
        <v>8.5</v>
      </c>
    </row>
    <row r="756" spans="1:14" x14ac:dyDescent="0.3">
      <c r="A756" s="388" t="s">
        <v>4048</v>
      </c>
      <c r="B756" s="394">
        <v>0</v>
      </c>
      <c r="C756" s="388">
        <v>0</v>
      </c>
      <c r="D756" s="388">
        <v>0</v>
      </c>
      <c r="E756" s="342"/>
      <c r="N756">
        <f t="shared" si="11"/>
        <v>0</v>
      </c>
    </row>
    <row r="757" spans="1:14" x14ac:dyDescent="0.3">
      <c r="A757" s="388" t="s">
        <v>4049</v>
      </c>
      <c r="B757" s="394">
        <v>7.5</v>
      </c>
      <c r="C757" s="388">
        <v>13</v>
      </c>
      <c r="D757" s="388">
        <v>8.5</v>
      </c>
      <c r="E757" s="342"/>
      <c r="N757">
        <f t="shared" si="11"/>
        <v>13</v>
      </c>
    </row>
    <row r="758" spans="1:14" x14ac:dyDescent="0.3">
      <c r="A758" s="388" t="s">
        <v>4050</v>
      </c>
      <c r="B758" s="394">
        <v>0</v>
      </c>
      <c r="C758" s="388">
        <v>0</v>
      </c>
      <c r="D758" s="388">
        <v>0</v>
      </c>
      <c r="E758" s="342"/>
      <c r="N758">
        <f t="shared" si="11"/>
        <v>0</v>
      </c>
    </row>
    <row r="759" spans="1:14" x14ac:dyDescent="0.3">
      <c r="A759" s="388" t="s">
        <v>4051</v>
      </c>
      <c r="B759" s="394">
        <v>5</v>
      </c>
      <c r="C759" s="388">
        <v>7</v>
      </c>
      <c r="D759" s="388">
        <v>6.5</v>
      </c>
      <c r="E759" s="342"/>
      <c r="N759">
        <f t="shared" si="11"/>
        <v>7</v>
      </c>
    </row>
    <row r="760" spans="1:14" x14ac:dyDescent="0.3">
      <c r="A760" s="388" t="s">
        <v>4052</v>
      </c>
      <c r="B760" s="394">
        <v>3</v>
      </c>
      <c r="C760" s="388">
        <v>4</v>
      </c>
      <c r="D760" s="388">
        <v>3</v>
      </c>
      <c r="E760" s="342"/>
      <c r="N760">
        <f t="shared" si="11"/>
        <v>4</v>
      </c>
    </row>
    <row r="761" spans="1:14" x14ac:dyDescent="0.3">
      <c r="A761" s="388" t="s">
        <v>4053</v>
      </c>
      <c r="B761" s="394">
        <v>8.5</v>
      </c>
      <c r="C761" s="388">
        <v>9.5</v>
      </c>
      <c r="D761" s="388">
        <v>8</v>
      </c>
      <c r="E761" s="342"/>
      <c r="N761">
        <f t="shared" si="11"/>
        <v>9.5</v>
      </c>
    </row>
    <row r="762" spans="1:14" x14ac:dyDescent="0.3">
      <c r="A762" s="388" t="s">
        <v>4054</v>
      </c>
      <c r="B762" s="394">
        <v>0</v>
      </c>
      <c r="C762" s="388">
        <v>0</v>
      </c>
      <c r="D762" s="388">
        <v>0</v>
      </c>
      <c r="E762" s="342"/>
      <c r="N762">
        <f t="shared" si="11"/>
        <v>0</v>
      </c>
    </row>
    <row r="763" spans="1:14" x14ac:dyDescent="0.3">
      <c r="A763" s="388" t="s">
        <v>4055</v>
      </c>
      <c r="B763" s="394">
        <v>3.5</v>
      </c>
      <c r="C763" s="388">
        <v>4</v>
      </c>
      <c r="D763" s="388">
        <v>3</v>
      </c>
      <c r="E763" s="342"/>
      <c r="N763">
        <f t="shared" si="11"/>
        <v>4</v>
      </c>
    </row>
    <row r="764" spans="1:14" x14ac:dyDescent="0.3">
      <c r="A764" s="388" t="s">
        <v>4056</v>
      </c>
      <c r="B764" s="394">
        <v>1</v>
      </c>
      <c r="C764" s="388">
        <v>0.5</v>
      </c>
      <c r="D764" s="388">
        <v>1</v>
      </c>
      <c r="E764" s="342"/>
      <c r="N764">
        <f t="shared" si="11"/>
        <v>1</v>
      </c>
    </row>
    <row r="765" spans="1:14" s="338" customFormat="1" x14ac:dyDescent="0.3">
      <c r="A765" s="392" t="s">
        <v>4057</v>
      </c>
      <c r="B765" s="395">
        <v>22.5</v>
      </c>
      <c r="C765" s="392">
        <v>18</v>
      </c>
      <c r="D765" s="392">
        <v>22.5</v>
      </c>
      <c r="E765" s="396"/>
      <c r="N765">
        <f t="shared" si="11"/>
        <v>22.5</v>
      </c>
    </row>
    <row r="766" spans="1:14" x14ac:dyDescent="0.3">
      <c r="A766" s="388" t="s">
        <v>4058</v>
      </c>
      <c r="B766" s="394">
        <v>4.5</v>
      </c>
      <c r="C766" s="388">
        <v>5.5</v>
      </c>
      <c r="D766" s="388">
        <v>4</v>
      </c>
      <c r="E766" s="342"/>
      <c r="N766">
        <f t="shared" si="11"/>
        <v>5.5</v>
      </c>
    </row>
    <row r="767" spans="1:14" x14ac:dyDescent="0.3">
      <c r="A767" s="388" t="s">
        <v>4059</v>
      </c>
      <c r="B767" s="394">
        <v>15</v>
      </c>
      <c r="C767" s="388">
        <v>16.5</v>
      </c>
      <c r="D767" s="388">
        <v>15.5</v>
      </c>
      <c r="E767" s="342"/>
      <c r="N767">
        <f t="shared" si="11"/>
        <v>16.5</v>
      </c>
    </row>
    <row r="768" spans="1:14" x14ac:dyDescent="0.3">
      <c r="A768" s="388" t="s">
        <v>4060</v>
      </c>
      <c r="B768" s="394">
        <v>5</v>
      </c>
      <c r="C768" s="388">
        <v>5.5</v>
      </c>
      <c r="D768" s="388">
        <v>4.5</v>
      </c>
      <c r="E768" s="342"/>
      <c r="N768">
        <f t="shared" si="11"/>
        <v>5.5</v>
      </c>
    </row>
    <row r="769" spans="1:14" x14ac:dyDescent="0.3">
      <c r="A769" s="388" t="s">
        <v>4061</v>
      </c>
      <c r="B769" s="394">
        <v>0.5</v>
      </c>
      <c r="C769" s="388">
        <v>0.5</v>
      </c>
      <c r="D769" s="388">
        <v>1</v>
      </c>
      <c r="E769" s="342"/>
      <c r="N769">
        <f t="shared" si="11"/>
        <v>1</v>
      </c>
    </row>
    <row r="770" spans="1:14" x14ac:dyDescent="0.3">
      <c r="A770" s="388" t="s">
        <v>4062</v>
      </c>
      <c r="B770" s="394">
        <v>4.5</v>
      </c>
      <c r="C770" s="388">
        <v>5</v>
      </c>
      <c r="D770" s="388">
        <v>5.5</v>
      </c>
      <c r="E770" s="342"/>
      <c r="N770">
        <f t="shared" si="11"/>
        <v>5.5</v>
      </c>
    </row>
    <row r="771" spans="1:14" x14ac:dyDescent="0.3">
      <c r="A771" s="388" t="s">
        <v>4063</v>
      </c>
      <c r="B771" s="394">
        <v>0.5</v>
      </c>
      <c r="C771" s="388">
        <v>0.5</v>
      </c>
      <c r="D771" s="388">
        <v>1</v>
      </c>
      <c r="E771" s="342"/>
      <c r="N771">
        <f t="shared" si="11"/>
        <v>1</v>
      </c>
    </row>
    <row r="772" spans="1:14" x14ac:dyDescent="0.3">
      <c r="A772" s="388" t="s">
        <v>4064</v>
      </c>
      <c r="B772" s="394">
        <v>0</v>
      </c>
      <c r="C772" s="388">
        <v>0</v>
      </c>
      <c r="D772" s="388">
        <v>0</v>
      </c>
      <c r="E772" s="342"/>
      <c r="N772">
        <f t="shared" si="11"/>
        <v>0</v>
      </c>
    </row>
    <row r="773" spans="1:14" x14ac:dyDescent="0.3">
      <c r="A773" s="388" t="s">
        <v>4065</v>
      </c>
      <c r="B773" s="394">
        <v>0</v>
      </c>
      <c r="C773" s="388">
        <v>0</v>
      </c>
      <c r="D773" s="388">
        <v>0</v>
      </c>
      <c r="E773" s="342"/>
      <c r="N773">
        <f t="shared" ref="N773:N836" si="12">MAX(B773:D773)</f>
        <v>0</v>
      </c>
    </row>
    <row r="774" spans="1:14" x14ac:dyDescent="0.3">
      <c r="A774" s="388" t="s">
        <v>4066</v>
      </c>
      <c r="B774" s="394">
        <v>0</v>
      </c>
      <c r="C774" s="388">
        <v>0.5</v>
      </c>
      <c r="D774" s="388">
        <v>0.5</v>
      </c>
      <c r="E774" s="342"/>
      <c r="N774">
        <f t="shared" si="12"/>
        <v>0.5</v>
      </c>
    </row>
    <row r="775" spans="1:14" x14ac:dyDescent="0.3">
      <c r="A775" s="388" t="s">
        <v>4067</v>
      </c>
      <c r="B775" s="394">
        <v>0</v>
      </c>
      <c r="C775" s="388">
        <v>0</v>
      </c>
      <c r="D775" s="388">
        <v>0</v>
      </c>
      <c r="E775" s="342"/>
      <c r="N775">
        <f t="shared" si="12"/>
        <v>0</v>
      </c>
    </row>
    <row r="776" spans="1:14" x14ac:dyDescent="0.3">
      <c r="A776" s="388" t="s">
        <v>4068</v>
      </c>
      <c r="B776" s="394">
        <v>0</v>
      </c>
      <c r="C776" s="388">
        <v>0</v>
      </c>
      <c r="D776" s="388">
        <v>0</v>
      </c>
      <c r="E776" s="342"/>
      <c r="N776">
        <f t="shared" si="12"/>
        <v>0</v>
      </c>
    </row>
    <row r="777" spans="1:14" x14ac:dyDescent="0.3">
      <c r="A777" s="388" t="s">
        <v>4069</v>
      </c>
      <c r="B777" s="394">
        <v>0.5</v>
      </c>
      <c r="C777" s="388">
        <v>0</v>
      </c>
      <c r="D777" s="388">
        <v>0</v>
      </c>
      <c r="E777" s="342"/>
      <c r="N777">
        <f t="shared" si="12"/>
        <v>0.5</v>
      </c>
    </row>
    <row r="778" spans="1:14" x14ac:dyDescent="0.3">
      <c r="A778" s="388" t="s">
        <v>4070</v>
      </c>
      <c r="B778" s="394">
        <v>0.5</v>
      </c>
      <c r="C778" s="388">
        <v>0.5</v>
      </c>
      <c r="D778" s="388">
        <v>0</v>
      </c>
      <c r="E778" s="342"/>
      <c r="N778">
        <f t="shared" si="12"/>
        <v>0.5</v>
      </c>
    </row>
    <row r="779" spans="1:14" x14ac:dyDescent="0.3">
      <c r="A779" s="388" t="s">
        <v>4071</v>
      </c>
      <c r="B779" s="394">
        <v>1.5</v>
      </c>
      <c r="C779" s="388">
        <v>2</v>
      </c>
      <c r="D779" s="388">
        <v>1</v>
      </c>
      <c r="E779" s="342"/>
      <c r="N779">
        <f t="shared" si="12"/>
        <v>2</v>
      </c>
    </row>
    <row r="780" spans="1:14" x14ac:dyDescent="0.3">
      <c r="A780" s="388" t="s">
        <v>4072</v>
      </c>
      <c r="B780" s="394">
        <v>0</v>
      </c>
      <c r="C780" s="388">
        <v>0</v>
      </c>
      <c r="D780" s="388">
        <v>0</v>
      </c>
      <c r="E780" s="342"/>
      <c r="N780">
        <f t="shared" si="12"/>
        <v>0</v>
      </c>
    </row>
    <row r="781" spans="1:14" x14ac:dyDescent="0.3">
      <c r="A781" s="388" t="s">
        <v>4073</v>
      </c>
      <c r="B781" s="394">
        <v>55.5</v>
      </c>
      <c r="C781" s="388">
        <v>50</v>
      </c>
      <c r="D781" s="388">
        <v>60</v>
      </c>
      <c r="E781" s="342"/>
      <c r="N781">
        <f t="shared" si="12"/>
        <v>60</v>
      </c>
    </row>
    <row r="782" spans="1:14" x14ac:dyDescent="0.3">
      <c r="A782" s="388" t="s">
        <v>4074</v>
      </c>
      <c r="B782" s="394">
        <v>1.5</v>
      </c>
      <c r="C782" s="388">
        <v>2.5</v>
      </c>
      <c r="D782" s="388">
        <v>1</v>
      </c>
      <c r="E782" s="342"/>
      <c r="N782">
        <f t="shared" si="12"/>
        <v>2.5</v>
      </c>
    </row>
    <row r="783" spans="1:14" x14ac:dyDescent="0.3">
      <c r="A783" s="388" t="s">
        <v>4075</v>
      </c>
      <c r="B783" s="394">
        <v>1.5</v>
      </c>
      <c r="C783" s="388">
        <v>3</v>
      </c>
      <c r="D783" s="388">
        <v>1.5</v>
      </c>
      <c r="E783" s="342"/>
      <c r="N783">
        <f t="shared" si="12"/>
        <v>3</v>
      </c>
    </row>
    <row r="784" spans="1:14" x14ac:dyDescent="0.3">
      <c r="A784" s="388" t="s">
        <v>4076</v>
      </c>
      <c r="B784" s="394">
        <v>2.5</v>
      </c>
      <c r="C784" s="388">
        <v>2</v>
      </c>
      <c r="D784" s="388">
        <v>2.5</v>
      </c>
      <c r="E784" s="342"/>
      <c r="N784">
        <f t="shared" si="12"/>
        <v>2.5</v>
      </c>
    </row>
    <row r="785" spans="1:14" x14ac:dyDescent="0.3">
      <c r="A785" s="388" t="s">
        <v>4077</v>
      </c>
      <c r="B785" s="394">
        <v>11</v>
      </c>
      <c r="C785" s="388">
        <v>12</v>
      </c>
      <c r="D785" s="388">
        <v>12.5</v>
      </c>
      <c r="E785" s="342"/>
      <c r="N785">
        <f t="shared" si="12"/>
        <v>12.5</v>
      </c>
    </row>
    <row r="786" spans="1:14" x14ac:dyDescent="0.3">
      <c r="A786" s="388" t="s">
        <v>4078</v>
      </c>
      <c r="B786" s="394">
        <v>1</v>
      </c>
      <c r="C786" s="388">
        <v>1</v>
      </c>
      <c r="D786" s="388">
        <v>1</v>
      </c>
      <c r="E786" s="342"/>
      <c r="N786">
        <f t="shared" si="12"/>
        <v>1</v>
      </c>
    </row>
    <row r="787" spans="1:14" x14ac:dyDescent="0.3">
      <c r="A787" s="388" t="s">
        <v>4079</v>
      </c>
      <c r="B787" s="394">
        <v>16</v>
      </c>
      <c r="C787" s="388">
        <v>16.5</v>
      </c>
      <c r="D787" s="388">
        <v>18.5</v>
      </c>
      <c r="E787" s="342"/>
      <c r="N787">
        <f t="shared" si="12"/>
        <v>18.5</v>
      </c>
    </row>
    <row r="788" spans="1:14" x14ac:dyDescent="0.3">
      <c r="A788" s="388" t="s">
        <v>4080</v>
      </c>
      <c r="B788" s="394">
        <v>5.5</v>
      </c>
      <c r="C788" s="388">
        <v>6</v>
      </c>
      <c r="D788" s="388">
        <v>6.5</v>
      </c>
      <c r="E788" s="342"/>
      <c r="N788">
        <f t="shared" si="12"/>
        <v>6.5</v>
      </c>
    </row>
    <row r="789" spans="1:14" x14ac:dyDescent="0.3">
      <c r="A789" s="388" t="s">
        <v>4081</v>
      </c>
      <c r="B789" s="394">
        <v>5</v>
      </c>
      <c r="C789" s="388">
        <v>6</v>
      </c>
      <c r="D789" s="388">
        <v>5.5</v>
      </c>
      <c r="E789" s="342"/>
      <c r="N789">
        <f t="shared" si="12"/>
        <v>6</v>
      </c>
    </row>
    <row r="790" spans="1:14" x14ac:dyDescent="0.3">
      <c r="A790" s="388" t="s">
        <v>4082</v>
      </c>
      <c r="B790" s="394">
        <v>25</v>
      </c>
      <c r="C790" s="388">
        <v>22</v>
      </c>
      <c r="D790" s="388">
        <v>24</v>
      </c>
      <c r="E790" s="342"/>
      <c r="N790">
        <f t="shared" si="12"/>
        <v>25</v>
      </c>
    </row>
    <row r="791" spans="1:14" x14ac:dyDescent="0.3">
      <c r="A791" s="388" t="s">
        <v>4083</v>
      </c>
      <c r="B791" s="394">
        <v>26</v>
      </c>
      <c r="C791" s="388">
        <v>38.5</v>
      </c>
      <c r="D791" s="388">
        <v>43.5</v>
      </c>
      <c r="E791" s="342"/>
      <c r="N791">
        <f t="shared" si="12"/>
        <v>43.5</v>
      </c>
    </row>
    <row r="792" spans="1:14" x14ac:dyDescent="0.3">
      <c r="A792" s="388" t="s">
        <v>4084</v>
      </c>
      <c r="B792" s="394">
        <v>9.5</v>
      </c>
      <c r="C792" s="388">
        <v>12</v>
      </c>
      <c r="D792" s="388">
        <v>11.5</v>
      </c>
      <c r="E792" s="342"/>
      <c r="N792">
        <f t="shared" si="12"/>
        <v>12</v>
      </c>
    </row>
    <row r="793" spans="1:14" s="338" customFormat="1" x14ac:dyDescent="0.3">
      <c r="A793" s="392" t="s">
        <v>4085</v>
      </c>
      <c r="B793" s="395">
        <v>54</v>
      </c>
      <c r="C793" s="392">
        <v>60.5</v>
      </c>
      <c r="D793" s="392">
        <v>55.5</v>
      </c>
      <c r="E793" s="396"/>
      <c r="N793">
        <f t="shared" si="12"/>
        <v>60.5</v>
      </c>
    </row>
    <row r="794" spans="1:14" x14ac:dyDescent="0.3">
      <c r="A794" s="388" t="s">
        <v>4086</v>
      </c>
      <c r="B794" s="394">
        <v>1</v>
      </c>
      <c r="C794" s="388">
        <v>0.5</v>
      </c>
      <c r="D794" s="388">
        <v>1</v>
      </c>
      <c r="E794" s="342"/>
      <c r="N794">
        <f t="shared" si="12"/>
        <v>1</v>
      </c>
    </row>
    <row r="795" spans="1:14" x14ac:dyDescent="0.3">
      <c r="A795" s="388" t="s">
        <v>4087</v>
      </c>
      <c r="B795" s="394">
        <v>8.5</v>
      </c>
      <c r="C795" s="388">
        <v>9</v>
      </c>
      <c r="D795" s="388">
        <v>8</v>
      </c>
      <c r="E795" s="342"/>
      <c r="N795">
        <f t="shared" si="12"/>
        <v>9</v>
      </c>
    </row>
    <row r="796" spans="1:14" x14ac:dyDescent="0.3">
      <c r="A796" s="388" t="s">
        <v>4088</v>
      </c>
      <c r="B796" s="394">
        <v>0</v>
      </c>
      <c r="C796" s="388">
        <v>0</v>
      </c>
      <c r="D796" s="388">
        <v>0</v>
      </c>
      <c r="E796" s="342"/>
      <c r="N796">
        <f t="shared" si="12"/>
        <v>0</v>
      </c>
    </row>
    <row r="797" spans="1:14" x14ac:dyDescent="0.3">
      <c r="A797" s="388" t="s">
        <v>4089</v>
      </c>
      <c r="B797" s="394">
        <v>12.5</v>
      </c>
      <c r="C797" s="388">
        <v>11</v>
      </c>
      <c r="D797" s="388">
        <v>12</v>
      </c>
      <c r="E797" s="342"/>
      <c r="N797">
        <f t="shared" si="12"/>
        <v>12.5</v>
      </c>
    </row>
    <row r="798" spans="1:14" x14ac:dyDescent="0.3">
      <c r="A798" s="388" t="s">
        <v>4090</v>
      </c>
      <c r="B798" s="394">
        <v>11</v>
      </c>
      <c r="C798" s="388">
        <v>14</v>
      </c>
      <c r="D798" s="388">
        <v>10.5</v>
      </c>
      <c r="E798" s="342"/>
      <c r="N798">
        <f t="shared" si="12"/>
        <v>14</v>
      </c>
    </row>
    <row r="799" spans="1:14" x14ac:dyDescent="0.3">
      <c r="A799" s="388" t="s">
        <v>4091</v>
      </c>
      <c r="B799" s="394">
        <v>1</v>
      </c>
      <c r="C799" s="388">
        <v>1.5</v>
      </c>
      <c r="D799" s="388">
        <v>2</v>
      </c>
      <c r="E799" s="342"/>
      <c r="N799">
        <f t="shared" si="12"/>
        <v>2</v>
      </c>
    </row>
    <row r="800" spans="1:14" x14ac:dyDescent="0.3">
      <c r="A800" s="388" t="s">
        <v>4092</v>
      </c>
      <c r="B800" s="394">
        <v>2.5</v>
      </c>
      <c r="C800" s="388">
        <v>2.5</v>
      </c>
      <c r="D800" s="388">
        <v>2</v>
      </c>
      <c r="E800" s="342"/>
      <c r="N800">
        <f t="shared" si="12"/>
        <v>2.5</v>
      </c>
    </row>
    <row r="801" spans="1:14" x14ac:dyDescent="0.3">
      <c r="A801" s="388" t="s">
        <v>4093</v>
      </c>
      <c r="B801" s="394">
        <v>35</v>
      </c>
      <c r="C801" s="388">
        <v>37.5</v>
      </c>
      <c r="D801" s="388">
        <v>35.5</v>
      </c>
      <c r="E801" s="342"/>
      <c r="N801">
        <f t="shared" si="12"/>
        <v>37.5</v>
      </c>
    </row>
    <row r="802" spans="1:14" x14ac:dyDescent="0.3">
      <c r="A802" s="388" t="s">
        <v>4094</v>
      </c>
      <c r="B802" s="394">
        <v>4.5</v>
      </c>
      <c r="C802" s="388">
        <v>4</v>
      </c>
      <c r="D802" s="388">
        <v>5</v>
      </c>
      <c r="E802" s="342"/>
      <c r="N802">
        <f t="shared" si="12"/>
        <v>5</v>
      </c>
    </row>
    <row r="803" spans="1:14" x14ac:dyDescent="0.3">
      <c r="A803" s="388" t="s">
        <v>4095</v>
      </c>
      <c r="B803" s="394">
        <v>0</v>
      </c>
      <c r="C803" s="388">
        <v>0</v>
      </c>
      <c r="D803" s="388">
        <v>0</v>
      </c>
      <c r="E803" s="342"/>
      <c r="N803">
        <f t="shared" si="12"/>
        <v>0</v>
      </c>
    </row>
    <row r="804" spans="1:14" x14ac:dyDescent="0.3">
      <c r="A804" s="388" t="s">
        <v>4096</v>
      </c>
      <c r="B804" s="394">
        <v>1.5</v>
      </c>
      <c r="C804" s="388">
        <v>1</v>
      </c>
      <c r="D804" s="388">
        <v>1</v>
      </c>
      <c r="E804" s="342"/>
      <c r="N804">
        <f t="shared" si="12"/>
        <v>1.5</v>
      </c>
    </row>
    <row r="805" spans="1:14" x14ac:dyDescent="0.3">
      <c r="A805" s="388" t="s">
        <v>4097</v>
      </c>
      <c r="B805" s="394">
        <v>28</v>
      </c>
      <c r="C805" s="388">
        <v>27</v>
      </c>
      <c r="D805" s="388">
        <v>29.5</v>
      </c>
      <c r="E805" s="342"/>
      <c r="N805">
        <f t="shared" si="12"/>
        <v>29.5</v>
      </c>
    </row>
    <row r="806" spans="1:14" x14ac:dyDescent="0.3">
      <c r="A806" s="388" t="s">
        <v>4098</v>
      </c>
      <c r="B806" s="394">
        <v>32</v>
      </c>
      <c r="C806" s="388">
        <v>47</v>
      </c>
      <c r="D806" s="388">
        <v>39.5</v>
      </c>
      <c r="E806" s="342"/>
      <c r="N806">
        <f t="shared" si="12"/>
        <v>47</v>
      </c>
    </row>
    <row r="807" spans="1:14" x14ac:dyDescent="0.3">
      <c r="A807" s="388" t="s">
        <v>4099</v>
      </c>
      <c r="B807" s="394">
        <v>0</v>
      </c>
      <c r="C807" s="388">
        <v>0</v>
      </c>
      <c r="D807" s="388">
        <v>0</v>
      </c>
      <c r="E807" s="342"/>
      <c r="N807">
        <f t="shared" si="12"/>
        <v>0</v>
      </c>
    </row>
    <row r="808" spans="1:14" x14ac:dyDescent="0.3">
      <c r="A808" s="388" t="s">
        <v>4100</v>
      </c>
      <c r="B808" s="394">
        <v>0</v>
      </c>
      <c r="C808" s="388">
        <v>0</v>
      </c>
      <c r="D808" s="388">
        <v>0</v>
      </c>
      <c r="E808" s="342"/>
      <c r="N808">
        <f t="shared" si="12"/>
        <v>0</v>
      </c>
    </row>
    <row r="809" spans="1:14" x14ac:dyDescent="0.3">
      <c r="A809" s="388" t="s">
        <v>4101</v>
      </c>
      <c r="B809" s="394">
        <v>0</v>
      </c>
      <c r="C809" s="388">
        <v>0</v>
      </c>
      <c r="D809" s="388">
        <v>0</v>
      </c>
      <c r="E809" s="342"/>
      <c r="N809">
        <f t="shared" si="12"/>
        <v>0</v>
      </c>
    </row>
    <row r="810" spans="1:14" x14ac:dyDescent="0.3">
      <c r="A810" s="388" t="s">
        <v>4102</v>
      </c>
      <c r="B810" s="394">
        <v>0</v>
      </c>
      <c r="C810" s="388">
        <v>0</v>
      </c>
      <c r="D810" s="388">
        <v>0</v>
      </c>
      <c r="E810" s="342"/>
      <c r="N810">
        <f t="shared" si="12"/>
        <v>0</v>
      </c>
    </row>
    <row r="811" spans="1:14" x14ac:dyDescent="0.3">
      <c r="A811" s="388" t="s">
        <v>4103</v>
      </c>
      <c r="B811" s="394">
        <v>0</v>
      </c>
      <c r="C811" s="388">
        <v>0</v>
      </c>
      <c r="D811" s="388">
        <v>0</v>
      </c>
      <c r="E811" s="342"/>
      <c r="N811">
        <f t="shared" si="12"/>
        <v>0</v>
      </c>
    </row>
    <row r="812" spans="1:14" x14ac:dyDescent="0.3">
      <c r="A812" s="388" t="s">
        <v>4104</v>
      </c>
      <c r="B812" s="394">
        <v>37</v>
      </c>
      <c r="C812" s="388">
        <v>41</v>
      </c>
      <c r="D812" s="388">
        <v>36.5</v>
      </c>
      <c r="E812" s="342"/>
      <c r="N812">
        <f t="shared" si="12"/>
        <v>41</v>
      </c>
    </row>
    <row r="813" spans="1:14" x14ac:dyDescent="0.3">
      <c r="A813" s="388" t="s">
        <v>4105</v>
      </c>
      <c r="B813" s="394">
        <v>47</v>
      </c>
      <c r="C813" s="388">
        <v>55.5</v>
      </c>
      <c r="D813" s="388">
        <v>35.5</v>
      </c>
      <c r="E813" s="342"/>
      <c r="N813">
        <f t="shared" si="12"/>
        <v>55.5</v>
      </c>
    </row>
    <row r="814" spans="1:14" x14ac:dyDescent="0.3">
      <c r="A814" s="388" t="s">
        <v>4106</v>
      </c>
      <c r="B814" s="394">
        <v>6</v>
      </c>
      <c r="C814" s="388">
        <v>8.5</v>
      </c>
      <c r="D814" s="388">
        <v>6.5</v>
      </c>
      <c r="E814" s="342"/>
      <c r="N814">
        <f t="shared" si="12"/>
        <v>8.5</v>
      </c>
    </row>
    <row r="815" spans="1:14" x14ac:dyDescent="0.3">
      <c r="A815" s="388" t="s">
        <v>4107</v>
      </c>
      <c r="B815" s="394">
        <v>2.5</v>
      </c>
      <c r="C815" s="388">
        <v>2.5</v>
      </c>
      <c r="D815" s="388">
        <v>4.5</v>
      </c>
      <c r="E815" s="342"/>
      <c r="N815">
        <f t="shared" si="12"/>
        <v>4.5</v>
      </c>
    </row>
    <row r="816" spans="1:14" x14ac:dyDescent="0.3">
      <c r="A816" s="388" t="s">
        <v>4108</v>
      </c>
      <c r="B816" s="394">
        <v>6.5</v>
      </c>
      <c r="C816" s="388">
        <v>6</v>
      </c>
      <c r="D816" s="388">
        <v>7.5</v>
      </c>
      <c r="E816" s="342"/>
      <c r="N816">
        <f t="shared" si="12"/>
        <v>7.5</v>
      </c>
    </row>
    <row r="817" spans="1:14" x14ac:dyDescent="0.3">
      <c r="A817" s="388" t="s">
        <v>4109</v>
      </c>
      <c r="B817" s="394">
        <v>6</v>
      </c>
      <c r="C817" s="388">
        <v>11.5</v>
      </c>
      <c r="D817" s="388">
        <v>6.5</v>
      </c>
      <c r="E817" s="342"/>
      <c r="N817">
        <f t="shared" si="12"/>
        <v>11.5</v>
      </c>
    </row>
    <row r="818" spans="1:14" x14ac:dyDescent="0.3">
      <c r="A818" s="388" t="s">
        <v>4110</v>
      </c>
      <c r="B818" s="394">
        <v>26.5</v>
      </c>
      <c r="C818" s="388">
        <v>32.5</v>
      </c>
      <c r="D818" s="388">
        <v>43</v>
      </c>
      <c r="E818" s="342"/>
      <c r="N818">
        <f t="shared" si="12"/>
        <v>43</v>
      </c>
    </row>
    <row r="819" spans="1:14" x14ac:dyDescent="0.3">
      <c r="A819" s="388" t="s">
        <v>4111</v>
      </c>
      <c r="B819" s="394">
        <v>2</v>
      </c>
      <c r="C819" s="388">
        <v>2.5</v>
      </c>
      <c r="D819" s="388">
        <v>3.5</v>
      </c>
      <c r="E819" s="342"/>
      <c r="N819">
        <f t="shared" si="12"/>
        <v>3.5</v>
      </c>
    </row>
    <row r="820" spans="1:14" x14ac:dyDescent="0.3">
      <c r="A820" s="388" t="s">
        <v>4112</v>
      </c>
      <c r="B820" s="394">
        <v>10.5</v>
      </c>
      <c r="C820" s="388">
        <v>11</v>
      </c>
      <c r="D820" s="388">
        <v>13</v>
      </c>
      <c r="E820" s="342"/>
      <c r="N820">
        <f t="shared" si="12"/>
        <v>13</v>
      </c>
    </row>
    <row r="821" spans="1:14" x14ac:dyDescent="0.3">
      <c r="A821" s="388" t="s">
        <v>4113</v>
      </c>
      <c r="B821" s="394">
        <v>4.5</v>
      </c>
      <c r="C821" s="388">
        <v>5</v>
      </c>
      <c r="D821" s="388">
        <v>6</v>
      </c>
      <c r="E821" s="342"/>
      <c r="N821">
        <f t="shared" si="12"/>
        <v>6</v>
      </c>
    </row>
    <row r="822" spans="1:14" x14ac:dyDescent="0.3">
      <c r="A822" s="388" t="s">
        <v>4114</v>
      </c>
      <c r="B822" s="394">
        <v>23</v>
      </c>
      <c r="C822" s="388">
        <v>25.5</v>
      </c>
      <c r="D822" s="388">
        <v>33.5</v>
      </c>
      <c r="E822" s="342"/>
      <c r="N822">
        <f t="shared" si="12"/>
        <v>33.5</v>
      </c>
    </row>
    <row r="823" spans="1:14" x14ac:dyDescent="0.3">
      <c r="A823" s="388" t="s">
        <v>4115</v>
      </c>
      <c r="B823" s="394">
        <v>14</v>
      </c>
      <c r="C823" s="388">
        <v>9</v>
      </c>
      <c r="D823" s="388">
        <v>14.5</v>
      </c>
      <c r="E823" s="342"/>
      <c r="N823">
        <f t="shared" si="12"/>
        <v>14.5</v>
      </c>
    </row>
    <row r="824" spans="1:14" s="338" customFormat="1" x14ac:dyDescent="0.3">
      <c r="A824" s="392" t="s">
        <v>4116</v>
      </c>
      <c r="B824" s="395">
        <v>2.5</v>
      </c>
      <c r="C824" s="392">
        <v>3.5</v>
      </c>
      <c r="D824" s="392">
        <v>3.5</v>
      </c>
      <c r="E824" s="396"/>
      <c r="N824">
        <f t="shared" si="12"/>
        <v>3.5</v>
      </c>
    </row>
    <row r="825" spans="1:14" x14ac:dyDescent="0.3">
      <c r="A825" s="388" t="s">
        <v>4117</v>
      </c>
      <c r="B825" s="394">
        <v>1</v>
      </c>
      <c r="C825" s="388">
        <v>2</v>
      </c>
      <c r="D825" s="388">
        <v>1.5</v>
      </c>
      <c r="E825" s="342"/>
      <c r="N825">
        <f t="shared" si="12"/>
        <v>2</v>
      </c>
    </row>
    <row r="826" spans="1:14" x14ac:dyDescent="0.3">
      <c r="A826" s="388" t="s">
        <v>4118</v>
      </c>
      <c r="B826" s="394">
        <v>0</v>
      </c>
      <c r="C826" s="388">
        <v>0</v>
      </c>
      <c r="D826" s="388">
        <v>0</v>
      </c>
      <c r="E826" s="342"/>
      <c r="N826">
        <f t="shared" si="12"/>
        <v>0</v>
      </c>
    </row>
    <row r="827" spans="1:14" x14ac:dyDescent="0.3">
      <c r="A827" s="388" t="s">
        <v>4119</v>
      </c>
      <c r="B827" s="394">
        <v>0</v>
      </c>
      <c r="C827" s="388">
        <v>0</v>
      </c>
      <c r="D827" s="388">
        <v>0</v>
      </c>
      <c r="E827" s="342"/>
      <c r="N827">
        <f t="shared" si="12"/>
        <v>0</v>
      </c>
    </row>
    <row r="828" spans="1:14" x14ac:dyDescent="0.3">
      <c r="A828" s="388" t="s">
        <v>4120</v>
      </c>
      <c r="B828" s="394">
        <v>5</v>
      </c>
      <c r="C828" s="388">
        <v>21.5</v>
      </c>
      <c r="D828" s="388">
        <v>2</v>
      </c>
      <c r="E828" s="342"/>
      <c r="N828">
        <f t="shared" si="12"/>
        <v>21.5</v>
      </c>
    </row>
    <row r="829" spans="1:14" x14ac:dyDescent="0.3">
      <c r="A829" s="388" t="s">
        <v>4121</v>
      </c>
      <c r="B829" s="394">
        <v>13</v>
      </c>
      <c r="C829" s="388">
        <v>14</v>
      </c>
      <c r="D829" s="388">
        <v>11</v>
      </c>
      <c r="E829" s="342"/>
      <c r="N829">
        <f t="shared" si="12"/>
        <v>14</v>
      </c>
    </row>
    <row r="830" spans="1:14" x14ac:dyDescent="0.3">
      <c r="A830" s="388" t="s">
        <v>4122</v>
      </c>
      <c r="B830" s="394">
        <v>48.5</v>
      </c>
      <c r="C830" s="388">
        <v>43.5</v>
      </c>
      <c r="D830" s="388">
        <v>46.5</v>
      </c>
      <c r="E830" s="342"/>
      <c r="N830">
        <f t="shared" si="12"/>
        <v>48.5</v>
      </c>
    </row>
    <row r="831" spans="1:14" x14ac:dyDescent="0.3">
      <c r="A831" s="388" t="s">
        <v>4123</v>
      </c>
      <c r="B831" s="394">
        <v>0.5</v>
      </c>
      <c r="C831" s="388">
        <v>1</v>
      </c>
      <c r="D831" s="388">
        <v>0.5</v>
      </c>
      <c r="E831" s="342"/>
      <c r="N831">
        <f t="shared" si="12"/>
        <v>1</v>
      </c>
    </row>
    <row r="832" spans="1:14" x14ac:dyDescent="0.3">
      <c r="A832" s="388" t="s">
        <v>4124</v>
      </c>
      <c r="B832" s="394">
        <v>1</v>
      </c>
      <c r="C832" s="388">
        <v>2</v>
      </c>
      <c r="D832" s="388">
        <v>2.5</v>
      </c>
      <c r="E832" s="342"/>
      <c r="N832">
        <f t="shared" si="12"/>
        <v>2.5</v>
      </c>
    </row>
    <row r="833" spans="1:14" x14ac:dyDescent="0.3">
      <c r="A833" s="388" t="s">
        <v>4125</v>
      </c>
      <c r="B833" s="394">
        <v>26.5</v>
      </c>
      <c r="C833" s="388">
        <v>12.5</v>
      </c>
      <c r="D833" s="388">
        <v>25</v>
      </c>
      <c r="E833" s="342"/>
      <c r="N833">
        <f t="shared" si="12"/>
        <v>26.5</v>
      </c>
    </row>
    <row r="834" spans="1:14" x14ac:dyDescent="0.3">
      <c r="A834" s="388" t="s">
        <v>4126</v>
      </c>
      <c r="B834" s="394">
        <v>0.5</v>
      </c>
      <c r="C834" s="388">
        <v>1.5</v>
      </c>
      <c r="D834" s="388">
        <v>1</v>
      </c>
      <c r="E834" s="342"/>
      <c r="N834">
        <f t="shared" si="12"/>
        <v>1.5</v>
      </c>
    </row>
    <row r="835" spans="1:14" x14ac:dyDescent="0.3">
      <c r="A835" s="388" t="s">
        <v>4127</v>
      </c>
      <c r="B835" s="394">
        <v>0</v>
      </c>
      <c r="C835" s="388">
        <v>0</v>
      </c>
      <c r="D835" s="388">
        <v>0</v>
      </c>
      <c r="E835" s="342"/>
      <c r="N835">
        <f t="shared" si="12"/>
        <v>0</v>
      </c>
    </row>
    <row r="836" spans="1:14" x14ac:dyDescent="0.3">
      <c r="A836" s="388" t="s">
        <v>4128</v>
      </c>
      <c r="B836" s="394">
        <v>0</v>
      </c>
      <c r="C836" s="388">
        <v>0</v>
      </c>
      <c r="D836" s="388">
        <v>0</v>
      </c>
      <c r="E836" s="342"/>
      <c r="N836">
        <f t="shared" si="12"/>
        <v>0</v>
      </c>
    </row>
    <row r="837" spans="1:14" x14ac:dyDescent="0.3">
      <c r="A837" s="388" t="s">
        <v>4129</v>
      </c>
      <c r="B837" s="394">
        <v>0</v>
      </c>
      <c r="C837" s="388">
        <v>0</v>
      </c>
      <c r="D837" s="388">
        <v>0</v>
      </c>
      <c r="E837" s="342"/>
      <c r="N837">
        <f t="shared" ref="N837:N900" si="13">MAX(B837:D837)</f>
        <v>0</v>
      </c>
    </row>
    <row r="838" spans="1:14" x14ac:dyDescent="0.3">
      <c r="A838" s="388" t="s">
        <v>4130</v>
      </c>
      <c r="B838" s="394">
        <v>0</v>
      </c>
      <c r="C838" s="388">
        <v>0</v>
      </c>
      <c r="D838" s="388">
        <v>0</v>
      </c>
      <c r="E838" s="342"/>
      <c r="N838">
        <f t="shared" si="13"/>
        <v>0</v>
      </c>
    </row>
    <row r="839" spans="1:14" x14ac:dyDescent="0.3">
      <c r="A839" s="388" t="s">
        <v>4131</v>
      </c>
      <c r="B839" s="394">
        <v>0</v>
      </c>
      <c r="C839" s="388">
        <v>0</v>
      </c>
      <c r="D839" s="388">
        <v>0</v>
      </c>
      <c r="E839" s="342"/>
      <c r="N839">
        <f t="shared" si="13"/>
        <v>0</v>
      </c>
    </row>
    <row r="840" spans="1:14" x14ac:dyDescent="0.3">
      <c r="A840" s="388" t="s">
        <v>4132</v>
      </c>
      <c r="B840" s="394">
        <v>0</v>
      </c>
      <c r="C840" s="388">
        <v>0</v>
      </c>
      <c r="D840" s="388">
        <v>0.5</v>
      </c>
      <c r="E840" s="342"/>
      <c r="N840">
        <f t="shared" si="13"/>
        <v>0.5</v>
      </c>
    </row>
    <row r="841" spans="1:14" x14ac:dyDescent="0.3">
      <c r="A841" s="388" t="s">
        <v>4133</v>
      </c>
      <c r="B841" s="394">
        <v>72</v>
      </c>
      <c r="C841" s="388">
        <v>62.5</v>
      </c>
      <c r="D841" s="388">
        <v>70</v>
      </c>
      <c r="E841" s="342"/>
      <c r="N841">
        <f t="shared" si="13"/>
        <v>72</v>
      </c>
    </row>
    <row r="842" spans="1:14" x14ac:dyDescent="0.3">
      <c r="A842" s="388" t="s">
        <v>4134</v>
      </c>
      <c r="B842" s="394">
        <v>8</v>
      </c>
      <c r="C842" s="388">
        <v>6.5</v>
      </c>
      <c r="D842" s="388">
        <v>7</v>
      </c>
      <c r="E842" s="342"/>
      <c r="N842">
        <f t="shared" si="13"/>
        <v>8</v>
      </c>
    </row>
    <row r="843" spans="1:14" x14ac:dyDescent="0.3">
      <c r="A843" s="388" t="s">
        <v>4135</v>
      </c>
      <c r="B843" s="394">
        <v>9</v>
      </c>
      <c r="C843" s="388">
        <v>5</v>
      </c>
      <c r="D843" s="388">
        <v>9.5</v>
      </c>
      <c r="E843" s="342"/>
      <c r="N843">
        <f t="shared" si="13"/>
        <v>9.5</v>
      </c>
    </row>
    <row r="844" spans="1:14" x14ac:dyDescent="0.3">
      <c r="A844" s="388" t="s">
        <v>4136</v>
      </c>
      <c r="B844" s="394">
        <v>7.5</v>
      </c>
      <c r="C844" s="388">
        <v>6</v>
      </c>
      <c r="D844" s="388">
        <v>7</v>
      </c>
      <c r="E844" s="342"/>
      <c r="N844">
        <f t="shared" si="13"/>
        <v>7.5</v>
      </c>
    </row>
    <row r="845" spans="1:14" x14ac:dyDescent="0.3">
      <c r="A845" s="388" t="s">
        <v>4137</v>
      </c>
      <c r="B845" s="394">
        <v>3</v>
      </c>
      <c r="C845" s="388">
        <v>5</v>
      </c>
      <c r="D845" s="388">
        <v>5.5</v>
      </c>
      <c r="E845" s="342"/>
      <c r="N845">
        <f t="shared" si="13"/>
        <v>5.5</v>
      </c>
    </row>
    <row r="846" spans="1:14" x14ac:dyDescent="0.3">
      <c r="A846" s="388" t="s">
        <v>4138</v>
      </c>
      <c r="B846" s="394">
        <v>5</v>
      </c>
      <c r="C846" s="388">
        <v>0.5</v>
      </c>
      <c r="D846" s="388">
        <v>11</v>
      </c>
      <c r="E846" s="342"/>
      <c r="N846">
        <f t="shared" si="13"/>
        <v>11</v>
      </c>
    </row>
    <row r="847" spans="1:14" x14ac:dyDescent="0.3">
      <c r="A847" s="388" t="s">
        <v>4139</v>
      </c>
      <c r="B847" s="394">
        <v>0</v>
      </c>
      <c r="C847" s="388">
        <v>0</v>
      </c>
      <c r="D847" s="388">
        <v>0</v>
      </c>
      <c r="E847" s="342"/>
      <c r="N847">
        <f t="shared" si="13"/>
        <v>0</v>
      </c>
    </row>
    <row r="848" spans="1:14" x14ac:dyDescent="0.3">
      <c r="A848" s="388" t="s">
        <v>4140</v>
      </c>
      <c r="B848" s="394">
        <v>7.5</v>
      </c>
      <c r="C848" s="388">
        <v>10.5</v>
      </c>
      <c r="D848" s="388">
        <v>7.5</v>
      </c>
      <c r="E848" s="342"/>
      <c r="N848">
        <f t="shared" si="13"/>
        <v>10.5</v>
      </c>
    </row>
    <row r="849" spans="1:14" x14ac:dyDescent="0.3">
      <c r="A849" s="388" t="s">
        <v>4141</v>
      </c>
      <c r="B849" s="394">
        <v>0</v>
      </c>
      <c r="C849" s="388">
        <v>0</v>
      </c>
      <c r="D849" s="388">
        <v>0</v>
      </c>
      <c r="E849" s="342"/>
      <c r="N849">
        <f t="shared" si="13"/>
        <v>0</v>
      </c>
    </row>
    <row r="850" spans="1:14" x14ac:dyDescent="0.3">
      <c r="A850" s="388" t="s">
        <v>4142</v>
      </c>
      <c r="B850" s="394">
        <v>1</v>
      </c>
      <c r="C850" s="388">
        <v>2.5</v>
      </c>
      <c r="D850" s="388">
        <v>1.5</v>
      </c>
      <c r="E850" s="342"/>
      <c r="N850">
        <f t="shared" si="13"/>
        <v>2.5</v>
      </c>
    </row>
    <row r="851" spans="1:14" x14ac:dyDescent="0.3">
      <c r="A851" s="388" t="s">
        <v>4143</v>
      </c>
      <c r="B851" s="394">
        <v>4.5</v>
      </c>
      <c r="C851" s="388">
        <v>5</v>
      </c>
      <c r="D851" s="388">
        <v>4</v>
      </c>
      <c r="E851" s="342"/>
      <c r="N851">
        <f t="shared" si="13"/>
        <v>5</v>
      </c>
    </row>
    <row r="852" spans="1:14" x14ac:dyDescent="0.3">
      <c r="A852" s="388" t="s">
        <v>4144</v>
      </c>
      <c r="B852" s="394">
        <v>35</v>
      </c>
      <c r="C852" s="388">
        <v>48</v>
      </c>
      <c r="D852" s="388">
        <v>33.5</v>
      </c>
      <c r="E852" s="342"/>
      <c r="N852">
        <f t="shared" si="13"/>
        <v>48</v>
      </c>
    </row>
    <row r="853" spans="1:14" x14ac:dyDescent="0.3">
      <c r="A853" s="388" t="s">
        <v>4145</v>
      </c>
      <c r="B853" s="394">
        <v>34.6</v>
      </c>
      <c r="C853" s="388">
        <v>36.5</v>
      </c>
      <c r="D853" s="388">
        <v>32</v>
      </c>
      <c r="E853" s="342"/>
      <c r="N853">
        <f t="shared" si="13"/>
        <v>36.5</v>
      </c>
    </row>
    <row r="854" spans="1:14" s="338" customFormat="1" x14ac:dyDescent="0.3">
      <c r="A854" s="392" t="s">
        <v>4146</v>
      </c>
      <c r="B854" s="395">
        <v>14.5</v>
      </c>
      <c r="C854" s="392">
        <v>21</v>
      </c>
      <c r="D854" s="392">
        <v>15.5</v>
      </c>
      <c r="E854" s="396"/>
      <c r="N854">
        <f t="shared" si="13"/>
        <v>21</v>
      </c>
    </row>
    <row r="855" spans="1:14" x14ac:dyDescent="0.3">
      <c r="A855" s="388" t="s">
        <v>4147</v>
      </c>
      <c r="B855" s="394">
        <v>1</v>
      </c>
      <c r="C855" s="388">
        <v>2</v>
      </c>
      <c r="D855" s="388">
        <v>1</v>
      </c>
      <c r="E855" s="342"/>
      <c r="N855">
        <f t="shared" si="13"/>
        <v>2</v>
      </c>
    </row>
    <row r="856" spans="1:14" x14ac:dyDescent="0.3">
      <c r="A856" s="388" t="s">
        <v>4148</v>
      </c>
      <c r="B856" s="394">
        <v>8</v>
      </c>
      <c r="C856" s="388">
        <v>7.5</v>
      </c>
      <c r="D856" s="388">
        <v>3.5</v>
      </c>
      <c r="E856" s="342"/>
      <c r="N856">
        <f t="shared" si="13"/>
        <v>8</v>
      </c>
    </row>
    <row r="857" spans="1:14" x14ac:dyDescent="0.3">
      <c r="A857" s="388" t="s">
        <v>4149</v>
      </c>
      <c r="B857" s="394">
        <v>20</v>
      </c>
      <c r="C857" s="388">
        <v>26.5</v>
      </c>
      <c r="D857" s="388">
        <v>18</v>
      </c>
      <c r="E857" s="342"/>
      <c r="N857">
        <f t="shared" si="13"/>
        <v>26.5</v>
      </c>
    </row>
    <row r="858" spans="1:14" x14ac:dyDescent="0.3">
      <c r="A858" s="388" t="s">
        <v>4150</v>
      </c>
      <c r="B858" s="394">
        <v>65.5</v>
      </c>
      <c r="C858" s="388">
        <v>55.5</v>
      </c>
      <c r="D858" s="388">
        <v>67.5</v>
      </c>
      <c r="E858" s="342"/>
      <c r="N858">
        <f t="shared" si="13"/>
        <v>67.5</v>
      </c>
    </row>
    <row r="859" spans="1:14" x14ac:dyDescent="0.3">
      <c r="A859" s="388" t="s">
        <v>4151</v>
      </c>
      <c r="B859" s="394">
        <v>0.5</v>
      </c>
      <c r="C859" s="388">
        <v>1</v>
      </c>
      <c r="D859" s="388">
        <v>0.5</v>
      </c>
      <c r="E859" s="342"/>
      <c r="N859">
        <f t="shared" si="13"/>
        <v>1</v>
      </c>
    </row>
    <row r="860" spans="1:14" x14ac:dyDescent="0.3">
      <c r="A860" s="388" t="s">
        <v>4152</v>
      </c>
      <c r="B860" s="394">
        <v>1</v>
      </c>
      <c r="C860" s="388">
        <v>1.5</v>
      </c>
      <c r="D860" s="388">
        <v>2</v>
      </c>
      <c r="E860" s="342"/>
      <c r="N860">
        <f t="shared" si="13"/>
        <v>2</v>
      </c>
    </row>
    <row r="861" spans="1:14" x14ac:dyDescent="0.3">
      <c r="A861" s="388" t="s">
        <v>4153</v>
      </c>
      <c r="B861" s="394">
        <v>5.5</v>
      </c>
      <c r="C861" s="388">
        <v>4</v>
      </c>
      <c r="D861" s="388">
        <v>6.5</v>
      </c>
      <c r="E861" s="342"/>
      <c r="N861">
        <f t="shared" si="13"/>
        <v>6.5</v>
      </c>
    </row>
    <row r="862" spans="1:14" x14ac:dyDescent="0.3">
      <c r="A862" s="388" t="s">
        <v>4154</v>
      </c>
      <c r="B862" s="394">
        <v>1.5</v>
      </c>
      <c r="C862" s="388">
        <v>1</v>
      </c>
      <c r="D862" s="388">
        <v>1.5</v>
      </c>
      <c r="E862" s="342"/>
      <c r="N862">
        <f t="shared" si="13"/>
        <v>1.5</v>
      </c>
    </row>
    <row r="863" spans="1:14" x14ac:dyDescent="0.3">
      <c r="A863" s="388" t="s">
        <v>4155</v>
      </c>
      <c r="B863" s="394">
        <v>6</v>
      </c>
      <c r="C863" s="388">
        <v>8.5</v>
      </c>
      <c r="D863" s="388">
        <v>5.5</v>
      </c>
      <c r="E863" s="342"/>
      <c r="N863">
        <f t="shared" si="13"/>
        <v>8.5</v>
      </c>
    </row>
    <row r="864" spans="1:14" x14ac:dyDescent="0.3">
      <c r="A864" s="388" t="s">
        <v>4156</v>
      </c>
      <c r="B864" s="394">
        <v>1</v>
      </c>
      <c r="C864" s="388">
        <v>1.5</v>
      </c>
      <c r="D864" s="388">
        <v>1</v>
      </c>
      <c r="E864" s="342"/>
      <c r="N864">
        <f t="shared" si="13"/>
        <v>1.5</v>
      </c>
    </row>
    <row r="865" spans="1:14" x14ac:dyDescent="0.3">
      <c r="A865" s="388" t="s">
        <v>4157</v>
      </c>
      <c r="B865" s="394">
        <v>1</v>
      </c>
      <c r="C865" s="388">
        <v>1</v>
      </c>
      <c r="D865" s="388">
        <v>1.5</v>
      </c>
      <c r="E865" s="342"/>
      <c r="N865">
        <f t="shared" si="13"/>
        <v>1.5</v>
      </c>
    </row>
    <row r="866" spans="1:14" x14ac:dyDescent="0.3">
      <c r="A866" s="388" t="s">
        <v>4158</v>
      </c>
      <c r="B866" s="394">
        <v>65</v>
      </c>
      <c r="C866" s="388">
        <v>68.5</v>
      </c>
      <c r="D866" s="388">
        <v>36.5</v>
      </c>
      <c r="E866" s="342"/>
      <c r="N866">
        <f t="shared" si="13"/>
        <v>68.5</v>
      </c>
    </row>
    <row r="867" spans="1:14" x14ac:dyDescent="0.3">
      <c r="A867" s="388" t="s">
        <v>4159</v>
      </c>
      <c r="B867" s="394">
        <v>1</v>
      </c>
      <c r="C867" s="388">
        <v>0.5</v>
      </c>
      <c r="D867" s="388">
        <v>0.5</v>
      </c>
      <c r="E867" s="342"/>
      <c r="N867">
        <f t="shared" si="13"/>
        <v>1</v>
      </c>
    </row>
    <row r="868" spans="1:14" x14ac:dyDescent="0.3">
      <c r="A868" s="388" t="s">
        <v>4160</v>
      </c>
      <c r="B868" s="394">
        <v>20.5</v>
      </c>
      <c r="C868" s="388">
        <v>22</v>
      </c>
      <c r="D868" s="388">
        <v>19</v>
      </c>
      <c r="E868" s="342"/>
      <c r="N868">
        <f t="shared" si="13"/>
        <v>22</v>
      </c>
    </row>
    <row r="869" spans="1:14" x14ac:dyDescent="0.3">
      <c r="A869" s="388" t="s">
        <v>4161</v>
      </c>
      <c r="B869" s="394">
        <v>24</v>
      </c>
      <c r="C869" s="388">
        <v>27.5</v>
      </c>
      <c r="D869" s="388">
        <v>20</v>
      </c>
      <c r="E869" s="342"/>
      <c r="N869">
        <f t="shared" si="13"/>
        <v>27.5</v>
      </c>
    </row>
    <row r="870" spans="1:14" x14ac:dyDescent="0.3">
      <c r="A870" s="388" t="s">
        <v>4162</v>
      </c>
      <c r="B870" s="394">
        <v>1</v>
      </c>
      <c r="C870" s="388">
        <v>1</v>
      </c>
      <c r="D870" s="388">
        <v>1.5</v>
      </c>
      <c r="E870" s="342"/>
      <c r="N870">
        <f t="shared" si="13"/>
        <v>1.5</v>
      </c>
    </row>
    <row r="871" spans="1:14" x14ac:dyDescent="0.3">
      <c r="A871" s="388" t="s">
        <v>4163</v>
      </c>
      <c r="B871" s="394">
        <v>13.5</v>
      </c>
      <c r="C871" s="388">
        <v>12.5</v>
      </c>
      <c r="D871" s="388">
        <v>14</v>
      </c>
      <c r="E871" s="342"/>
      <c r="N871">
        <f t="shared" si="13"/>
        <v>14</v>
      </c>
    </row>
    <row r="872" spans="1:14" x14ac:dyDescent="0.3">
      <c r="A872" s="388" t="s">
        <v>4164</v>
      </c>
      <c r="B872" s="394">
        <v>2.5</v>
      </c>
      <c r="C872" s="388">
        <v>2.5</v>
      </c>
      <c r="D872" s="388">
        <v>3</v>
      </c>
      <c r="E872" s="342"/>
      <c r="N872">
        <f t="shared" si="13"/>
        <v>3</v>
      </c>
    </row>
    <row r="873" spans="1:14" x14ac:dyDescent="0.3">
      <c r="A873" s="388" t="s">
        <v>4165</v>
      </c>
      <c r="B873" s="394">
        <v>28</v>
      </c>
      <c r="C873" s="388">
        <v>14</v>
      </c>
      <c r="D873" s="388">
        <v>19</v>
      </c>
      <c r="E873" s="342"/>
      <c r="N873">
        <f t="shared" si="13"/>
        <v>28</v>
      </c>
    </row>
    <row r="874" spans="1:14" x14ac:dyDescent="0.3">
      <c r="A874" s="388" t="s">
        <v>4166</v>
      </c>
      <c r="B874" s="394">
        <v>3.5</v>
      </c>
      <c r="C874" s="388">
        <v>4</v>
      </c>
      <c r="D874" s="388">
        <v>4.5</v>
      </c>
      <c r="E874" s="342"/>
      <c r="N874">
        <f t="shared" si="13"/>
        <v>4.5</v>
      </c>
    </row>
    <row r="875" spans="1:14" x14ac:dyDescent="0.3">
      <c r="A875" s="388" t="s">
        <v>4167</v>
      </c>
      <c r="B875" s="394">
        <v>22</v>
      </c>
      <c r="C875" s="388">
        <v>17.5</v>
      </c>
      <c r="D875" s="388">
        <v>24.5</v>
      </c>
      <c r="E875" s="342"/>
      <c r="N875">
        <f t="shared" si="13"/>
        <v>24.5</v>
      </c>
    </row>
    <row r="876" spans="1:14" x14ac:dyDescent="0.3">
      <c r="A876" s="388" t="s">
        <v>4168</v>
      </c>
      <c r="B876" s="394">
        <v>13</v>
      </c>
      <c r="C876" s="388">
        <v>8.5</v>
      </c>
      <c r="D876" s="388">
        <v>10.5</v>
      </c>
      <c r="E876" s="342"/>
      <c r="N876">
        <f t="shared" si="13"/>
        <v>13</v>
      </c>
    </row>
    <row r="877" spans="1:14" x14ac:dyDescent="0.3">
      <c r="A877" s="388" t="s">
        <v>4169</v>
      </c>
      <c r="B877" s="394">
        <v>1.5</v>
      </c>
      <c r="C877" s="388">
        <v>2</v>
      </c>
      <c r="D877" s="388">
        <v>2.5</v>
      </c>
      <c r="E877" s="342"/>
      <c r="N877">
        <f t="shared" si="13"/>
        <v>2.5</v>
      </c>
    </row>
    <row r="878" spans="1:14" x14ac:dyDescent="0.3">
      <c r="A878" s="388" t="s">
        <v>4170</v>
      </c>
      <c r="B878" s="394">
        <v>14</v>
      </c>
      <c r="C878" s="388">
        <v>9.5</v>
      </c>
      <c r="D878" s="388">
        <v>15</v>
      </c>
      <c r="E878" s="342"/>
      <c r="N878">
        <f t="shared" si="13"/>
        <v>15</v>
      </c>
    </row>
    <row r="879" spans="1:14" x14ac:dyDescent="0.3">
      <c r="A879" s="388" t="s">
        <v>4171</v>
      </c>
      <c r="B879" s="394">
        <v>14</v>
      </c>
      <c r="C879" s="388">
        <v>15</v>
      </c>
      <c r="D879" s="388">
        <v>21.5</v>
      </c>
      <c r="E879" s="342"/>
      <c r="N879">
        <f t="shared" si="13"/>
        <v>21.5</v>
      </c>
    </row>
    <row r="880" spans="1:14" x14ac:dyDescent="0.3">
      <c r="A880" s="388" t="s">
        <v>4172</v>
      </c>
      <c r="B880" s="394">
        <v>4</v>
      </c>
      <c r="C880" s="388">
        <v>1.5</v>
      </c>
      <c r="D880" s="388">
        <v>3</v>
      </c>
      <c r="E880" s="342"/>
      <c r="N880">
        <f t="shared" si="13"/>
        <v>4</v>
      </c>
    </row>
    <row r="881" spans="1:14" x14ac:dyDescent="0.3">
      <c r="A881" s="388" t="s">
        <v>4173</v>
      </c>
      <c r="B881" s="394">
        <v>1.5</v>
      </c>
      <c r="C881" s="388">
        <v>1</v>
      </c>
      <c r="D881" s="388">
        <v>1</v>
      </c>
      <c r="E881" s="342"/>
      <c r="N881">
        <f t="shared" si="13"/>
        <v>1.5</v>
      </c>
    </row>
    <row r="882" spans="1:14" x14ac:dyDescent="0.3">
      <c r="A882" s="388" t="s">
        <v>4174</v>
      </c>
      <c r="B882" s="394">
        <v>10.5</v>
      </c>
      <c r="C882" s="388">
        <v>8.5</v>
      </c>
      <c r="D882" s="388">
        <v>9.5</v>
      </c>
      <c r="E882" s="342"/>
      <c r="N882">
        <f t="shared" si="13"/>
        <v>10.5</v>
      </c>
    </row>
    <row r="883" spans="1:14" x14ac:dyDescent="0.3">
      <c r="A883" s="388" t="s">
        <v>4175</v>
      </c>
      <c r="B883" s="394">
        <v>19</v>
      </c>
      <c r="C883" s="388">
        <v>15.5</v>
      </c>
      <c r="D883" s="388">
        <v>19.5</v>
      </c>
      <c r="E883" s="342"/>
      <c r="N883">
        <f t="shared" si="13"/>
        <v>19.5</v>
      </c>
    </row>
    <row r="884" spans="1:14" x14ac:dyDescent="0.3">
      <c r="A884" s="388" t="s">
        <v>4176</v>
      </c>
      <c r="B884" s="394">
        <v>34.5</v>
      </c>
      <c r="C884" s="388">
        <v>31</v>
      </c>
      <c r="D884" s="388">
        <v>35</v>
      </c>
      <c r="E884" s="342"/>
      <c r="N884">
        <f t="shared" si="13"/>
        <v>35</v>
      </c>
    </row>
    <row r="885" spans="1:14" s="338" customFormat="1" x14ac:dyDescent="0.3">
      <c r="A885" s="392" t="s">
        <v>4177</v>
      </c>
      <c r="B885" s="395">
        <v>17</v>
      </c>
      <c r="C885" s="392">
        <v>14</v>
      </c>
      <c r="D885" s="392">
        <v>17.5</v>
      </c>
      <c r="E885" s="396"/>
      <c r="N885">
        <f t="shared" si="13"/>
        <v>17.5</v>
      </c>
    </row>
    <row r="886" spans="1:14" x14ac:dyDescent="0.3">
      <c r="A886" s="388" t="s">
        <v>4178</v>
      </c>
      <c r="B886" s="394">
        <v>14</v>
      </c>
      <c r="C886" s="388">
        <v>12.5</v>
      </c>
      <c r="D886" s="388">
        <v>14.5</v>
      </c>
      <c r="E886" s="342"/>
      <c r="N886">
        <f t="shared" si="13"/>
        <v>14.5</v>
      </c>
    </row>
    <row r="887" spans="1:14" x14ac:dyDescent="0.3">
      <c r="A887" s="388" t="s">
        <v>4179</v>
      </c>
      <c r="B887" s="394">
        <v>32</v>
      </c>
      <c r="C887" s="388">
        <v>28.5</v>
      </c>
      <c r="D887" s="388">
        <v>32.5</v>
      </c>
      <c r="E887" s="342"/>
      <c r="N887">
        <f t="shared" si="13"/>
        <v>32.5</v>
      </c>
    </row>
    <row r="888" spans="1:14" x14ac:dyDescent="0.3">
      <c r="A888" s="388" t="s">
        <v>4180</v>
      </c>
      <c r="B888" s="394">
        <v>17.5</v>
      </c>
      <c r="C888" s="388">
        <v>25</v>
      </c>
      <c r="D888" s="388">
        <v>17.5</v>
      </c>
      <c r="E888" s="342"/>
      <c r="N888">
        <f t="shared" si="13"/>
        <v>25</v>
      </c>
    </row>
    <row r="889" spans="1:14" x14ac:dyDescent="0.3">
      <c r="A889" s="388" t="s">
        <v>4181</v>
      </c>
      <c r="B889" s="394">
        <v>10</v>
      </c>
      <c r="C889" s="388">
        <v>10.5</v>
      </c>
      <c r="D889" s="388">
        <v>11</v>
      </c>
      <c r="E889" s="342"/>
      <c r="N889">
        <f t="shared" si="13"/>
        <v>11</v>
      </c>
    </row>
    <row r="890" spans="1:14" x14ac:dyDescent="0.3">
      <c r="A890" s="388" t="s">
        <v>4182</v>
      </c>
      <c r="B890" s="394">
        <v>3.5</v>
      </c>
      <c r="C890" s="388">
        <v>3.5</v>
      </c>
      <c r="D890" s="388">
        <v>3</v>
      </c>
      <c r="E890" s="342"/>
      <c r="N890">
        <f t="shared" si="13"/>
        <v>3.5</v>
      </c>
    </row>
    <row r="891" spans="1:14" x14ac:dyDescent="0.3">
      <c r="A891" s="388" t="s">
        <v>4183</v>
      </c>
      <c r="B891" s="394">
        <v>0</v>
      </c>
      <c r="C891" s="388">
        <v>0</v>
      </c>
      <c r="D891" s="388">
        <v>0</v>
      </c>
      <c r="E891" s="342"/>
      <c r="N891">
        <f t="shared" si="13"/>
        <v>0</v>
      </c>
    </row>
    <row r="892" spans="1:14" x14ac:dyDescent="0.3">
      <c r="A892" s="388" t="s">
        <v>4184</v>
      </c>
      <c r="B892" s="394">
        <v>1</v>
      </c>
      <c r="C892" s="388">
        <v>1.5</v>
      </c>
      <c r="D892" s="388">
        <v>1</v>
      </c>
      <c r="E892" s="342"/>
      <c r="N892">
        <f t="shared" si="13"/>
        <v>1.5</v>
      </c>
    </row>
    <row r="893" spans="1:14" x14ac:dyDescent="0.3">
      <c r="A893" s="388" t="s">
        <v>4185</v>
      </c>
      <c r="B893" s="394">
        <v>10</v>
      </c>
      <c r="C893" s="388">
        <v>15</v>
      </c>
      <c r="D893" s="388">
        <v>12.5</v>
      </c>
      <c r="E893" s="342"/>
      <c r="N893">
        <f t="shared" si="13"/>
        <v>15</v>
      </c>
    </row>
    <row r="894" spans="1:14" x14ac:dyDescent="0.3">
      <c r="A894" s="388" t="s">
        <v>4186</v>
      </c>
      <c r="B894" s="394">
        <v>29.5</v>
      </c>
      <c r="C894" s="388">
        <v>37</v>
      </c>
      <c r="D894" s="388">
        <v>34.5</v>
      </c>
      <c r="E894" s="342"/>
      <c r="N894">
        <f t="shared" si="13"/>
        <v>37</v>
      </c>
    </row>
    <row r="895" spans="1:14" x14ac:dyDescent="0.3">
      <c r="A895" s="388" t="s">
        <v>4187</v>
      </c>
      <c r="B895" s="394">
        <v>62.5</v>
      </c>
      <c r="C895" s="388">
        <v>65</v>
      </c>
      <c r="D895" s="388">
        <v>53.5</v>
      </c>
      <c r="E895" s="342"/>
      <c r="N895">
        <f t="shared" si="13"/>
        <v>65</v>
      </c>
    </row>
    <row r="896" spans="1:14" x14ac:dyDescent="0.3">
      <c r="A896" s="388" t="s">
        <v>4188</v>
      </c>
      <c r="B896" s="394">
        <v>9</v>
      </c>
      <c r="C896" s="388">
        <v>8.5</v>
      </c>
      <c r="D896" s="388">
        <v>10.5</v>
      </c>
      <c r="E896" s="342"/>
      <c r="N896">
        <f t="shared" si="13"/>
        <v>10.5</v>
      </c>
    </row>
    <row r="897" spans="1:14" x14ac:dyDescent="0.3">
      <c r="A897" s="388" t="s">
        <v>4189</v>
      </c>
      <c r="B897" s="394">
        <v>9.5</v>
      </c>
      <c r="C897" s="388">
        <v>10</v>
      </c>
      <c r="D897" s="388">
        <v>13.5</v>
      </c>
      <c r="E897" s="342"/>
      <c r="N897">
        <f t="shared" si="13"/>
        <v>13.5</v>
      </c>
    </row>
    <row r="898" spans="1:14" x14ac:dyDescent="0.3">
      <c r="A898" s="388" t="s">
        <v>4190</v>
      </c>
      <c r="B898" s="394">
        <v>11</v>
      </c>
      <c r="C898" s="388">
        <v>9.5</v>
      </c>
      <c r="D898" s="388">
        <v>10</v>
      </c>
      <c r="E898" s="342"/>
      <c r="N898">
        <f t="shared" si="13"/>
        <v>11</v>
      </c>
    </row>
    <row r="899" spans="1:14" x14ac:dyDescent="0.3">
      <c r="A899" s="388" t="s">
        <v>4191</v>
      </c>
      <c r="B899" s="394">
        <v>4</v>
      </c>
      <c r="C899" s="388">
        <v>6</v>
      </c>
      <c r="D899" s="388">
        <v>4.5</v>
      </c>
      <c r="E899" s="342"/>
      <c r="N899">
        <f t="shared" si="13"/>
        <v>6</v>
      </c>
    </row>
    <row r="900" spans="1:14" x14ac:dyDescent="0.3">
      <c r="A900" s="388" t="s">
        <v>4192</v>
      </c>
      <c r="B900" s="394">
        <v>0</v>
      </c>
      <c r="C900" s="388">
        <v>0</v>
      </c>
      <c r="D900" s="388">
        <v>0</v>
      </c>
      <c r="E900" s="342"/>
      <c r="N900">
        <f t="shared" si="13"/>
        <v>0</v>
      </c>
    </row>
    <row r="901" spans="1:14" x14ac:dyDescent="0.3">
      <c r="A901" s="388" t="s">
        <v>4193</v>
      </c>
      <c r="B901" s="394">
        <v>29.5</v>
      </c>
      <c r="C901" s="388">
        <v>30</v>
      </c>
      <c r="D901" s="388">
        <v>26.5</v>
      </c>
      <c r="E901" s="342"/>
      <c r="N901">
        <f t="shared" ref="N901:N964" si="14">MAX(B901:D901)</f>
        <v>30</v>
      </c>
    </row>
    <row r="902" spans="1:14" x14ac:dyDescent="0.3">
      <c r="A902" s="388" t="s">
        <v>4194</v>
      </c>
      <c r="B902" s="394">
        <v>3</v>
      </c>
      <c r="C902" s="388">
        <v>2.5</v>
      </c>
      <c r="D902" s="388">
        <v>4</v>
      </c>
      <c r="E902" s="342"/>
      <c r="N902">
        <f t="shared" si="14"/>
        <v>4</v>
      </c>
    </row>
    <row r="903" spans="1:14" x14ac:dyDescent="0.3">
      <c r="A903" s="388" t="s">
        <v>4195</v>
      </c>
      <c r="B903" s="394">
        <v>0.5</v>
      </c>
      <c r="C903" s="388">
        <v>1.5</v>
      </c>
      <c r="D903" s="388">
        <v>1</v>
      </c>
      <c r="E903" s="342"/>
      <c r="N903">
        <f t="shared" si="14"/>
        <v>1.5</v>
      </c>
    </row>
    <row r="904" spans="1:14" x14ac:dyDescent="0.3">
      <c r="A904" s="388" t="s">
        <v>4196</v>
      </c>
      <c r="B904" s="394">
        <v>1.5</v>
      </c>
      <c r="C904" s="388">
        <v>1</v>
      </c>
      <c r="D904" s="388">
        <v>1.5</v>
      </c>
      <c r="E904" s="342"/>
      <c r="N904">
        <f t="shared" si="14"/>
        <v>1.5</v>
      </c>
    </row>
    <row r="905" spans="1:14" x14ac:dyDescent="0.3">
      <c r="A905" s="388" t="s">
        <v>4197</v>
      </c>
      <c r="B905" s="394">
        <v>10.5</v>
      </c>
      <c r="C905" s="388">
        <v>11</v>
      </c>
      <c r="D905" s="388">
        <v>11.5</v>
      </c>
      <c r="E905" s="342"/>
      <c r="N905">
        <f t="shared" si="14"/>
        <v>11.5</v>
      </c>
    </row>
    <row r="906" spans="1:14" x14ac:dyDescent="0.3">
      <c r="A906" s="388" t="s">
        <v>4198</v>
      </c>
      <c r="B906" s="394">
        <v>20</v>
      </c>
      <c r="C906" s="388">
        <v>21.5</v>
      </c>
      <c r="D906" s="388">
        <v>24.5</v>
      </c>
      <c r="E906" s="342"/>
      <c r="N906">
        <f t="shared" si="14"/>
        <v>24.5</v>
      </c>
    </row>
    <row r="907" spans="1:14" x14ac:dyDescent="0.3">
      <c r="A907" s="388" t="s">
        <v>4199</v>
      </c>
      <c r="B907" s="394">
        <v>2</v>
      </c>
      <c r="C907" s="388">
        <v>2.5</v>
      </c>
      <c r="D907" s="388">
        <v>2.5</v>
      </c>
      <c r="E907" s="342"/>
      <c r="N907">
        <f t="shared" si="14"/>
        <v>2.5</v>
      </c>
    </row>
    <row r="908" spans="1:14" x14ac:dyDescent="0.3">
      <c r="A908" s="388" t="s">
        <v>4200</v>
      </c>
      <c r="B908" s="394">
        <v>5.5</v>
      </c>
      <c r="C908" s="388">
        <v>6.5</v>
      </c>
      <c r="D908" s="388">
        <v>8.5</v>
      </c>
      <c r="E908" s="342"/>
      <c r="N908">
        <f t="shared" si="14"/>
        <v>8.5</v>
      </c>
    </row>
    <row r="909" spans="1:14" x14ac:dyDescent="0.3">
      <c r="A909" s="388"/>
      <c r="B909" s="394"/>
      <c r="C909" s="388"/>
      <c r="D909" s="391"/>
      <c r="E909" s="342"/>
      <c r="N909">
        <f t="shared" si="14"/>
        <v>0</v>
      </c>
    </row>
    <row r="910" spans="1:14" x14ac:dyDescent="0.3">
      <c r="A910" s="388" t="s">
        <v>4201</v>
      </c>
      <c r="B910" s="394">
        <v>1.5</v>
      </c>
      <c r="C910" s="388">
        <v>2.5</v>
      </c>
      <c r="D910" s="341"/>
      <c r="E910" s="342"/>
      <c r="N910">
        <f t="shared" si="14"/>
        <v>2.5</v>
      </c>
    </row>
    <row r="911" spans="1:14" x14ac:dyDescent="0.3">
      <c r="A911" s="388" t="s">
        <v>4202</v>
      </c>
      <c r="B911" s="394">
        <v>1.5</v>
      </c>
      <c r="C911" s="388">
        <v>2</v>
      </c>
      <c r="D911" s="341">
        <v>1.5</v>
      </c>
      <c r="E911" s="342"/>
      <c r="N911">
        <f t="shared" si="14"/>
        <v>2</v>
      </c>
    </row>
    <row r="912" spans="1:14" x14ac:dyDescent="0.3">
      <c r="A912" s="388" t="s">
        <v>4203</v>
      </c>
      <c r="B912" s="394">
        <v>0</v>
      </c>
      <c r="C912" s="388">
        <v>0</v>
      </c>
      <c r="D912" s="341">
        <v>0</v>
      </c>
      <c r="E912" s="342"/>
      <c r="N912">
        <f t="shared" si="14"/>
        <v>0</v>
      </c>
    </row>
    <row r="913" spans="1:14" x14ac:dyDescent="0.3">
      <c r="A913" s="388" t="s">
        <v>4204</v>
      </c>
      <c r="B913" s="394">
        <v>1</v>
      </c>
      <c r="C913" s="388">
        <v>1.5</v>
      </c>
      <c r="D913" s="341">
        <v>2</v>
      </c>
      <c r="E913" s="342"/>
      <c r="N913">
        <f t="shared" si="14"/>
        <v>2</v>
      </c>
    </row>
    <row r="914" spans="1:14" x14ac:dyDescent="0.3">
      <c r="A914" s="388" t="s">
        <v>4205</v>
      </c>
      <c r="B914" s="394">
        <v>4</v>
      </c>
      <c r="C914" s="388">
        <v>4.5</v>
      </c>
      <c r="D914" s="341">
        <v>3.5</v>
      </c>
      <c r="E914" s="342"/>
      <c r="N914">
        <f t="shared" si="14"/>
        <v>4.5</v>
      </c>
    </row>
    <row r="915" spans="1:14" s="338" customFormat="1" x14ac:dyDescent="0.3">
      <c r="A915" s="392" t="s">
        <v>4206</v>
      </c>
      <c r="B915" s="395">
        <v>40</v>
      </c>
      <c r="C915" s="392">
        <v>35.5</v>
      </c>
      <c r="D915" s="398">
        <v>40.5</v>
      </c>
      <c r="E915" s="396"/>
      <c r="N915">
        <f t="shared" si="14"/>
        <v>40.5</v>
      </c>
    </row>
    <row r="916" spans="1:14" x14ac:dyDescent="0.3">
      <c r="A916" s="388" t="s">
        <v>4207</v>
      </c>
      <c r="B916" s="394">
        <v>10</v>
      </c>
      <c r="C916" s="388">
        <v>8.5</v>
      </c>
      <c r="D916" s="341">
        <v>9</v>
      </c>
      <c r="E916" s="342"/>
      <c r="N916">
        <f t="shared" si="14"/>
        <v>10</v>
      </c>
    </row>
    <row r="917" spans="1:14" x14ac:dyDescent="0.3">
      <c r="A917" s="388" t="s">
        <v>4208</v>
      </c>
      <c r="B917" s="394">
        <v>40.5</v>
      </c>
      <c r="C917" s="388">
        <v>38</v>
      </c>
      <c r="D917" s="341">
        <v>40</v>
      </c>
      <c r="E917" s="342"/>
      <c r="N917">
        <f t="shared" si="14"/>
        <v>40.5</v>
      </c>
    </row>
    <row r="918" spans="1:14" x14ac:dyDescent="0.3">
      <c r="A918" s="388" t="s">
        <v>4209</v>
      </c>
      <c r="B918" s="394">
        <v>3</v>
      </c>
      <c r="C918" s="388">
        <v>5</v>
      </c>
      <c r="D918" s="341">
        <v>5</v>
      </c>
      <c r="E918" s="342"/>
      <c r="N918">
        <f t="shared" si="14"/>
        <v>5</v>
      </c>
    </row>
    <row r="919" spans="1:14" x14ac:dyDescent="0.3">
      <c r="A919" s="388" t="s">
        <v>4210</v>
      </c>
      <c r="B919" s="394">
        <v>4</v>
      </c>
      <c r="C919" s="388">
        <v>3</v>
      </c>
      <c r="D919" s="341">
        <v>2.5</v>
      </c>
      <c r="E919" s="342"/>
      <c r="N919">
        <f t="shared" si="14"/>
        <v>4</v>
      </c>
    </row>
    <row r="920" spans="1:14" x14ac:dyDescent="0.3">
      <c r="A920" s="388" t="s">
        <v>4211</v>
      </c>
      <c r="B920" s="394">
        <v>27</v>
      </c>
      <c r="C920" s="388">
        <v>28.5</v>
      </c>
      <c r="D920" s="341">
        <v>18.5</v>
      </c>
      <c r="E920" s="342"/>
      <c r="N920">
        <f t="shared" si="14"/>
        <v>28.5</v>
      </c>
    </row>
    <row r="921" spans="1:14" x14ac:dyDescent="0.3">
      <c r="A921" s="388" t="s">
        <v>4212</v>
      </c>
      <c r="B921" s="394">
        <v>4.5</v>
      </c>
      <c r="C921" s="388">
        <v>1.5</v>
      </c>
      <c r="D921" s="341"/>
      <c r="E921" s="342"/>
      <c r="N921">
        <f t="shared" si="14"/>
        <v>4.5</v>
      </c>
    </row>
    <row r="922" spans="1:14" x14ac:dyDescent="0.3">
      <c r="A922" s="388" t="s">
        <v>4213</v>
      </c>
      <c r="B922" s="394">
        <v>14.5</v>
      </c>
      <c r="C922" s="388">
        <v>11.5</v>
      </c>
      <c r="D922" s="341">
        <v>9.5</v>
      </c>
      <c r="E922" s="342"/>
      <c r="N922">
        <f t="shared" si="14"/>
        <v>14.5</v>
      </c>
    </row>
    <row r="923" spans="1:14" x14ac:dyDescent="0.3">
      <c r="A923" s="388" t="s">
        <v>4214</v>
      </c>
      <c r="B923" s="394">
        <v>0.5</v>
      </c>
      <c r="C923" s="388">
        <v>0.5</v>
      </c>
      <c r="D923" s="341">
        <v>0.5</v>
      </c>
      <c r="E923" s="342"/>
      <c r="N923">
        <f t="shared" si="14"/>
        <v>0.5</v>
      </c>
    </row>
    <row r="924" spans="1:14" x14ac:dyDescent="0.3">
      <c r="A924" s="388" t="s">
        <v>4215</v>
      </c>
      <c r="B924" s="394">
        <v>13</v>
      </c>
      <c r="C924" s="388">
        <v>9</v>
      </c>
      <c r="D924" s="341">
        <v>11.5</v>
      </c>
      <c r="E924" s="342"/>
      <c r="N924">
        <f t="shared" si="14"/>
        <v>13</v>
      </c>
    </row>
    <row r="925" spans="1:14" x14ac:dyDescent="0.3">
      <c r="A925" s="388" t="s">
        <v>4216</v>
      </c>
      <c r="B925" s="394">
        <v>0</v>
      </c>
      <c r="C925" s="388">
        <v>0</v>
      </c>
      <c r="D925" s="341">
        <v>0</v>
      </c>
      <c r="E925" s="342"/>
      <c r="N925">
        <f t="shared" si="14"/>
        <v>0</v>
      </c>
    </row>
    <row r="926" spans="1:14" x14ac:dyDescent="0.3">
      <c r="A926" s="388" t="s">
        <v>4217</v>
      </c>
      <c r="B926" s="394">
        <v>2.5</v>
      </c>
      <c r="C926" s="388">
        <v>3.5</v>
      </c>
      <c r="D926" s="341">
        <v>2.5</v>
      </c>
      <c r="E926" s="342"/>
      <c r="N926">
        <f t="shared" si="14"/>
        <v>3.5</v>
      </c>
    </row>
    <row r="927" spans="1:14" x14ac:dyDescent="0.3">
      <c r="A927" s="388" t="s">
        <v>4218</v>
      </c>
      <c r="B927" s="394">
        <v>2.5</v>
      </c>
      <c r="C927" s="388">
        <v>3</v>
      </c>
      <c r="D927" s="341">
        <v>2.5</v>
      </c>
      <c r="E927" s="342"/>
      <c r="N927">
        <f t="shared" si="14"/>
        <v>3</v>
      </c>
    </row>
    <row r="928" spans="1:14" x14ac:dyDescent="0.3">
      <c r="A928" s="388" t="s">
        <v>4219</v>
      </c>
      <c r="B928" s="394">
        <v>30</v>
      </c>
      <c r="C928" s="388">
        <v>40</v>
      </c>
      <c r="D928" s="341">
        <v>31.5</v>
      </c>
      <c r="E928" s="342"/>
      <c r="N928">
        <f t="shared" si="14"/>
        <v>40</v>
      </c>
    </row>
    <row r="929" spans="1:14" x14ac:dyDescent="0.3">
      <c r="A929" s="388" t="s">
        <v>4220</v>
      </c>
      <c r="B929" s="394">
        <v>40.5</v>
      </c>
      <c r="C929" s="388">
        <v>40</v>
      </c>
      <c r="D929" s="341">
        <v>42</v>
      </c>
      <c r="E929" s="342"/>
      <c r="N929">
        <f t="shared" si="14"/>
        <v>42</v>
      </c>
    </row>
    <row r="930" spans="1:14" x14ac:dyDescent="0.3">
      <c r="A930" s="388" t="s">
        <v>4221</v>
      </c>
      <c r="B930" s="394">
        <v>7.5</v>
      </c>
      <c r="C930" s="388">
        <v>8</v>
      </c>
      <c r="D930" s="341">
        <v>7.5</v>
      </c>
      <c r="E930" s="342"/>
      <c r="N930">
        <f t="shared" si="14"/>
        <v>8</v>
      </c>
    </row>
    <row r="931" spans="1:14" x14ac:dyDescent="0.3">
      <c r="A931" s="388" t="s">
        <v>4222</v>
      </c>
      <c r="B931" s="394">
        <v>3</v>
      </c>
      <c r="C931" s="388">
        <v>3</v>
      </c>
      <c r="D931" s="341">
        <v>50.5</v>
      </c>
      <c r="E931" s="342"/>
      <c r="N931">
        <f t="shared" si="14"/>
        <v>50.5</v>
      </c>
    </row>
    <row r="932" spans="1:14" x14ac:dyDescent="0.3">
      <c r="A932" s="388" t="s">
        <v>4223</v>
      </c>
      <c r="B932" s="394">
        <v>50</v>
      </c>
      <c r="C932" s="388">
        <v>52</v>
      </c>
      <c r="D932" s="341">
        <v>50.5</v>
      </c>
      <c r="E932" s="342"/>
      <c r="N932">
        <f t="shared" si="14"/>
        <v>52</v>
      </c>
    </row>
    <row r="933" spans="1:14" x14ac:dyDescent="0.3">
      <c r="A933" s="388" t="s">
        <v>4224</v>
      </c>
      <c r="B933" s="394">
        <v>28.5</v>
      </c>
      <c r="C933" s="388">
        <v>26.5</v>
      </c>
      <c r="D933" s="341">
        <v>31</v>
      </c>
      <c r="E933" s="342"/>
      <c r="N933">
        <f t="shared" si="14"/>
        <v>31</v>
      </c>
    </row>
    <row r="934" spans="1:14" x14ac:dyDescent="0.3">
      <c r="A934" s="388" t="s">
        <v>4225</v>
      </c>
      <c r="B934" s="394">
        <v>13</v>
      </c>
      <c r="C934" s="388">
        <v>15.5</v>
      </c>
      <c r="D934" s="341">
        <v>13</v>
      </c>
      <c r="E934" s="342"/>
      <c r="N934">
        <f t="shared" si="14"/>
        <v>15.5</v>
      </c>
    </row>
    <row r="935" spans="1:14" x14ac:dyDescent="0.3">
      <c r="A935" s="388" t="s">
        <v>4226</v>
      </c>
      <c r="B935" s="394">
        <v>1</v>
      </c>
      <c r="C935" s="388">
        <v>2</v>
      </c>
      <c r="D935" s="341">
        <v>1.5</v>
      </c>
      <c r="E935" s="342"/>
      <c r="N935">
        <f t="shared" si="14"/>
        <v>2</v>
      </c>
    </row>
    <row r="936" spans="1:14" x14ac:dyDescent="0.3">
      <c r="A936" s="388" t="s">
        <v>4227</v>
      </c>
      <c r="B936" s="394">
        <v>1</v>
      </c>
      <c r="C936" s="388">
        <v>1.5</v>
      </c>
      <c r="D936" s="341">
        <v>1</v>
      </c>
      <c r="E936" s="342"/>
      <c r="N936">
        <f t="shared" si="14"/>
        <v>1.5</v>
      </c>
    </row>
    <row r="937" spans="1:14" x14ac:dyDescent="0.3">
      <c r="A937" s="388" t="s">
        <v>4228</v>
      </c>
      <c r="B937" s="394">
        <v>0</v>
      </c>
      <c r="C937" s="388">
        <v>0</v>
      </c>
      <c r="D937" s="341">
        <v>0</v>
      </c>
      <c r="E937" s="342"/>
      <c r="N937">
        <f t="shared" si="14"/>
        <v>0</v>
      </c>
    </row>
    <row r="938" spans="1:14" x14ac:dyDescent="0.3">
      <c r="A938" s="388" t="s">
        <v>4229</v>
      </c>
      <c r="B938" s="394">
        <v>0</v>
      </c>
      <c r="C938" s="388">
        <v>0</v>
      </c>
      <c r="D938" s="341">
        <v>0</v>
      </c>
      <c r="E938" s="342"/>
      <c r="N938">
        <f t="shared" si="14"/>
        <v>0</v>
      </c>
    </row>
    <row r="939" spans="1:14" x14ac:dyDescent="0.3">
      <c r="A939" s="388" t="s">
        <v>4230</v>
      </c>
      <c r="B939" s="394">
        <v>0.5</v>
      </c>
      <c r="C939" s="388">
        <v>0.5</v>
      </c>
      <c r="D939" s="341">
        <v>0.5</v>
      </c>
      <c r="E939" s="342"/>
      <c r="N939">
        <f t="shared" si="14"/>
        <v>0.5</v>
      </c>
    </row>
    <row r="940" spans="1:14" x14ac:dyDescent="0.3">
      <c r="A940" s="388" t="s">
        <v>4231</v>
      </c>
      <c r="B940" s="394">
        <v>1</v>
      </c>
      <c r="C940" s="388">
        <v>2.5</v>
      </c>
      <c r="D940" s="341">
        <v>1.5</v>
      </c>
      <c r="E940" s="342"/>
      <c r="N940">
        <f t="shared" si="14"/>
        <v>2.5</v>
      </c>
    </row>
    <row r="941" spans="1:14" x14ac:dyDescent="0.3">
      <c r="A941" s="388" t="s">
        <v>4232</v>
      </c>
      <c r="B941" s="394">
        <v>3.5</v>
      </c>
      <c r="C941" s="388">
        <v>3</v>
      </c>
      <c r="D941" s="341">
        <v>4</v>
      </c>
      <c r="E941" s="342"/>
      <c r="N941">
        <f t="shared" si="14"/>
        <v>4</v>
      </c>
    </row>
    <row r="942" spans="1:14" x14ac:dyDescent="0.3">
      <c r="A942" s="388" t="s">
        <v>4233</v>
      </c>
      <c r="B942" s="394">
        <v>0</v>
      </c>
      <c r="C942" s="388">
        <v>0</v>
      </c>
      <c r="D942" s="341">
        <v>0</v>
      </c>
      <c r="E942" s="342"/>
      <c r="N942">
        <f t="shared" si="14"/>
        <v>0</v>
      </c>
    </row>
    <row r="943" spans="1:14" x14ac:dyDescent="0.3">
      <c r="A943" s="388" t="s">
        <v>4234</v>
      </c>
      <c r="B943" s="394">
        <v>0</v>
      </c>
      <c r="C943" s="388">
        <v>0</v>
      </c>
      <c r="D943" s="341">
        <v>0</v>
      </c>
      <c r="E943" s="342"/>
      <c r="N943">
        <f t="shared" si="14"/>
        <v>0</v>
      </c>
    </row>
    <row r="944" spans="1:14" x14ac:dyDescent="0.3">
      <c r="A944" s="388" t="s">
        <v>4235</v>
      </c>
      <c r="B944" s="394">
        <v>0</v>
      </c>
      <c r="C944" s="388">
        <v>0.5</v>
      </c>
      <c r="D944" s="341">
        <v>0</v>
      </c>
      <c r="E944" s="342"/>
      <c r="N944">
        <f t="shared" si="14"/>
        <v>0.5</v>
      </c>
    </row>
    <row r="945" spans="1:14" x14ac:dyDescent="0.3">
      <c r="A945" s="388" t="s">
        <v>4236</v>
      </c>
      <c r="B945" s="394">
        <v>15</v>
      </c>
      <c r="C945" s="388">
        <v>16</v>
      </c>
      <c r="D945" s="341">
        <v>14</v>
      </c>
      <c r="E945" s="342"/>
      <c r="N945">
        <f t="shared" si="14"/>
        <v>16</v>
      </c>
    </row>
    <row r="946" spans="1:14" s="338" customFormat="1" x14ac:dyDescent="0.3">
      <c r="A946" s="392" t="s">
        <v>4237</v>
      </c>
      <c r="B946" s="395">
        <v>0.6</v>
      </c>
      <c r="C946" s="392">
        <v>1.5</v>
      </c>
      <c r="D946" s="398">
        <v>0.5</v>
      </c>
      <c r="E946" s="396"/>
      <c r="N946">
        <f t="shared" si="14"/>
        <v>1.5</v>
      </c>
    </row>
    <row r="947" spans="1:14" x14ac:dyDescent="0.3">
      <c r="A947" s="388" t="s">
        <v>4238</v>
      </c>
      <c r="B947" s="394">
        <v>1</v>
      </c>
      <c r="C947" s="388">
        <v>0.5</v>
      </c>
      <c r="D947" s="341">
        <v>0</v>
      </c>
      <c r="E947" s="342"/>
      <c r="N947">
        <f t="shared" si="14"/>
        <v>1</v>
      </c>
    </row>
    <row r="948" spans="1:14" x14ac:dyDescent="0.3">
      <c r="A948" s="388" t="s">
        <v>4239</v>
      </c>
      <c r="B948" s="394">
        <v>2</v>
      </c>
      <c r="C948" s="388">
        <v>2.5</v>
      </c>
      <c r="D948" s="341">
        <v>2</v>
      </c>
      <c r="E948" s="342"/>
      <c r="N948">
        <f t="shared" si="14"/>
        <v>2.5</v>
      </c>
    </row>
    <row r="949" spans="1:14" x14ac:dyDescent="0.3">
      <c r="A949" s="388" t="s">
        <v>4240</v>
      </c>
      <c r="B949" s="394">
        <v>0</v>
      </c>
      <c r="C949" s="388">
        <v>0</v>
      </c>
      <c r="D949" s="341">
        <v>0</v>
      </c>
      <c r="E949" s="342"/>
      <c r="N949">
        <f t="shared" si="14"/>
        <v>0</v>
      </c>
    </row>
    <row r="950" spans="1:14" x14ac:dyDescent="0.3">
      <c r="A950" s="388" t="s">
        <v>4241</v>
      </c>
      <c r="B950" s="394">
        <v>1.5</v>
      </c>
      <c r="C950" s="388">
        <v>2</v>
      </c>
      <c r="D950" s="341">
        <v>1.5</v>
      </c>
      <c r="E950" s="342"/>
      <c r="N950">
        <f t="shared" si="14"/>
        <v>2</v>
      </c>
    </row>
    <row r="951" spans="1:14" x14ac:dyDescent="0.3">
      <c r="A951" s="388" t="s">
        <v>4242</v>
      </c>
      <c r="B951" s="397">
        <v>0</v>
      </c>
      <c r="C951" s="388">
        <v>0</v>
      </c>
      <c r="D951">
        <v>0</v>
      </c>
      <c r="N951">
        <f t="shared" si="14"/>
        <v>0</v>
      </c>
    </row>
    <row r="952" spans="1:14" x14ac:dyDescent="0.3">
      <c r="A952" s="388" t="s">
        <v>4243</v>
      </c>
      <c r="B952" s="394">
        <v>0</v>
      </c>
      <c r="C952" s="388">
        <v>0</v>
      </c>
      <c r="D952">
        <v>0</v>
      </c>
      <c r="N952">
        <f t="shared" si="14"/>
        <v>0</v>
      </c>
    </row>
    <row r="953" spans="1:14" x14ac:dyDescent="0.3">
      <c r="A953" s="388" t="s">
        <v>4244</v>
      </c>
      <c r="B953" s="394">
        <v>1.5</v>
      </c>
      <c r="C953" s="388">
        <v>1.5</v>
      </c>
      <c r="D953">
        <v>2</v>
      </c>
      <c r="N953">
        <f t="shared" si="14"/>
        <v>2</v>
      </c>
    </row>
    <row r="954" spans="1:14" x14ac:dyDescent="0.3">
      <c r="A954" s="388" t="s">
        <v>4245</v>
      </c>
      <c r="B954" s="394">
        <v>5</v>
      </c>
      <c r="C954" s="388">
        <v>6.5</v>
      </c>
      <c r="D954">
        <v>5.5</v>
      </c>
      <c r="N954">
        <f t="shared" si="14"/>
        <v>6.5</v>
      </c>
    </row>
    <row r="955" spans="1:14" x14ac:dyDescent="0.3">
      <c r="A955" s="388" t="s">
        <v>4246</v>
      </c>
      <c r="B955" s="394">
        <v>12</v>
      </c>
      <c r="C955" s="388">
        <v>20</v>
      </c>
      <c r="D955">
        <v>0</v>
      </c>
      <c r="N955">
        <f t="shared" si="14"/>
        <v>20</v>
      </c>
    </row>
    <row r="956" spans="1:14" x14ac:dyDescent="0.3">
      <c r="A956" s="388" t="s">
        <v>4247</v>
      </c>
      <c r="B956" s="394">
        <v>0</v>
      </c>
      <c r="C956" s="388">
        <v>0</v>
      </c>
      <c r="D956">
        <v>0</v>
      </c>
      <c r="N956">
        <f t="shared" si="14"/>
        <v>0</v>
      </c>
    </row>
    <row r="957" spans="1:14" x14ac:dyDescent="0.3">
      <c r="A957" s="388" t="s">
        <v>4248</v>
      </c>
      <c r="B957" s="394">
        <v>1</v>
      </c>
      <c r="C957" s="388">
        <v>1.5</v>
      </c>
      <c r="D957">
        <v>1</v>
      </c>
      <c r="N957">
        <f t="shared" si="14"/>
        <v>1.5</v>
      </c>
    </row>
    <row r="958" spans="1:14" x14ac:dyDescent="0.3">
      <c r="A958" s="388" t="s">
        <v>4249</v>
      </c>
      <c r="B958" s="394">
        <v>35</v>
      </c>
      <c r="C958" s="388">
        <v>35</v>
      </c>
      <c r="D958">
        <v>33</v>
      </c>
      <c r="N958">
        <f t="shared" si="14"/>
        <v>35</v>
      </c>
    </row>
    <row r="959" spans="1:14" x14ac:dyDescent="0.3">
      <c r="A959" s="388" t="s">
        <v>4250</v>
      </c>
      <c r="B959" s="394">
        <v>18.5</v>
      </c>
      <c r="C959" s="388">
        <v>20</v>
      </c>
      <c r="D959">
        <v>18</v>
      </c>
      <c r="N959">
        <f t="shared" si="14"/>
        <v>20</v>
      </c>
    </row>
    <row r="960" spans="1:14" x14ac:dyDescent="0.3">
      <c r="A960" s="388" t="s">
        <v>4251</v>
      </c>
      <c r="B960" s="394">
        <v>20</v>
      </c>
      <c r="C960" s="388">
        <v>21.5</v>
      </c>
      <c r="D960">
        <v>18.5</v>
      </c>
      <c r="N960">
        <f t="shared" si="14"/>
        <v>21.5</v>
      </c>
    </row>
    <row r="961" spans="1:14" x14ac:dyDescent="0.3">
      <c r="A961" s="388" t="s">
        <v>4252</v>
      </c>
      <c r="B961" s="394">
        <v>60</v>
      </c>
      <c r="C961" s="388">
        <v>65.5</v>
      </c>
      <c r="D961">
        <v>57</v>
      </c>
      <c r="N961">
        <f t="shared" si="14"/>
        <v>65.5</v>
      </c>
    </row>
    <row r="962" spans="1:14" x14ac:dyDescent="0.3">
      <c r="A962" s="388" t="s">
        <v>4253</v>
      </c>
      <c r="B962" s="394">
        <v>155</v>
      </c>
      <c r="C962" s="388">
        <v>155.5</v>
      </c>
      <c r="D962">
        <v>150.5</v>
      </c>
      <c r="N962">
        <f t="shared" si="14"/>
        <v>155.5</v>
      </c>
    </row>
    <row r="963" spans="1:14" x14ac:dyDescent="0.3">
      <c r="A963" s="388" t="s">
        <v>4254</v>
      </c>
      <c r="B963" s="394">
        <v>53.5</v>
      </c>
      <c r="C963" s="388">
        <v>59</v>
      </c>
      <c r="D963">
        <v>64</v>
      </c>
      <c r="N963">
        <f t="shared" si="14"/>
        <v>64</v>
      </c>
    </row>
    <row r="964" spans="1:14" x14ac:dyDescent="0.3">
      <c r="A964" s="388" t="s">
        <v>4255</v>
      </c>
      <c r="B964" s="394">
        <v>10.5</v>
      </c>
      <c r="C964" s="388">
        <v>7</v>
      </c>
      <c r="D964">
        <v>11</v>
      </c>
      <c r="N964">
        <f t="shared" si="14"/>
        <v>11</v>
      </c>
    </row>
    <row r="965" spans="1:14" x14ac:dyDescent="0.3">
      <c r="A965" s="388" t="s">
        <v>4256</v>
      </c>
      <c r="B965" s="394">
        <v>8.5</v>
      </c>
      <c r="C965" s="388">
        <v>11.5</v>
      </c>
      <c r="D965">
        <v>13</v>
      </c>
      <c r="N965">
        <f t="shared" ref="N965:N1028" si="15">MAX(B965:D965)</f>
        <v>13</v>
      </c>
    </row>
    <row r="966" spans="1:14" x14ac:dyDescent="0.3">
      <c r="A966" s="388" t="s">
        <v>4257</v>
      </c>
      <c r="B966" s="394">
        <v>10</v>
      </c>
      <c r="C966" s="388">
        <v>10.5</v>
      </c>
      <c r="D966">
        <v>7</v>
      </c>
      <c r="N966">
        <f t="shared" si="15"/>
        <v>10.5</v>
      </c>
    </row>
    <row r="967" spans="1:14" x14ac:dyDescent="0.3">
      <c r="A967" s="388" t="s">
        <v>4258</v>
      </c>
      <c r="B967" s="394">
        <v>1</v>
      </c>
      <c r="C967" s="388">
        <v>2</v>
      </c>
      <c r="D967">
        <v>2</v>
      </c>
      <c r="N967">
        <f t="shared" si="15"/>
        <v>2</v>
      </c>
    </row>
    <row r="968" spans="1:14" x14ac:dyDescent="0.3">
      <c r="A968" s="388" t="s">
        <v>4259</v>
      </c>
      <c r="B968" s="394">
        <v>31</v>
      </c>
      <c r="C968" s="388">
        <v>37</v>
      </c>
      <c r="D968">
        <v>28</v>
      </c>
      <c r="N968">
        <f t="shared" si="15"/>
        <v>37</v>
      </c>
    </row>
    <row r="969" spans="1:14" x14ac:dyDescent="0.3">
      <c r="A969" s="388" t="s">
        <v>4260</v>
      </c>
      <c r="B969" s="394">
        <v>10.5</v>
      </c>
      <c r="C969" s="388">
        <v>15.5</v>
      </c>
      <c r="D969">
        <v>13</v>
      </c>
      <c r="N969">
        <f t="shared" si="15"/>
        <v>15.5</v>
      </c>
    </row>
    <row r="970" spans="1:14" x14ac:dyDescent="0.3">
      <c r="A970" s="388" t="s">
        <v>4261</v>
      </c>
      <c r="B970" s="394">
        <v>31</v>
      </c>
      <c r="C970" s="388">
        <v>32.5</v>
      </c>
      <c r="D970">
        <v>37</v>
      </c>
      <c r="N970">
        <f t="shared" si="15"/>
        <v>37</v>
      </c>
    </row>
    <row r="971" spans="1:14" x14ac:dyDescent="0.3">
      <c r="A971" s="388" t="s">
        <v>4262</v>
      </c>
      <c r="B971" s="394">
        <v>4</v>
      </c>
      <c r="C971" s="388">
        <v>7</v>
      </c>
      <c r="D971">
        <v>7.5</v>
      </c>
      <c r="N971">
        <f t="shared" si="15"/>
        <v>7.5</v>
      </c>
    </row>
    <row r="972" spans="1:14" x14ac:dyDescent="0.3">
      <c r="A972" s="388" t="s">
        <v>4263</v>
      </c>
      <c r="B972" s="394">
        <v>35.5</v>
      </c>
      <c r="C972" s="388">
        <v>40</v>
      </c>
      <c r="D972">
        <v>35.5</v>
      </c>
      <c r="N972">
        <f t="shared" si="15"/>
        <v>40</v>
      </c>
    </row>
    <row r="973" spans="1:14" x14ac:dyDescent="0.3">
      <c r="A973" s="388" t="s">
        <v>4264</v>
      </c>
      <c r="B973" s="394">
        <v>5.5</v>
      </c>
      <c r="C973" s="388">
        <v>6</v>
      </c>
      <c r="D973">
        <v>5</v>
      </c>
      <c r="N973">
        <f t="shared" si="15"/>
        <v>6</v>
      </c>
    </row>
    <row r="974" spans="1:14" x14ac:dyDescent="0.3">
      <c r="A974" s="388" t="s">
        <v>4265</v>
      </c>
      <c r="B974" s="394">
        <v>4</v>
      </c>
      <c r="C974" s="388">
        <v>3.5</v>
      </c>
      <c r="D974">
        <v>4</v>
      </c>
      <c r="N974">
        <f t="shared" si="15"/>
        <v>4</v>
      </c>
    </row>
    <row r="975" spans="1:14" x14ac:dyDescent="0.3">
      <c r="A975" s="388" t="s">
        <v>4266</v>
      </c>
      <c r="B975" s="394">
        <v>20</v>
      </c>
      <c r="C975" s="388">
        <v>20</v>
      </c>
      <c r="D975">
        <v>18.5</v>
      </c>
      <c r="N975">
        <f t="shared" si="15"/>
        <v>20</v>
      </c>
    </row>
    <row r="976" spans="1:14" x14ac:dyDescent="0.3">
      <c r="A976" s="388" t="s">
        <v>4267</v>
      </c>
      <c r="B976" s="394">
        <v>65</v>
      </c>
      <c r="C976" s="388">
        <v>63.5</v>
      </c>
      <c r="D976">
        <v>63</v>
      </c>
      <c r="N976">
        <f t="shared" si="15"/>
        <v>65</v>
      </c>
    </row>
    <row r="977" spans="1:14" s="338" customFormat="1" x14ac:dyDescent="0.3">
      <c r="A977" s="392" t="s">
        <v>4268</v>
      </c>
      <c r="B977" s="395">
        <v>17</v>
      </c>
      <c r="C977" s="392">
        <v>18.5</v>
      </c>
      <c r="D977" s="338">
        <v>18</v>
      </c>
      <c r="N977">
        <f t="shared" si="15"/>
        <v>18.5</v>
      </c>
    </row>
    <row r="978" spans="1:14" x14ac:dyDescent="0.3">
      <c r="A978" s="388" t="s">
        <v>4269</v>
      </c>
      <c r="B978" s="394">
        <v>2</v>
      </c>
      <c r="C978" s="388">
        <v>1.5</v>
      </c>
      <c r="D978">
        <v>1.5</v>
      </c>
      <c r="N978">
        <f t="shared" si="15"/>
        <v>2</v>
      </c>
    </row>
    <row r="979" spans="1:14" x14ac:dyDescent="0.3">
      <c r="A979" s="388" t="s">
        <v>4270</v>
      </c>
      <c r="B979" s="394">
        <v>0.5</v>
      </c>
      <c r="C979" s="388">
        <v>0.5</v>
      </c>
      <c r="D979">
        <v>0.5</v>
      </c>
      <c r="N979">
        <f t="shared" si="15"/>
        <v>0.5</v>
      </c>
    </row>
    <row r="980" spans="1:14" x14ac:dyDescent="0.3">
      <c r="A980" s="388" t="s">
        <v>4271</v>
      </c>
      <c r="B980" s="394">
        <v>1</v>
      </c>
      <c r="C980" s="388">
        <v>1.5</v>
      </c>
      <c r="D980">
        <v>1</v>
      </c>
      <c r="N980">
        <f t="shared" si="15"/>
        <v>1.5</v>
      </c>
    </row>
    <row r="981" spans="1:14" x14ac:dyDescent="0.3">
      <c r="A981" s="388" t="s">
        <v>4272</v>
      </c>
      <c r="B981" s="394">
        <v>11.5</v>
      </c>
      <c r="C981" s="388">
        <v>13</v>
      </c>
      <c r="D981">
        <v>12</v>
      </c>
      <c r="N981">
        <f t="shared" si="15"/>
        <v>13</v>
      </c>
    </row>
    <row r="982" spans="1:14" x14ac:dyDescent="0.3">
      <c r="A982" s="388" t="s">
        <v>4273</v>
      </c>
      <c r="B982" s="394">
        <v>0</v>
      </c>
      <c r="C982" s="388">
        <v>0</v>
      </c>
      <c r="D982">
        <v>0.5</v>
      </c>
      <c r="N982">
        <f t="shared" si="15"/>
        <v>0.5</v>
      </c>
    </row>
    <row r="983" spans="1:14" x14ac:dyDescent="0.3">
      <c r="A983" s="388" t="s">
        <v>4274</v>
      </c>
      <c r="B983" s="394">
        <v>0</v>
      </c>
      <c r="C983" s="388">
        <v>0</v>
      </c>
      <c r="D983">
        <v>0</v>
      </c>
      <c r="N983">
        <f t="shared" si="15"/>
        <v>0</v>
      </c>
    </row>
    <row r="984" spans="1:14" x14ac:dyDescent="0.3">
      <c r="A984" s="388" t="s">
        <v>4275</v>
      </c>
      <c r="B984" s="394">
        <v>8</v>
      </c>
      <c r="C984" s="388">
        <v>9.5</v>
      </c>
      <c r="D984">
        <v>8.5</v>
      </c>
      <c r="N984">
        <f t="shared" si="15"/>
        <v>9.5</v>
      </c>
    </row>
    <row r="985" spans="1:14" x14ac:dyDescent="0.3">
      <c r="A985" s="388" t="s">
        <v>4276</v>
      </c>
      <c r="B985" s="394">
        <v>22</v>
      </c>
      <c r="C985" s="388">
        <v>24.5</v>
      </c>
      <c r="D985">
        <v>20.5</v>
      </c>
      <c r="N985">
        <f t="shared" si="15"/>
        <v>24.5</v>
      </c>
    </row>
    <row r="986" spans="1:14" x14ac:dyDescent="0.3">
      <c r="A986" s="388" t="s">
        <v>4277</v>
      </c>
      <c r="B986" s="394">
        <v>13.5</v>
      </c>
      <c r="C986" s="388">
        <v>15.5</v>
      </c>
      <c r="D986">
        <v>12.5</v>
      </c>
      <c r="N986">
        <f t="shared" si="15"/>
        <v>15.5</v>
      </c>
    </row>
    <row r="987" spans="1:14" x14ac:dyDescent="0.3">
      <c r="A987" s="388" t="s">
        <v>4278</v>
      </c>
      <c r="B987" s="394">
        <v>17.5</v>
      </c>
      <c r="C987" s="388">
        <v>21.5</v>
      </c>
      <c r="D987">
        <v>19.5</v>
      </c>
      <c r="N987">
        <f t="shared" si="15"/>
        <v>21.5</v>
      </c>
    </row>
    <row r="988" spans="1:14" x14ac:dyDescent="0.3">
      <c r="A988" s="388" t="s">
        <v>4279</v>
      </c>
      <c r="B988" s="394">
        <v>25.5</v>
      </c>
      <c r="C988" s="388">
        <v>26</v>
      </c>
      <c r="D988">
        <v>28</v>
      </c>
      <c r="N988">
        <f t="shared" si="15"/>
        <v>28</v>
      </c>
    </row>
    <row r="989" spans="1:14" x14ac:dyDescent="0.3">
      <c r="A989" s="388" t="s">
        <v>4280</v>
      </c>
      <c r="B989" s="394">
        <v>8.5</v>
      </c>
      <c r="C989" s="388">
        <v>7.5</v>
      </c>
      <c r="D989">
        <v>8</v>
      </c>
      <c r="N989">
        <f t="shared" si="15"/>
        <v>8.5</v>
      </c>
    </row>
    <row r="990" spans="1:14" x14ac:dyDescent="0.3">
      <c r="A990" s="388" t="s">
        <v>4281</v>
      </c>
      <c r="B990" s="394">
        <v>15</v>
      </c>
      <c r="C990" s="388">
        <v>16</v>
      </c>
      <c r="D990">
        <v>15.5</v>
      </c>
      <c r="N990">
        <f t="shared" si="15"/>
        <v>16</v>
      </c>
    </row>
    <row r="991" spans="1:14" x14ac:dyDescent="0.3">
      <c r="A991" s="388" t="s">
        <v>4282</v>
      </c>
      <c r="B991" s="394">
        <v>1.5</v>
      </c>
      <c r="C991" s="388">
        <v>1.5</v>
      </c>
      <c r="D991">
        <v>1</v>
      </c>
      <c r="N991">
        <f t="shared" si="15"/>
        <v>1.5</v>
      </c>
    </row>
    <row r="992" spans="1:14" x14ac:dyDescent="0.3">
      <c r="A992" s="388" t="s">
        <v>4283</v>
      </c>
      <c r="B992" s="394">
        <v>19</v>
      </c>
      <c r="C992" s="388">
        <v>20</v>
      </c>
      <c r="D992">
        <v>16.5</v>
      </c>
      <c r="N992">
        <f t="shared" si="15"/>
        <v>20</v>
      </c>
    </row>
    <row r="993" spans="1:14" x14ac:dyDescent="0.3">
      <c r="A993" s="388" t="s">
        <v>4284</v>
      </c>
      <c r="B993" s="394">
        <v>18</v>
      </c>
      <c r="C993" s="388">
        <v>21.5</v>
      </c>
      <c r="D993">
        <v>18.5</v>
      </c>
      <c r="N993">
        <f t="shared" si="15"/>
        <v>21.5</v>
      </c>
    </row>
    <row r="994" spans="1:14" x14ac:dyDescent="0.3">
      <c r="A994" s="388" t="s">
        <v>4285</v>
      </c>
      <c r="B994" s="394">
        <v>144.5</v>
      </c>
      <c r="C994" s="388">
        <v>141.5</v>
      </c>
      <c r="D994">
        <v>138.5</v>
      </c>
      <c r="N994">
        <f t="shared" si="15"/>
        <v>144.5</v>
      </c>
    </row>
    <row r="995" spans="1:14" x14ac:dyDescent="0.3">
      <c r="A995" s="388" t="s">
        <v>4286</v>
      </c>
      <c r="B995" s="394">
        <v>11</v>
      </c>
      <c r="C995" s="388">
        <v>11</v>
      </c>
      <c r="D995">
        <v>9</v>
      </c>
      <c r="N995">
        <f t="shared" si="15"/>
        <v>11</v>
      </c>
    </row>
    <row r="996" spans="1:14" x14ac:dyDescent="0.3">
      <c r="A996" s="388" t="s">
        <v>4287</v>
      </c>
      <c r="B996" s="394">
        <v>10</v>
      </c>
      <c r="C996" s="388">
        <v>13</v>
      </c>
      <c r="D996">
        <v>8</v>
      </c>
      <c r="N996">
        <f t="shared" si="15"/>
        <v>13</v>
      </c>
    </row>
    <row r="997" spans="1:14" x14ac:dyDescent="0.3">
      <c r="A997" s="388" t="s">
        <v>4288</v>
      </c>
      <c r="B997" s="394">
        <v>3.5</v>
      </c>
      <c r="C997" s="388">
        <v>5.5</v>
      </c>
      <c r="D997">
        <v>3</v>
      </c>
      <c r="N997">
        <f t="shared" si="15"/>
        <v>5.5</v>
      </c>
    </row>
    <row r="998" spans="1:14" x14ac:dyDescent="0.3">
      <c r="A998" s="388" t="s">
        <v>4289</v>
      </c>
      <c r="B998" s="394">
        <v>11</v>
      </c>
      <c r="C998" s="388">
        <v>10</v>
      </c>
      <c r="D998">
        <v>9.5</v>
      </c>
      <c r="N998">
        <f t="shared" si="15"/>
        <v>11</v>
      </c>
    </row>
    <row r="999" spans="1:14" x14ac:dyDescent="0.3">
      <c r="A999" s="388" t="s">
        <v>4290</v>
      </c>
      <c r="B999" s="394">
        <v>4.5</v>
      </c>
      <c r="C999" s="388">
        <v>5.5</v>
      </c>
      <c r="D999">
        <v>5</v>
      </c>
      <c r="N999">
        <f t="shared" si="15"/>
        <v>5.5</v>
      </c>
    </row>
    <row r="1000" spans="1:14" x14ac:dyDescent="0.3">
      <c r="A1000" s="388" t="s">
        <v>4291</v>
      </c>
      <c r="B1000" s="394">
        <v>1</v>
      </c>
      <c r="C1000" s="388">
        <v>1.5</v>
      </c>
      <c r="D1000">
        <v>1</v>
      </c>
      <c r="N1000">
        <f t="shared" si="15"/>
        <v>1.5</v>
      </c>
    </row>
    <row r="1001" spans="1:14" x14ac:dyDescent="0.3">
      <c r="A1001" s="388" t="s">
        <v>4292</v>
      </c>
      <c r="B1001" s="394">
        <v>2.5</v>
      </c>
      <c r="C1001" s="388">
        <v>3</v>
      </c>
      <c r="D1001">
        <v>2</v>
      </c>
      <c r="N1001">
        <f t="shared" si="15"/>
        <v>3</v>
      </c>
    </row>
    <row r="1002" spans="1:14" x14ac:dyDescent="0.3">
      <c r="A1002" s="388" t="s">
        <v>4293</v>
      </c>
      <c r="B1002" s="394">
        <v>1</v>
      </c>
      <c r="C1002" s="388">
        <v>1.5</v>
      </c>
      <c r="D1002">
        <v>1</v>
      </c>
      <c r="N1002">
        <f t="shared" si="15"/>
        <v>1.5</v>
      </c>
    </row>
    <row r="1003" spans="1:14" x14ac:dyDescent="0.3">
      <c r="A1003" s="388" t="s">
        <v>4294</v>
      </c>
      <c r="B1003" s="394">
        <v>0</v>
      </c>
      <c r="C1003" s="388">
        <v>0</v>
      </c>
      <c r="D1003">
        <v>0</v>
      </c>
      <c r="N1003">
        <f t="shared" si="15"/>
        <v>0</v>
      </c>
    </row>
    <row r="1004" spans="1:14" x14ac:dyDescent="0.3">
      <c r="A1004" s="388" t="s">
        <v>4295</v>
      </c>
      <c r="B1004" s="394">
        <v>3.5</v>
      </c>
      <c r="C1004" s="388">
        <v>2.5</v>
      </c>
      <c r="D1004">
        <v>3</v>
      </c>
      <c r="N1004">
        <f t="shared" si="15"/>
        <v>3.5</v>
      </c>
    </row>
    <row r="1005" spans="1:14" x14ac:dyDescent="0.3">
      <c r="A1005" s="388" t="s">
        <v>4296</v>
      </c>
      <c r="B1005" s="394">
        <v>1</v>
      </c>
      <c r="C1005" s="388">
        <v>1</v>
      </c>
      <c r="D1005">
        <v>0.5</v>
      </c>
      <c r="N1005">
        <f t="shared" si="15"/>
        <v>1</v>
      </c>
    </row>
    <row r="1006" spans="1:14" x14ac:dyDescent="0.3">
      <c r="A1006" s="388" t="s">
        <v>4297</v>
      </c>
      <c r="B1006" s="394">
        <v>25.5</v>
      </c>
      <c r="C1006" s="388">
        <v>26</v>
      </c>
      <c r="D1006">
        <v>24.5</v>
      </c>
      <c r="N1006">
        <f t="shared" si="15"/>
        <v>26</v>
      </c>
    </row>
    <row r="1007" spans="1:14" s="338" customFormat="1" x14ac:dyDescent="0.3">
      <c r="A1007" s="392" t="s">
        <v>4298</v>
      </c>
      <c r="B1007" s="395">
        <v>44.5</v>
      </c>
      <c r="C1007" s="392">
        <v>54.5</v>
      </c>
      <c r="D1007" s="338">
        <v>51</v>
      </c>
      <c r="N1007">
        <f t="shared" si="15"/>
        <v>54.5</v>
      </c>
    </row>
    <row r="1008" spans="1:14" x14ac:dyDescent="0.3">
      <c r="A1008" s="388" t="s">
        <v>4299</v>
      </c>
      <c r="B1008" s="394">
        <v>1</v>
      </c>
      <c r="C1008" s="388">
        <v>1</v>
      </c>
      <c r="D1008">
        <v>2</v>
      </c>
      <c r="N1008">
        <f t="shared" si="15"/>
        <v>2</v>
      </c>
    </row>
    <row r="1009" spans="1:14" x14ac:dyDescent="0.3">
      <c r="A1009" s="388" t="s">
        <v>4300</v>
      </c>
      <c r="B1009" s="394">
        <v>1</v>
      </c>
      <c r="C1009" s="388">
        <v>1.5</v>
      </c>
      <c r="D1009">
        <v>1</v>
      </c>
      <c r="N1009">
        <f t="shared" si="15"/>
        <v>1.5</v>
      </c>
    </row>
    <row r="1010" spans="1:14" x14ac:dyDescent="0.3">
      <c r="A1010" s="388" t="s">
        <v>4301</v>
      </c>
      <c r="B1010" s="394">
        <v>0</v>
      </c>
      <c r="C1010" s="388">
        <v>0.5</v>
      </c>
      <c r="D1010">
        <v>0</v>
      </c>
      <c r="N1010">
        <f t="shared" si="15"/>
        <v>0.5</v>
      </c>
    </row>
    <row r="1011" spans="1:14" x14ac:dyDescent="0.3">
      <c r="A1011" s="388" t="s">
        <v>4302</v>
      </c>
      <c r="B1011" s="394">
        <v>6</v>
      </c>
      <c r="C1011" s="388">
        <v>9</v>
      </c>
      <c r="D1011">
        <v>5.5</v>
      </c>
      <c r="N1011">
        <f t="shared" si="15"/>
        <v>9</v>
      </c>
    </row>
    <row r="1012" spans="1:14" x14ac:dyDescent="0.3">
      <c r="A1012" s="388" t="s">
        <v>4303</v>
      </c>
      <c r="B1012" s="394">
        <v>0</v>
      </c>
      <c r="C1012" s="388">
        <v>0</v>
      </c>
      <c r="D1012">
        <v>0</v>
      </c>
      <c r="N1012">
        <f t="shared" si="15"/>
        <v>0</v>
      </c>
    </row>
    <row r="1013" spans="1:14" x14ac:dyDescent="0.3">
      <c r="A1013" s="388" t="s">
        <v>4304</v>
      </c>
      <c r="B1013" s="394">
        <v>8</v>
      </c>
      <c r="C1013" s="388">
        <v>15</v>
      </c>
      <c r="D1013">
        <v>13.5</v>
      </c>
      <c r="N1013">
        <f t="shared" si="15"/>
        <v>15</v>
      </c>
    </row>
    <row r="1014" spans="1:14" x14ac:dyDescent="0.3">
      <c r="A1014" s="388" t="s">
        <v>4305</v>
      </c>
      <c r="B1014" s="394">
        <v>0.5</v>
      </c>
      <c r="C1014" s="388">
        <v>1.5</v>
      </c>
      <c r="D1014">
        <v>0.5</v>
      </c>
      <c r="N1014">
        <f t="shared" si="15"/>
        <v>1.5</v>
      </c>
    </row>
    <row r="1015" spans="1:14" x14ac:dyDescent="0.3">
      <c r="A1015" s="388" t="s">
        <v>4306</v>
      </c>
      <c r="B1015" s="394">
        <v>4.5</v>
      </c>
      <c r="C1015" s="388">
        <v>6.5</v>
      </c>
      <c r="D1015">
        <v>4</v>
      </c>
      <c r="N1015">
        <f t="shared" si="15"/>
        <v>6.5</v>
      </c>
    </row>
    <row r="1016" spans="1:14" x14ac:dyDescent="0.3">
      <c r="A1016" s="388" t="s">
        <v>4307</v>
      </c>
      <c r="B1016" s="394">
        <v>2</v>
      </c>
      <c r="C1016" s="388">
        <v>1.5</v>
      </c>
      <c r="D1016">
        <v>2.5</v>
      </c>
      <c r="N1016">
        <f t="shared" si="15"/>
        <v>2.5</v>
      </c>
    </row>
    <row r="1017" spans="1:14" x14ac:dyDescent="0.3">
      <c r="A1017" s="388" t="s">
        <v>4308</v>
      </c>
      <c r="B1017" s="394">
        <v>7.5</v>
      </c>
      <c r="C1017" s="388">
        <v>10.5</v>
      </c>
      <c r="D1017">
        <v>9</v>
      </c>
      <c r="N1017">
        <f t="shared" si="15"/>
        <v>10.5</v>
      </c>
    </row>
    <row r="1018" spans="1:14" x14ac:dyDescent="0.3">
      <c r="A1018" s="388" t="s">
        <v>4309</v>
      </c>
      <c r="B1018" s="394">
        <v>13.5</v>
      </c>
      <c r="C1018" s="388">
        <v>8</v>
      </c>
      <c r="D1018">
        <v>11</v>
      </c>
      <c r="N1018">
        <f t="shared" si="15"/>
        <v>13.5</v>
      </c>
    </row>
    <row r="1019" spans="1:14" x14ac:dyDescent="0.3">
      <c r="A1019" s="388" t="s">
        <v>4310</v>
      </c>
      <c r="B1019" s="394">
        <v>8</v>
      </c>
      <c r="C1019" s="388">
        <v>10</v>
      </c>
      <c r="D1019">
        <v>8.5</v>
      </c>
      <c r="N1019">
        <f t="shared" si="15"/>
        <v>10</v>
      </c>
    </row>
    <row r="1020" spans="1:14" x14ac:dyDescent="0.3">
      <c r="A1020" s="388" t="s">
        <v>4311</v>
      </c>
      <c r="B1020" s="394">
        <v>0</v>
      </c>
      <c r="C1020" s="388">
        <v>0</v>
      </c>
      <c r="D1020">
        <v>0</v>
      </c>
      <c r="N1020">
        <f t="shared" si="15"/>
        <v>0</v>
      </c>
    </row>
    <row r="1021" spans="1:14" x14ac:dyDescent="0.3">
      <c r="A1021" s="388" t="s">
        <v>4312</v>
      </c>
      <c r="B1021" s="394">
        <v>0</v>
      </c>
      <c r="C1021" s="388">
        <v>0</v>
      </c>
      <c r="D1021">
        <v>0</v>
      </c>
      <c r="N1021">
        <f t="shared" si="15"/>
        <v>0</v>
      </c>
    </row>
    <row r="1022" spans="1:14" x14ac:dyDescent="0.3">
      <c r="A1022" s="388" t="s">
        <v>4313</v>
      </c>
      <c r="B1022" s="394">
        <v>8</v>
      </c>
      <c r="C1022" s="388">
        <v>8.5</v>
      </c>
      <c r="D1022">
        <v>8</v>
      </c>
      <c r="N1022">
        <f t="shared" si="15"/>
        <v>8.5</v>
      </c>
    </row>
    <row r="1023" spans="1:14" x14ac:dyDescent="0.3">
      <c r="A1023" s="388" t="s">
        <v>4314</v>
      </c>
      <c r="B1023" s="394">
        <v>52</v>
      </c>
      <c r="C1023" s="388">
        <v>40.5</v>
      </c>
      <c r="D1023">
        <v>41</v>
      </c>
      <c r="N1023">
        <f t="shared" si="15"/>
        <v>52</v>
      </c>
    </row>
    <row r="1024" spans="1:14" x14ac:dyDescent="0.3">
      <c r="A1024" s="388" t="s">
        <v>4315</v>
      </c>
      <c r="B1024" s="394">
        <v>0</v>
      </c>
      <c r="C1024" s="388">
        <v>0</v>
      </c>
      <c r="D1024">
        <v>0</v>
      </c>
      <c r="N1024">
        <f t="shared" si="15"/>
        <v>0</v>
      </c>
    </row>
    <row r="1025" spans="1:14" x14ac:dyDescent="0.3">
      <c r="A1025" s="388" t="s">
        <v>4316</v>
      </c>
      <c r="B1025" s="394">
        <v>5</v>
      </c>
      <c r="C1025" s="388">
        <v>7</v>
      </c>
      <c r="D1025">
        <v>3</v>
      </c>
      <c r="N1025">
        <f t="shared" si="15"/>
        <v>7</v>
      </c>
    </row>
    <row r="1026" spans="1:14" x14ac:dyDescent="0.3">
      <c r="A1026" s="388" t="s">
        <v>4317</v>
      </c>
      <c r="B1026" s="394">
        <v>8</v>
      </c>
      <c r="C1026" s="388">
        <v>10</v>
      </c>
      <c r="D1026">
        <v>8.5</v>
      </c>
      <c r="N1026">
        <f t="shared" si="15"/>
        <v>10</v>
      </c>
    </row>
    <row r="1027" spans="1:14" x14ac:dyDescent="0.3">
      <c r="A1027" s="388" t="s">
        <v>4318</v>
      </c>
      <c r="B1027" s="394">
        <v>0</v>
      </c>
      <c r="C1027" s="388">
        <v>0</v>
      </c>
      <c r="D1027">
        <v>0</v>
      </c>
      <c r="N1027">
        <f t="shared" si="15"/>
        <v>0</v>
      </c>
    </row>
    <row r="1028" spans="1:14" x14ac:dyDescent="0.3">
      <c r="A1028" s="388" t="s">
        <v>4319</v>
      </c>
      <c r="B1028" s="394">
        <v>0</v>
      </c>
      <c r="C1028" s="388">
        <v>0</v>
      </c>
      <c r="D1028">
        <v>0</v>
      </c>
      <c r="N1028">
        <f t="shared" si="15"/>
        <v>0</v>
      </c>
    </row>
    <row r="1029" spans="1:14" x14ac:dyDescent="0.3">
      <c r="A1029" s="388" t="s">
        <v>4320</v>
      </c>
      <c r="B1029" s="394">
        <v>0</v>
      </c>
      <c r="C1029" s="388">
        <v>0</v>
      </c>
      <c r="D1029">
        <v>0</v>
      </c>
      <c r="N1029">
        <f t="shared" ref="N1029:N1092" si="16">MAX(B1029:D1029)</f>
        <v>0</v>
      </c>
    </row>
    <row r="1030" spans="1:14" x14ac:dyDescent="0.3">
      <c r="A1030" s="388" t="s">
        <v>4321</v>
      </c>
      <c r="B1030" s="394">
        <v>6</v>
      </c>
      <c r="C1030" s="388">
        <v>8.5</v>
      </c>
      <c r="D1030">
        <v>6.5</v>
      </c>
      <c r="N1030">
        <f t="shared" si="16"/>
        <v>8.5</v>
      </c>
    </row>
    <row r="1031" spans="1:14" x14ac:dyDescent="0.3">
      <c r="A1031" s="388" t="s">
        <v>4322</v>
      </c>
      <c r="B1031" s="394">
        <v>0.5</v>
      </c>
      <c r="C1031" s="388">
        <v>1</v>
      </c>
      <c r="D1031">
        <v>0.5</v>
      </c>
      <c r="N1031">
        <f t="shared" si="16"/>
        <v>1</v>
      </c>
    </row>
    <row r="1032" spans="1:14" x14ac:dyDescent="0.3">
      <c r="A1032" s="388" t="s">
        <v>4323</v>
      </c>
      <c r="B1032" s="394">
        <v>4</v>
      </c>
      <c r="C1032" s="388">
        <v>5</v>
      </c>
      <c r="D1032">
        <v>5</v>
      </c>
      <c r="N1032">
        <f t="shared" si="16"/>
        <v>5</v>
      </c>
    </row>
    <row r="1033" spans="1:14" x14ac:dyDescent="0.3">
      <c r="A1033" s="388" t="s">
        <v>4324</v>
      </c>
      <c r="B1033" s="394">
        <v>7.5</v>
      </c>
      <c r="C1033" s="388">
        <v>6.5</v>
      </c>
      <c r="D1033">
        <v>6</v>
      </c>
      <c r="N1033">
        <f t="shared" si="16"/>
        <v>7.5</v>
      </c>
    </row>
    <row r="1034" spans="1:14" x14ac:dyDescent="0.3">
      <c r="A1034" s="388" t="s">
        <v>4325</v>
      </c>
      <c r="B1034" s="394">
        <v>3.5</v>
      </c>
      <c r="C1034" s="388">
        <v>6.5</v>
      </c>
      <c r="D1034">
        <v>6</v>
      </c>
      <c r="N1034">
        <f t="shared" si="16"/>
        <v>6.5</v>
      </c>
    </row>
    <row r="1035" spans="1:14" x14ac:dyDescent="0.3">
      <c r="A1035" s="388" t="s">
        <v>4326</v>
      </c>
      <c r="B1035" s="394">
        <v>0</v>
      </c>
      <c r="C1035" s="388">
        <v>0</v>
      </c>
      <c r="D1035">
        <v>0</v>
      </c>
      <c r="N1035">
        <f t="shared" si="16"/>
        <v>0</v>
      </c>
    </row>
    <row r="1036" spans="1:14" x14ac:dyDescent="0.3">
      <c r="A1036" s="388" t="s">
        <v>4327</v>
      </c>
      <c r="B1036" s="394">
        <v>4.5</v>
      </c>
      <c r="C1036" s="388">
        <v>3</v>
      </c>
      <c r="D1036">
        <v>6</v>
      </c>
      <c r="N1036">
        <f t="shared" si="16"/>
        <v>6</v>
      </c>
    </row>
    <row r="1037" spans="1:14" x14ac:dyDescent="0.3">
      <c r="A1037" s="388" t="s">
        <v>4328</v>
      </c>
      <c r="B1037" s="394">
        <v>3</v>
      </c>
      <c r="C1037" s="388">
        <v>4.5</v>
      </c>
      <c r="D1037">
        <v>2.5</v>
      </c>
      <c r="N1037">
        <f t="shared" si="16"/>
        <v>4.5</v>
      </c>
    </row>
    <row r="1038" spans="1:14" s="338" customFormat="1" x14ac:dyDescent="0.3">
      <c r="A1038" s="392" t="s">
        <v>4329</v>
      </c>
      <c r="B1038" s="395">
        <v>0.5</v>
      </c>
      <c r="C1038" s="392">
        <v>0.5</v>
      </c>
      <c r="D1038" s="338">
        <v>0.5</v>
      </c>
      <c r="N1038">
        <f t="shared" si="16"/>
        <v>0.5</v>
      </c>
    </row>
    <row r="1039" spans="1:14" x14ac:dyDescent="0.3">
      <c r="A1039" s="388" t="s">
        <v>4330</v>
      </c>
      <c r="B1039" s="394">
        <v>0.5</v>
      </c>
      <c r="C1039" s="388">
        <v>1.5</v>
      </c>
      <c r="D1039">
        <v>0.5</v>
      </c>
      <c r="N1039">
        <f t="shared" si="16"/>
        <v>1.5</v>
      </c>
    </row>
    <row r="1040" spans="1:14" x14ac:dyDescent="0.3">
      <c r="A1040" s="388" t="s">
        <v>4331</v>
      </c>
      <c r="B1040" s="394">
        <v>16.5</v>
      </c>
      <c r="C1040" s="388">
        <v>9.5</v>
      </c>
      <c r="D1040">
        <v>16</v>
      </c>
      <c r="N1040">
        <f t="shared" si="16"/>
        <v>16.5</v>
      </c>
    </row>
    <row r="1041" spans="1:14" x14ac:dyDescent="0.3">
      <c r="A1041" s="388" t="s">
        <v>4332</v>
      </c>
      <c r="B1041" s="394">
        <v>11.5</v>
      </c>
      <c r="C1041" s="388">
        <v>6.5</v>
      </c>
      <c r="D1041">
        <v>15</v>
      </c>
      <c r="N1041">
        <f t="shared" si="16"/>
        <v>15</v>
      </c>
    </row>
    <row r="1042" spans="1:14" x14ac:dyDescent="0.3">
      <c r="A1042" s="388" t="s">
        <v>4333</v>
      </c>
      <c r="B1042" s="394">
        <v>0</v>
      </c>
      <c r="C1042" s="388">
        <v>0</v>
      </c>
      <c r="D1042">
        <v>0</v>
      </c>
      <c r="N1042">
        <f t="shared" si="16"/>
        <v>0</v>
      </c>
    </row>
    <row r="1043" spans="1:14" x14ac:dyDescent="0.3">
      <c r="A1043" s="388" t="s">
        <v>4334</v>
      </c>
      <c r="B1043" s="394">
        <v>4</v>
      </c>
      <c r="C1043" s="388">
        <v>3.5</v>
      </c>
      <c r="D1043">
        <v>4.5</v>
      </c>
      <c r="N1043">
        <f t="shared" si="16"/>
        <v>4.5</v>
      </c>
    </row>
    <row r="1044" spans="1:14" x14ac:dyDescent="0.3">
      <c r="A1044" s="388" t="s">
        <v>4335</v>
      </c>
      <c r="B1044" s="394">
        <v>0</v>
      </c>
      <c r="C1044" s="388">
        <v>0</v>
      </c>
      <c r="D1044">
        <v>0</v>
      </c>
      <c r="N1044">
        <f t="shared" si="16"/>
        <v>0</v>
      </c>
    </row>
    <row r="1045" spans="1:14" x14ac:dyDescent="0.3">
      <c r="A1045" s="388" t="s">
        <v>4336</v>
      </c>
      <c r="B1045" s="394">
        <v>0</v>
      </c>
      <c r="C1045" s="388">
        <v>0.5</v>
      </c>
      <c r="D1045">
        <v>0.5</v>
      </c>
      <c r="N1045">
        <f t="shared" si="16"/>
        <v>0.5</v>
      </c>
    </row>
    <row r="1046" spans="1:14" x14ac:dyDescent="0.3">
      <c r="A1046" s="388" t="s">
        <v>4337</v>
      </c>
      <c r="B1046" s="394">
        <v>0</v>
      </c>
      <c r="C1046" s="388">
        <v>0</v>
      </c>
      <c r="D1046">
        <v>0</v>
      </c>
      <c r="N1046">
        <f t="shared" si="16"/>
        <v>0</v>
      </c>
    </row>
    <row r="1047" spans="1:14" x14ac:dyDescent="0.3">
      <c r="A1047" s="388" t="s">
        <v>4338</v>
      </c>
      <c r="B1047" s="394">
        <v>0</v>
      </c>
      <c r="C1047" s="388">
        <v>0</v>
      </c>
      <c r="D1047">
        <v>0</v>
      </c>
      <c r="N1047">
        <f t="shared" si="16"/>
        <v>0</v>
      </c>
    </row>
    <row r="1048" spans="1:14" x14ac:dyDescent="0.3">
      <c r="A1048" s="388" t="s">
        <v>4339</v>
      </c>
      <c r="B1048" s="394">
        <v>29</v>
      </c>
      <c r="C1048" s="388">
        <v>30</v>
      </c>
      <c r="D1048">
        <v>26.5</v>
      </c>
      <c r="N1048">
        <f t="shared" si="16"/>
        <v>30</v>
      </c>
    </row>
    <row r="1049" spans="1:14" x14ac:dyDescent="0.3">
      <c r="A1049" s="388" t="s">
        <v>4340</v>
      </c>
      <c r="B1049" s="394">
        <v>17.5</v>
      </c>
      <c r="C1049" s="388">
        <v>16</v>
      </c>
      <c r="D1049">
        <v>17.5</v>
      </c>
      <c r="N1049">
        <f t="shared" si="16"/>
        <v>17.5</v>
      </c>
    </row>
    <row r="1050" spans="1:14" x14ac:dyDescent="0.3">
      <c r="A1050" s="388" t="s">
        <v>4341</v>
      </c>
      <c r="B1050" s="394">
        <v>0</v>
      </c>
      <c r="C1050" s="388">
        <v>0</v>
      </c>
      <c r="D1050">
        <v>0</v>
      </c>
      <c r="N1050">
        <f t="shared" si="16"/>
        <v>0</v>
      </c>
    </row>
    <row r="1051" spans="1:14" x14ac:dyDescent="0.3">
      <c r="A1051" s="388" t="s">
        <v>4342</v>
      </c>
      <c r="B1051" s="394">
        <v>0</v>
      </c>
      <c r="C1051" s="388">
        <v>0</v>
      </c>
      <c r="N1051">
        <f t="shared" si="16"/>
        <v>0</v>
      </c>
    </row>
    <row r="1052" spans="1:14" x14ac:dyDescent="0.3">
      <c r="A1052" s="388" t="s">
        <v>4343</v>
      </c>
      <c r="B1052" s="394">
        <v>8</v>
      </c>
      <c r="C1052" s="388">
        <v>6.5</v>
      </c>
      <c r="D1052">
        <v>7.5</v>
      </c>
      <c r="N1052">
        <f t="shared" si="16"/>
        <v>8</v>
      </c>
    </row>
    <row r="1053" spans="1:14" x14ac:dyDescent="0.3">
      <c r="A1053" s="388" t="s">
        <v>4344</v>
      </c>
      <c r="B1053" s="394">
        <v>3.5</v>
      </c>
      <c r="C1053" s="388">
        <v>4.5</v>
      </c>
      <c r="D1053">
        <v>3.5</v>
      </c>
      <c r="N1053">
        <f t="shared" si="16"/>
        <v>4.5</v>
      </c>
    </row>
    <row r="1054" spans="1:14" x14ac:dyDescent="0.3">
      <c r="A1054" s="388" t="s">
        <v>4345</v>
      </c>
      <c r="B1054" s="394">
        <v>7</v>
      </c>
      <c r="C1054" s="388">
        <v>7</v>
      </c>
      <c r="D1054">
        <v>6</v>
      </c>
      <c r="N1054">
        <f t="shared" si="16"/>
        <v>7</v>
      </c>
    </row>
    <row r="1055" spans="1:14" x14ac:dyDescent="0.3">
      <c r="A1055" s="388" t="s">
        <v>4346</v>
      </c>
      <c r="B1055" s="394">
        <v>0</v>
      </c>
      <c r="C1055" s="388">
        <v>0</v>
      </c>
      <c r="D1055">
        <v>0</v>
      </c>
      <c r="N1055">
        <f t="shared" si="16"/>
        <v>0</v>
      </c>
    </row>
    <row r="1056" spans="1:14" x14ac:dyDescent="0.3">
      <c r="A1056" s="388" t="s">
        <v>4347</v>
      </c>
      <c r="B1056" s="394">
        <v>0.5</v>
      </c>
      <c r="C1056" s="388">
        <v>0</v>
      </c>
      <c r="D1056">
        <v>0.5</v>
      </c>
      <c r="N1056">
        <f t="shared" si="16"/>
        <v>0.5</v>
      </c>
    </row>
    <row r="1057" spans="1:14" x14ac:dyDescent="0.3">
      <c r="A1057" s="388" t="s">
        <v>4348</v>
      </c>
      <c r="B1057" s="394">
        <v>5.5</v>
      </c>
      <c r="C1057" s="388">
        <v>4</v>
      </c>
      <c r="D1057">
        <v>7.5</v>
      </c>
      <c r="N1057">
        <f t="shared" si="16"/>
        <v>7.5</v>
      </c>
    </row>
    <row r="1058" spans="1:14" x14ac:dyDescent="0.3">
      <c r="A1058" s="388" t="s">
        <v>4349</v>
      </c>
      <c r="B1058" s="394">
        <v>30.5</v>
      </c>
      <c r="C1058" s="388">
        <v>39</v>
      </c>
      <c r="D1058">
        <v>40.1</v>
      </c>
      <c r="N1058">
        <f t="shared" si="16"/>
        <v>40.1</v>
      </c>
    </row>
    <row r="1059" spans="1:14" x14ac:dyDescent="0.3">
      <c r="A1059" s="388" t="s">
        <v>4350</v>
      </c>
      <c r="B1059" s="394">
        <v>19</v>
      </c>
      <c r="C1059" s="388">
        <v>12.5</v>
      </c>
      <c r="D1059">
        <v>18.5</v>
      </c>
      <c r="N1059">
        <f t="shared" si="16"/>
        <v>19</v>
      </c>
    </row>
    <row r="1060" spans="1:14" x14ac:dyDescent="0.3">
      <c r="A1060" s="388" t="s">
        <v>4351</v>
      </c>
      <c r="B1060" s="394">
        <v>10.5</v>
      </c>
      <c r="C1060" s="388">
        <v>16.5</v>
      </c>
      <c r="D1060">
        <v>14</v>
      </c>
      <c r="N1060">
        <f t="shared" si="16"/>
        <v>16.5</v>
      </c>
    </row>
    <row r="1061" spans="1:14" x14ac:dyDescent="0.3">
      <c r="A1061" s="388" t="s">
        <v>4352</v>
      </c>
      <c r="B1061" s="394">
        <v>8</v>
      </c>
      <c r="C1061" s="388">
        <v>6</v>
      </c>
      <c r="D1061">
        <v>10.5</v>
      </c>
      <c r="N1061">
        <f t="shared" si="16"/>
        <v>10.5</v>
      </c>
    </row>
    <row r="1062" spans="1:14" x14ac:dyDescent="0.3">
      <c r="A1062" s="388" t="s">
        <v>4353</v>
      </c>
      <c r="B1062" s="394">
        <v>0</v>
      </c>
      <c r="C1062" s="388">
        <v>1.5</v>
      </c>
      <c r="D1062">
        <v>0.5</v>
      </c>
      <c r="N1062">
        <f t="shared" si="16"/>
        <v>1.5</v>
      </c>
    </row>
    <row r="1063" spans="1:14" x14ac:dyDescent="0.3">
      <c r="A1063" s="388" t="s">
        <v>4354</v>
      </c>
      <c r="B1063" s="394">
        <v>10</v>
      </c>
      <c r="C1063" s="388">
        <v>10.5</v>
      </c>
      <c r="D1063">
        <v>11</v>
      </c>
      <c r="N1063">
        <f t="shared" si="16"/>
        <v>11</v>
      </c>
    </row>
    <row r="1064" spans="1:14" x14ac:dyDescent="0.3">
      <c r="A1064" s="388" t="s">
        <v>4355</v>
      </c>
      <c r="B1064" s="394">
        <v>52</v>
      </c>
      <c r="C1064" s="388">
        <v>50.5</v>
      </c>
      <c r="D1064">
        <v>45</v>
      </c>
      <c r="N1064">
        <f t="shared" si="16"/>
        <v>52</v>
      </c>
    </row>
    <row r="1065" spans="1:14" x14ac:dyDescent="0.3">
      <c r="A1065" s="388" t="s">
        <v>4356</v>
      </c>
      <c r="B1065" s="394">
        <v>5</v>
      </c>
      <c r="C1065" s="388">
        <v>5.5</v>
      </c>
      <c r="D1065">
        <v>5.5</v>
      </c>
      <c r="N1065">
        <f t="shared" si="16"/>
        <v>5.5</v>
      </c>
    </row>
    <row r="1066" spans="1:14" x14ac:dyDescent="0.3">
      <c r="A1066" s="388" t="s">
        <v>4357</v>
      </c>
      <c r="B1066" s="394">
        <v>1.5</v>
      </c>
      <c r="C1066" s="388">
        <v>1.5</v>
      </c>
      <c r="D1066">
        <v>1</v>
      </c>
      <c r="N1066">
        <f t="shared" si="16"/>
        <v>1.5</v>
      </c>
    </row>
    <row r="1067" spans="1:14" x14ac:dyDescent="0.3">
      <c r="A1067" s="388" t="s">
        <v>4358</v>
      </c>
      <c r="B1067" s="394">
        <v>1</v>
      </c>
      <c r="C1067" s="388">
        <v>0.5</v>
      </c>
      <c r="D1067">
        <v>1.5</v>
      </c>
      <c r="N1067">
        <f t="shared" si="16"/>
        <v>1.5</v>
      </c>
    </row>
    <row r="1068" spans="1:14" s="338" customFormat="1" x14ac:dyDescent="0.3">
      <c r="A1068" s="392" t="s">
        <v>4359</v>
      </c>
      <c r="B1068" s="395">
        <v>0.5</v>
      </c>
      <c r="C1068" s="392">
        <v>0.5</v>
      </c>
      <c r="D1068" s="338">
        <v>0.5</v>
      </c>
      <c r="N1068">
        <f t="shared" si="16"/>
        <v>0.5</v>
      </c>
    </row>
    <row r="1069" spans="1:14" x14ac:dyDescent="0.3">
      <c r="A1069" s="388" t="s">
        <v>4360</v>
      </c>
      <c r="B1069" s="394">
        <v>1.5</v>
      </c>
      <c r="C1069" s="388">
        <v>1.5</v>
      </c>
      <c r="D1069">
        <v>3</v>
      </c>
      <c r="N1069">
        <f t="shared" si="16"/>
        <v>3</v>
      </c>
    </row>
    <row r="1070" spans="1:14" x14ac:dyDescent="0.3">
      <c r="A1070" s="388" t="s">
        <v>4361</v>
      </c>
      <c r="B1070" s="394">
        <v>1.5</v>
      </c>
      <c r="C1070" s="388">
        <v>2.5</v>
      </c>
      <c r="D1070">
        <v>2</v>
      </c>
      <c r="N1070">
        <f t="shared" si="16"/>
        <v>2.5</v>
      </c>
    </row>
    <row r="1071" spans="1:14" x14ac:dyDescent="0.3">
      <c r="A1071" s="388" t="s">
        <v>4362</v>
      </c>
      <c r="B1071" s="394">
        <v>38</v>
      </c>
      <c r="C1071" s="388">
        <v>31</v>
      </c>
      <c r="D1071">
        <v>34.5</v>
      </c>
      <c r="N1071">
        <f t="shared" si="16"/>
        <v>38</v>
      </c>
    </row>
    <row r="1072" spans="1:14" x14ac:dyDescent="0.3">
      <c r="A1072" s="388" t="s">
        <v>4363</v>
      </c>
      <c r="B1072" s="394">
        <v>1</v>
      </c>
      <c r="C1072" s="388">
        <v>1</v>
      </c>
      <c r="D1072">
        <v>1.5</v>
      </c>
      <c r="N1072">
        <f t="shared" si="16"/>
        <v>1.5</v>
      </c>
    </row>
    <row r="1073" spans="1:14" x14ac:dyDescent="0.3">
      <c r="A1073" s="388" t="s">
        <v>4364</v>
      </c>
      <c r="B1073" s="394">
        <v>31</v>
      </c>
      <c r="C1073" s="388">
        <v>26.5</v>
      </c>
      <c r="D1073">
        <v>37</v>
      </c>
      <c r="N1073">
        <f t="shared" si="16"/>
        <v>37</v>
      </c>
    </row>
    <row r="1074" spans="1:14" x14ac:dyDescent="0.3">
      <c r="A1074" s="388" t="s">
        <v>4365</v>
      </c>
      <c r="B1074" s="394">
        <v>0</v>
      </c>
      <c r="C1074" s="388">
        <v>0</v>
      </c>
      <c r="D1074">
        <v>0</v>
      </c>
      <c r="N1074">
        <f t="shared" si="16"/>
        <v>0</v>
      </c>
    </row>
    <row r="1075" spans="1:14" x14ac:dyDescent="0.3">
      <c r="A1075" s="388" t="s">
        <v>4366</v>
      </c>
      <c r="B1075" s="394">
        <v>6.5</v>
      </c>
      <c r="C1075" s="388">
        <v>7.5</v>
      </c>
      <c r="D1075">
        <v>6</v>
      </c>
      <c r="N1075">
        <f t="shared" si="16"/>
        <v>7.5</v>
      </c>
    </row>
    <row r="1076" spans="1:14" x14ac:dyDescent="0.3">
      <c r="A1076" s="388" t="s">
        <v>4367</v>
      </c>
      <c r="B1076" s="394">
        <v>4.5</v>
      </c>
      <c r="C1076" s="388">
        <v>6</v>
      </c>
      <c r="D1076">
        <v>5.5</v>
      </c>
      <c r="N1076">
        <f t="shared" si="16"/>
        <v>6</v>
      </c>
    </row>
    <row r="1077" spans="1:14" x14ac:dyDescent="0.3">
      <c r="A1077" s="388" t="s">
        <v>4368</v>
      </c>
      <c r="B1077" s="394">
        <v>0.5</v>
      </c>
      <c r="C1077" s="388">
        <v>0.5</v>
      </c>
      <c r="D1077">
        <v>0</v>
      </c>
      <c r="N1077">
        <f t="shared" si="16"/>
        <v>0.5</v>
      </c>
    </row>
    <row r="1078" spans="1:14" x14ac:dyDescent="0.3">
      <c r="A1078" s="388" t="s">
        <v>4369</v>
      </c>
      <c r="B1078" s="394">
        <v>5.5</v>
      </c>
      <c r="C1078" s="388">
        <v>5.5</v>
      </c>
      <c r="D1078">
        <v>6</v>
      </c>
      <c r="N1078">
        <f t="shared" si="16"/>
        <v>6</v>
      </c>
    </row>
    <row r="1079" spans="1:14" x14ac:dyDescent="0.3">
      <c r="A1079" s="388" t="s">
        <v>4370</v>
      </c>
      <c r="B1079" s="394">
        <v>8.5</v>
      </c>
      <c r="C1079" s="388">
        <v>8.5</v>
      </c>
      <c r="D1079">
        <v>9.5</v>
      </c>
      <c r="N1079">
        <f t="shared" si="16"/>
        <v>9.5</v>
      </c>
    </row>
    <row r="1080" spans="1:14" x14ac:dyDescent="0.3">
      <c r="A1080" s="388" t="s">
        <v>4371</v>
      </c>
      <c r="B1080" s="394">
        <v>0.5</v>
      </c>
      <c r="C1080" s="388">
        <v>0.5</v>
      </c>
      <c r="D1080">
        <v>0.5</v>
      </c>
      <c r="N1080">
        <f t="shared" si="16"/>
        <v>0.5</v>
      </c>
    </row>
    <row r="1081" spans="1:14" x14ac:dyDescent="0.3">
      <c r="A1081" s="388" t="s">
        <v>4372</v>
      </c>
      <c r="B1081" s="394">
        <v>2.5</v>
      </c>
      <c r="C1081" s="388">
        <v>2</v>
      </c>
      <c r="D1081">
        <v>2.5</v>
      </c>
      <c r="N1081">
        <f t="shared" si="16"/>
        <v>2.5</v>
      </c>
    </row>
    <row r="1082" spans="1:14" x14ac:dyDescent="0.3">
      <c r="A1082" s="388" t="s">
        <v>4373</v>
      </c>
      <c r="B1082" s="394">
        <v>0</v>
      </c>
      <c r="C1082" s="388">
        <v>0</v>
      </c>
      <c r="D1082">
        <v>0</v>
      </c>
      <c r="N1082">
        <f t="shared" si="16"/>
        <v>0</v>
      </c>
    </row>
    <row r="1083" spans="1:14" x14ac:dyDescent="0.3">
      <c r="A1083" s="388" t="s">
        <v>4374</v>
      </c>
      <c r="B1083" s="394">
        <v>7</v>
      </c>
      <c r="C1083" s="388">
        <v>1.9</v>
      </c>
      <c r="D1083">
        <v>2</v>
      </c>
      <c r="N1083">
        <f t="shared" si="16"/>
        <v>7</v>
      </c>
    </row>
    <row r="1084" spans="1:14" x14ac:dyDescent="0.3">
      <c r="A1084" s="388" t="s">
        <v>4375</v>
      </c>
      <c r="B1084" s="394">
        <v>0</v>
      </c>
      <c r="C1084" s="388">
        <v>0</v>
      </c>
      <c r="D1084">
        <v>0</v>
      </c>
      <c r="N1084">
        <f t="shared" si="16"/>
        <v>0</v>
      </c>
    </row>
    <row r="1085" spans="1:14" x14ac:dyDescent="0.3">
      <c r="A1085" s="388" t="s">
        <v>4376</v>
      </c>
      <c r="B1085" s="394">
        <v>36</v>
      </c>
      <c r="C1085" s="388">
        <v>32.5</v>
      </c>
      <c r="D1085">
        <v>28.5</v>
      </c>
      <c r="N1085">
        <f t="shared" si="16"/>
        <v>36</v>
      </c>
    </row>
    <row r="1086" spans="1:14" x14ac:dyDescent="0.3">
      <c r="A1086" s="388" t="s">
        <v>4377</v>
      </c>
      <c r="B1086" s="394">
        <v>21</v>
      </c>
      <c r="C1086" s="388">
        <v>19</v>
      </c>
      <c r="D1086">
        <v>23</v>
      </c>
      <c r="N1086">
        <f t="shared" si="16"/>
        <v>23</v>
      </c>
    </row>
    <row r="1087" spans="1:14" x14ac:dyDescent="0.3">
      <c r="A1087" s="388" t="s">
        <v>4378</v>
      </c>
      <c r="B1087" s="394">
        <v>3</v>
      </c>
      <c r="C1087" s="388">
        <v>4</v>
      </c>
      <c r="D1087">
        <v>2.5</v>
      </c>
      <c r="N1087">
        <f t="shared" si="16"/>
        <v>4</v>
      </c>
    </row>
    <row r="1088" spans="1:14" x14ac:dyDescent="0.3">
      <c r="A1088" s="388" t="s">
        <v>4379</v>
      </c>
      <c r="B1088" s="394">
        <v>4.5</v>
      </c>
      <c r="C1088" s="388">
        <v>8</v>
      </c>
      <c r="D1088">
        <v>3</v>
      </c>
      <c r="N1088">
        <f t="shared" si="16"/>
        <v>8</v>
      </c>
    </row>
    <row r="1089" spans="1:14" x14ac:dyDescent="0.3">
      <c r="A1089" s="388" t="s">
        <v>4380</v>
      </c>
      <c r="B1089" s="394">
        <v>0</v>
      </c>
      <c r="C1089" s="388">
        <v>0</v>
      </c>
      <c r="D1089">
        <v>0</v>
      </c>
      <c r="N1089">
        <f t="shared" si="16"/>
        <v>0</v>
      </c>
    </row>
    <row r="1090" spans="1:14" x14ac:dyDescent="0.3">
      <c r="A1090" s="388" t="s">
        <v>4381</v>
      </c>
      <c r="B1090" s="394">
        <v>4.5</v>
      </c>
      <c r="C1090" s="388">
        <v>6</v>
      </c>
      <c r="D1090">
        <v>3</v>
      </c>
      <c r="N1090">
        <f t="shared" si="16"/>
        <v>6</v>
      </c>
    </row>
    <row r="1091" spans="1:14" x14ac:dyDescent="0.3">
      <c r="A1091" s="388" t="s">
        <v>4382</v>
      </c>
      <c r="B1091" s="394">
        <v>0</v>
      </c>
      <c r="C1091" s="388">
        <v>0</v>
      </c>
      <c r="D1091">
        <v>0</v>
      </c>
      <c r="N1091">
        <f t="shared" si="16"/>
        <v>0</v>
      </c>
    </row>
    <row r="1092" spans="1:14" x14ac:dyDescent="0.3">
      <c r="A1092" s="388" t="s">
        <v>4383</v>
      </c>
      <c r="B1092" s="394">
        <v>4</v>
      </c>
      <c r="C1092" s="388">
        <v>1.5</v>
      </c>
      <c r="D1092">
        <v>11</v>
      </c>
      <c r="N1092">
        <f t="shared" si="16"/>
        <v>11</v>
      </c>
    </row>
    <row r="1093" spans="1:14" x14ac:dyDescent="0.3">
      <c r="A1093" s="388" t="s">
        <v>4384</v>
      </c>
      <c r="B1093" s="394">
        <v>0</v>
      </c>
      <c r="C1093" s="388">
        <v>0</v>
      </c>
      <c r="D1093">
        <v>0</v>
      </c>
      <c r="N1093">
        <f t="shared" ref="N1093:N1099" si="17">MAX(B1093:D1093)</f>
        <v>0</v>
      </c>
    </row>
    <row r="1094" spans="1:14" x14ac:dyDescent="0.3">
      <c r="A1094" s="388" t="s">
        <v>4385</v>
      </c>
      <c r="B1094" s="394">
        <v>0</v>
      </c>
      <c r="C1094" s="388">
        <v>0</v>
      </c>
      <c r="D1094">
        <v>0</v>
      </c>
      <c r="N1094">
        <f t="shared" si="17"/>
        <v>0</v>
      </c>
    </row>
    <row r="1095" spans="1:14" x14ac:dyDescent="0.3">
      <c r="A1095" s="388" t="s">
        <v>4386</v>
      </c>
      <c r="B1095" s="394">
        <v>0.5</v>
      </c>
      <c r="C1095" s="388">
        <v>0</v>
      </c>
      <c r="D1095">
        <v>0.4</v>
      </c>
      <c r="N1095">
        <f t="shared" si="17"/>
        <v>0.5</v>
      </c>
    </row>
    <row r="1096" spans="1:14" x14ac:dyDescent="0.3">
      <c r="A1096" s="388" t="s">
        <v>4387</v>
      </c>
      <c r="B1096" s="394">
        <v>0.5</v>
      </c>
      <c r="C1096" s="388">
        <v>0.5</v>
      </c>
      <c r="D1096">
        <v>1.5</v>
      </c>
      <c r="N1096">
        <f t="shared" si="17"/>
        <v>1.5</v>
      </c>
    </row>
    <row r="1097" spans="1:14" x14ac:dyDescent="0.3">
      <c r="A1097" s="388" t="s">
        <v>4388</v>
      </c>
      <c r="B1097" s="394">
        <v>2</v>
      </c>
      <c r="C1097" s="388">
        <v>2</v>
      </c>
      <c r="D1097">
        <v>2.5</v>
      </c>
      <c r="N1097">
        <f t="shared" si="17"/>
        <v>2.5</v>
      </c>
    </row>
    <row r="1098" spans="1:14" x14ac:dyDescent="0.3">
      <c r="A1098" s="388" t="s">
        <v>4389</v>
      </c>
      <c r="B1098" s="394">
        <v>0</v>
      </c>
      <c r="C1098" s="388">
        <v>0</v>
      </c>
      <c r="D1098">
        <v>0</v>
      </c>
      <c r="N1098">
        <f t="shared" si="17"/>
        <v>0</v>
      </c>
    </row>
    <row r="1099" spans="1:14" x14ac:dyDescent="0.3">
      <c r="A1099" s="388" t="s">
        <v>4390</v>
      </c>
      <c r="B1099" s="394">
        <v>2</v>
      </c>
      <c r="C1099" s="388">
        <v>2.5</v>
      </c>
      <c r="D1099">
        <v>3.5</v>
      </c>
      <c r="N1099">
        <f t="shared" si="17"/>
        <v>3.5</v>
      </c>
    </row>
    <row r="1101" spans="1:14" x14ac:dyDescent="0.3">
      <c r="C1101">
        <f>MAX(C4:C1099)</f>
        <v>158.5</v>
      </c>
    </row>
  </sheetData>
  <mergeCells count="4">
    <mergeCell ref="K2:M2"/>
    <mergeCell ref="A2:A3"/>
    <mergeCell ref="E2:G2"/>
    <mergeCell ref="H2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4CD6-9E9F-493D-B3CB-CCF1623DF914}">
  <sheetPr>
    <tabColor theme="1" tint="0.499984740745262"/>
  </sheetPr>
  <dimension ref="A1:AA1616"/>
  <sheetViews>
    <sheetView topLeftCell="A1608" workbookViewId="0">
      <selection activeCell="AD1619" sqref="AD1619"/>
    </sheetView>
  </sheetViews>
  <sheetFormatPr defaultRowHeight="14.4" x14ac:dyDescent="0.3"/>
  <cols>
    <col min="1" max="1" width="10.44140625" customWidth="1"/>
    <col min="2" max="2" width="3.6640625" customWidth="1"/>
    <col min="3" max="3" width="2.88671875" customWidth="1"/>
    <col min="4" max="4" width="3" customWidth="1"/>
    <col min="5" max="5" width="2.6640625" customWidth="1"/>
    <col min="6" max="8" width="0" hidden="1" customWidth="1"/>
    <col min="10" max="11" width="0" hidden="1" customWidth="1"/>
    <col min="13" max="14" width="0" hidden="1" customWidth="1"/>
    <col min="16" max="26" width="0" hidden="1" customWidth="1"/>
  </cols>
  <sheetData>
    <row r="1" spans="1:27" ht="30" customHeight="1" x14ac:dyDescent="0.3">
      <c r="A1" s="806" t="s">
        <v>1668</v>
      </c>
      <c r="B1" s="806" t="s">
        <v>1669</v>
      </c>
      <c r="C1" s="802"/>
      <c r="D1" s="802"/>
      <c r="E1" s="802"/>
      <c r="F1" s="802"/>
      <c r="G1" s="802"/>
      <c r="H1" s="803"/>
      <c r="I1" s="806" t="s">
        <v>1670</v>
      </c>
      <c r="J1" s="802"/>
      <c r="K1" s="803"/>
      <c r="L1" s="807"/>
      <c r="M1" s="808"/>
      <c r="N1" s="809"/>
      <c r="O1" s="806"/>
      <c r="P1" s="802"/>
      <c r="Q1" s="803"/>
      <c r="R1" s="806" t="s">
        <v>1672</v>
      </c>
      <c r="S1" s="802"/>
      <c r="T1" s="803"/>
      <c r="U1" s="806" t="s">
        <v>1673</v>
      </c>
      <c r="V1" s="802"/>
      <c r="W1" s="803"/>
      <c r="X1" s="806" t="s">
        <v>1674</v>
      </c>
      <c r="Y1" s="802"/>
      <c r="Z1" s="803"/>
    </row>
    <row r="2" spans="1:27" x14ac:dyDescent="0.3">
      <c r="A2" s="804"/>
      <c r="B2" s="810" t="s">
        <v>1675</v>
      </c>
      <c r="C2" s="802"/>
      <c r="D2" s="802"/>
      <c r="E2" s="803"/>
      <c r="F2" s="810" t="s">
        <v>1676</v>
      </c>
      <c r="G2" s="803"/>
      <c r="H2" s="343" t="s">
        <v>1677</v>
      </c>
      <c r="I2" s="343" t="s">
        <v>1675</v>
      </c>
      <c r="J2" s="343" t="s">
        <v>1676</v>
      </c>
      <c r="K2" s="343" t="s">
        <v>1677</v>
      </c>
      <c r="L2" s="344"/>
      <c r="M2" s="344"/>
      <c r="N2" s="344"/>
      <c r="O2" s="343"/>
      <c r="P2" s="343"/>
      <c r="Q2" s="343"/>
      <c r="R2" s="343" t="s">
        <v>1675</v>
      </c>
      <c r="S2" s="343" t="s">
        <v>1676</v>
      </c>
      <c r="T2" s="343" t="s">
        <v>1677</v>
      </c>
      <c r="U2" s="343" t="s">
        <v>1675</v>
      </c>
      <c r="V2" s="343" t="s">
        <v>1676</v>
      </c>
      <c r="W2" s="343" t="s">
        <v>1677</v>
      </c>
      <c r="X2" s="343" t="s">
        <v>1675</v>
      </c>
      <c r="Y2" s="343" t="s">
        <v>1676</v>
      </c>
      <c r="Z2" s="343" t="s">
        <v>1677</v>
      </c>
    </row>
    <row r="3" spans="1:27" ht="28.8" x14ac:dyDescent="0.3">
      <c r="A3" s="345" t="s">
        <v>1678</v>
      </c>
      <c r="B3" s="805"/>
      <c r="C3" s="802"/>
      <c r="D3" s="802"/>
      <c r="E3" s="803"/>
      <c r="F3" s="805">
        <v>10</v>
      </c>
      <c r="G3" s="803"/>
      <c r="H3" s="345">
        <v>10</v>
      </c>
      <c r="I3" s="345">
        <v>13</v>
      </c>
      <c r="J3" s="345">
        <v>13</v>
      </c>
      <c r="K3" s="345">
        <v>13</v>
      </c>
      <c r="L3" s="346"/>
      <c r="M3" s="346"/>
      <c r="N3" s="346"/>
      <c r="O3" s="345"/>
      <c r="P3" s="345"/>
      <c r="Q3" s="345"/>
      <c r="R3" s="345">
        <v>14.6</v>
      </c>
      <c r="S3" s="345">
        <v>14.6</v>
      </c>
      <c r="T3" s="345">
        <v>14.6</v>
      </c>
      <c r="U3" s="345"/>
      <c r="V3" s="345"/>
      <c r="W3" s="345"/>
      <c r="X3" s="345">
        <v>18</v>
      </c>
      <c r="Y3" s="345">
        <v>18</v>
      </c>
      <c r="Z3" s="345">
        <v>18</v>
      </c>
      <c r="AA3">
        <f>MAX(B3+I3+L3+O3)</f>
        <v>13</v>
      </c>
    </row>
    <row r="4" spans="1:27" ht="28.8" x14ac:dyDescent="0.3">
      <c r="A4" s="345" t="s">
        <v>1679</v>
      </c>
      <c r="B4" s="805"/>
      <c r="C4" s="802"/>
      <c r="D4" s="802"/>
      <c r="E4" s="803"/>
      <c r="F4" s="805">
        <v>12.5</v>
      </c>
      <c r="G4" s="803"/>
      <c r="H4" s="345">
        <v>12.5</v>
      </c>
      <c r="I4" s="345">
        <v>2.5</v>
      </c>
      <c r="J4" s="345">
        <v>15.5</v>
      </c>
      <c r="K4" s="345">
        <v>15.5</v>
      </c>
      <c r="L4" s="346"/>
      <c r="M4" s="346"/>
      <c r="N4" s="346"/>
      <c r="O4" s="345"/>
      <c r="P4" s="345"/>
      <c r="Q4" s="345"/>
      <c r="R4" s="345">
        <v>0</v>
      </c>
      <c r="S4" s="345">
        <v>14.6</v>
      </c>
      <c r="T4" s="345">
        <v>14.6</v>
      </c>
      <c r="U4" s="345"/>
      <c r="V4" s="345"/>
      <c r="W4" s="345"/>
      <c r="X4" s="345">
        <v>3</v>
      </c>
      <c r="Y4" s="345">
        <v>21</v>
      </c>
      <c r="Z4" s="345">
        <v>21</v>
      </c>
      <c r="AA4">
        <f t="shared" ref="AA4:AA67" si="0">MAX(B4+I4+L4+O4)</f>
        <v>2.5</v>
      </c>
    </row>
    <row r="5" spans="1:27" ht="28.8" x14ac:dyDescent="0.3">
      <c r="A5" s="345" t="s">
        <v>1680</v>
      </c>
      <c r="B5" s="805"/>
      <c r="C5" s="802"/>
      <c r="D5" s="802"/>
      <c r="E5" s="803"/>
      <c r="F5" s="805">
        <v>18.5</v>
      </c>
      <c r="G5" s="803"/>
      <c r="H5" s="345">
        <v>18.5</v>
      </c>
      <c r="I5" s="345">
        <v>6.5</v>
      </c>
      <c r="J5" s="345">
        <v>22</v>
      </c>
      <c r="K5" s="345">
        <v>22</v>
      </c>
      <c r="L5" s="346"/>
      <c r="M5" s="346"/>
      <c r="N5" s="346"/>
      <c r="O5" s="345"/>
      <c r="P5" s="345"/>
      <c r="Q5" s="345"/>
      <c r="R5" s="345">
        <v>6.4</v>
      </c>
      <c r="S5" s="345">
        <v>21</v>
      </c>
      <c r="T5" s="345">
        <v>21</v>
      </c>
      <c r="U5" s="345">
        <v>0</v>
      </c>
      <c r="V5" s="345">
        <v>0</v>
      </c>
      <c r="W5" s="345">
        <v>0</v>
      </c>
      <c r="X5" s="345">
        <v>6</v>
      </c>
      <c r="Y5" s="345">
        <v>27</v>
      </c>
      <c r="Z5" s="345">
        <v>27</v>
      </c>
      <c r="AA5">
        <f t="shared" si="0"/>
        <v>6.5</v>
      </c>
    </row>
    <row r="6" spans="1:27" ht="28.8" x14ac:dyDescent="0.3">
      <c r="A6" s="345" t="s">
        <v>1681</v>
      </c>
      <c r="B6" s="805"/>
      <c r="C6" s="802"/>
      <c r="D6" s="802"/>
      <c r="E6" s="803"/>
      <c r="F6" s="805">
        <v>23.5</v>
      </c>
      <c r="G6" s="803"/>
      <c r="H6" s="345">
        <v>23.5</v>
      </c>
      <c r="I6" s="345">
        <v>5</v>
      </c>
      <c r="J6" s="345">
        <v>27</v>
      </c>
      <c r="K6" s="345">
        <v>27</v>
      </c>
      <c r="L6" s="346"/>
      <c r="M6" s="346"/>
      <c r="N6" s="346"/>
      <c r="O6" s="345"/>
      <c r="P6" s="345"/>
      <c r="Q6" s="345"/>
      <c r="R6" s="345">
        <v>5</v>
      </c>
      <c r="S6" s="345">
        <v>26</v>
      </c>
      <c r="T6" s="345">
        <v>26</v>
      </c>
      <c r="U6" s="345">
        <v>0</v>
      </c>
      <c r="V6" s="345">
        <v>0</v>
      </c>
      <c r="W6" s="345">
        <v>0</v>
      </c>
      <c r="X6" s="345">
        <v>6.5</v>
      </c>
      <c r="Y6" s="345">
        <v>33.5</v>
      </c>
      <c r="Z6" s="345">
        <v>33.5</v>
      </c>
      <c r="AA6">
        <f t="shared" si="0"/>
        <v>5</v>
      </c>
    </row>
    <row r="7" spans="1:27" ht="28.8" x14ac:dyDescent="0.3">
      <c r="A7" s="345" t="s">
        <v>1682</v>
      </c>
      <c r="B7" s="805"/>
      <c r="C7" s="802"/>
      <c r="D7" s="802"/>
      <c r="E7" s="803"/>
      <c r="F7" s="805">
        <v>27</v>
      </c>
      <c r="G7" s="803"/>
      <c r="H7" s="345">
        <v>27</v>
      </c>
      <c r="I7" s="345">
        <v>2.5</v>
      </c>
      <c r="J7" s="345">
        <v>29.5</v>
      </c>
      <c r="K7" s="345">
        <v>29.5</v>
      </c>
      <c r="L7" s="346"/>
      <c r="M7" s="346"/>
      <c r="N7" s="346"/>
      <c r="O7" s="345"/>
      <c r="P7" s="345"/>
      <c r="Q7" s="345"/>
      <c r="R7" s="345">
        <v>2.6</v>
      </c>
      <c r="S7" s="345">
        <v>28.6</v>
      </c>
      <c r="T7" s="345">
        <v>28.6</v>
      </c>
      <c r="U7" s="345">
        <v>3</v>
      </c>
      <c r="V7" s="345">
        <v>3</v>
      </c>
      <c r="W7" s="345">
        <v>3</v>
      </c>
      <c r="X7" s="345">
        <v>3.5</v>
      </c>
      <c r="Y7" s="345">
        <v>37</v>
      </c>
      <c r="Z7" s="345">
        <v>37</v>
      </c>
      <c r="AA7">
        <f t="shared" si="0"/>
        <v>2.5</v>
      </c>
    </row>
    <row r="8" spans="1:27" ht="28.8" x14ac:dyDescent="0.3">
      <c r="A8" s="345" t="s">
        <v>1683</v>
      </c>
      <c r="B8" s="805"/>
      <c r="C8" s="802"/>
      <c r="D8" s="802"/>
      <c r="E8" s="803"/>
      <c r="F8" s="805">
        <v>33.5</v>
      </c>
      <c r="G8" s="803"/>
      <c r="H8" s="345">
        <v>33.5</v>
      </c>
      <c r="I8" s="345">
        <v>6</v>
      </c>
      <c r="J8" s="345">
        <v>35.5</v>
      </c>
      <c r="K8" s="345">
        <v>35.5</v>
      </c>
      <c r="L8" s="346"/>
      <c r="M8" s="346"/>
      <c r="N8" s="346"/>
      <c r="O8" s="345"/>
      <c r="P8" s="345"/>
      <c r="Q8" s="345"/>
      <c r="R8" s="345">
        <v>4.5999999999999996</v>
      </c>
      <c r="S8" s="345">
        <v>33.200000000000003</v>
      </c>
      <c r="T8" s="345">
        <v>33.200000000000003</v>
      </c>
      <c r="U8" s="345"/>
      <c r="V8" s="345"/>
      <c r="W8" s="345"/>
      <c r="X8" s="345">
        <v>4.5</v>
      </c>
      <c r="Y8" s="345">
        <v>41.5</v>
      </c>
      <c r="Z8" s="345">
        <v>41.5</v>
      </c>
      <c r="AA8">
        <f t="shared" si="0"/>
        <v>6</v>
      </c>
    </row>
    <row r="9" spans="1:27" ht="28.8" x14ac:dyDescent="0.3">
      <c r="A9" s="345" t="s">
        <v>1684</v>
      </c>
      <c r="B9" s="805"/>
      <c r="C9" s="802"/>
      <c r="D9" s="802"/>
      <c r="E9" s="803"/>
      <c r="F9" s="805">
        <v>33.5</v>
      </c>
      <c r="G9" s="803"/>
      <c r="H9" s="345">
        <v>33.5</v>
      </c>
      <c r="I9" s="345">
        <v>0</v>
      </c>
      <c r="J9" s="345">
        <v>35.5</v>
      </c>
      <c r="K9" s="345">
        <v>35.5</v>
      </c>
      <c r="L9" s="346"/>
      <c r="M9" s="346"/>
      <c r="N9" s="346"/>
      <c r="O9" s="345"/>
      <c r="P9" s="345"/>
      <c r="Q9" s="345"/>
      <c r="R9" s="345">
        <v>0</v>
      </c>
      <c r="S9" s="345">
        <v>33.200000000000003</v>
      </c>
      <c r="T9" s="345">
        <v>33.200000000000003</v>
      </c>
      <c r="U9" s="345">
        <v>0</v>
      </c>
      <c r="V9" s="345">
        <v>3</v>
      </c>
      <c r="W9" s="345">
        <v>3</v>
      </c>
      <c r="X9" s="345">
        <v>0</v>
      </c>
      <c r="Y9" s="345">
        <v>41.5</v>
      </c>
      <c r="Z9" s="345">
        <v>41.5</v>
      </c>
      <c r="AA9">
        <f t="shared" si="0"/>
        <v>0</v>
      </c>
    </row>
    <row r="10" spans="1:27" ht="28.8" x14ac:dyDescent="0.3">
      <c r="A10" s="345" t="s">
        <v>1685</v>
      </c>
      <c r="B10" s="805"/>
      <c r="C10" s="802"/>
      <c r="D10" s="802"/>
      <c r="E10" s="803"/>
      <c r="F10" s="805">
        <v>33.5</v>
      </c>
      <c r="G10" s="803"/>
      <c r="H10" s="345">
        <v>33.5</v>
      </c>
      <c r="I10" s="345">
        <v>0</v>
      </c>
      <c r="J10" s="345">
        <v>35.5</v>
      </c>
      <c r="K10" s="345">
        <v>35.5</v>
      </c>
      <c r="L10" s="346"/>
      <c r="M10" s="346"/>
      <c r="N10" s="346"/>
      <c r="O10" s="345"/>
      <c r="P10" s="345"/>
      <c r="Q10" s="345"/>
      <c r="R10" s="345">
        <v>0</v>
      </c>
      <c r="S10" s="345">
        <v>33.200000000000003</v>
      </c>
      <c r="T10" s="345">
        <v>33.200000000000003</v>
      </c>
      <c r="U10" s="345">
        <v>0</v>
      </c>
      <c r="V10" s="345">
        <v>3</v>
      </c>
      <c r="W10" s="345">
        <v>3</v>
      </c>
      <c r="X10" s="345">
        <v>0</v>
      </c>
      <c r="Y10" s="345">
        <v>41.5</v>
      </c>
      <c r="Z10" s="345">
        <v>41.5</v>
      </c>
      <c r="AA10">
        <f t="shared" si="0"/>
        <v>0</v>
      </c>
    </row>
    <row r="11" spans="1:27" ht="28.8" x14ac:dyDescent="0.3">
      <c r="A11" s="345" t="s">
        <v>1686</v>
      </c>
      <c r="B11" s="805"/>
      <c r="C11" s="802"/>
      <c r="D11" s="802"/>
      <c r="E11" s="803"/>
      <c r="F11" s="805">
        <v>75</v>
      </c>
      <c r="G11" s="803"/>
      <c r="H11" s="345">
        <v>75</v>
      </c>
      <c r="I11" s="345">
        <v>42</v>
      </c>
      <c r="J11" s="345">
        <v>77.5</v>
      </c>
      <c r="K11" s="345">
        <v>77.5</v>
      </c>
      <c r="L11" s="346"/>
      <c r="M11" s="346"/>
      <c r="N11" s="346"/>
      <c r="O11" s="345"/>
      <c r="P11" s="345"/>
      <c r="Q11" s="345"/>
      <c r="R11" s="345">
        <v>38.6</v>
      </c>
      <c r="S11" s="345">
        <v>71.8</v>
      </c>
      <c r="T11" s="345">
        <v>71.8</v>
      </c>
      <c r="U11" s="345">
        <v>39.5</v>
      </c>
      <c r="V11" s="345">
        <v>42.5</v>
      </c>
      <c r="W11" s="345">
        <v>42.5</v>
      </c>
      <c r="X11" s="345">
        <v>40</v>
      </c>
      <c r="Y11" s="345">
        <v>81.5</v>
      </c>
      <c r="Z11" s="345">
        <v>81.5</v>
      </c>
      <c r="AA11">
        <f t="shared" si="0"/>
        <v>42</v>
      </c>
    </row>
    <row r="12" spans="1:27" ht="28.8" x14ac:dyDescent="0.3">
      <c r="A12" s="345" t="s">
        <v>1687</v>
      </c>
      <c r="B12" s="805"/>
      <c r="C12" s="802"/>
      <c r="D12" s="802"/>
      <c r="E12" s="803"/>
      <c r="F12" s="805">
        <v>75</v>
      </c>
      <c r="G12" s="803"/>
      <c r="H12" s="345">
        <v>75</v>
      </c>
      <c r="I12" s="345">
        <v>0</v>
      </c>
      <c r="J12" s="345">
        <v>77.5</v>
      </c>
      <c r="K12" s="345">
        <v>77.5</v>
      </c>
      <c r="L12" s="346"/>
      <c r="M12" s="346"/>
      <c r="N12" s="346"/>
      <c r="O12" s="345"/>
      <c r="P12" s="345"/>
      <c r="Q12" s="345"/>
      <c r="R12" s="345">
        <v>0.5</v>
      </c>
      <c r="S12" s="345">
        <v>72.3</v>
      </c>
      <c r="T12" s="345">
        <v>72.3</v>
      </c>
      <c r="U12" s="345">
        <v>0.5</v>
      </c>
      <c r="V12" s="345">
        <v>43</v>
      </c>
      <c r="W12" s="345">
        <v>43</v>
      </c>
      <c r="X12" s="345">
        <v>0</v>
      </c>
      <c r="Y12" s="345">
        <v>81.5</v>
      </c>
      <c r="Z12" s="345">
        <v>81.5</v>
      </c>
      <c r="AA12">
        <f t="shared" si="0"/>
        <v>0</v>
      </c>
    </row>
    <row r="13" spans="1:27" ht="28.8" x14ac:dyDescent="0.3">
      <c r="A13" s="345" t="s">
        <v>1688</v>
      </c>
      <c r="B13" s="805"/>
      <c r="C13" s="802"/>
      <c r="D13" s="802"/>
      <c r="E13" s="803"/>
      <c r="F13" s="805">
        <v>79</v>
      </c>
      <c r="G13" s="803"/>
      <c r="H13" s="345">
        <v>79</v>
      </c>
      <c r="I13" s="345">
        <v>4.5</v>
      </c>
      <c r="J13" s="345">
        <v>82</v>
      </c>
      <c r="K13" s="345">
        <v>82</v>
      </c>
      <c r="L13" s="346"/>
      <c r="M13" s="346"/>
      <c r="N13" s="346"/>
      <c r="O13" s="345"/>
      <c r="P13" s="345"/>
      <c r="Q13" s="345"/>
      <c r="R13" s="345">
        <v>2</v>
      </c>
      <c r="S13" s="345">
        <v>74.3</v>
      </c>
      <c r="T13" s="345">
        <v>74.3</v>
      </c>
      <c r="U13" s="345">
        <v>2.5</v>
      </c>
      <c r="V13" s="345">
        <v>45.5</v>
      </c>
      <c r="W13" s="345">
        <v>45.5</v>
      </c>
      <c r="X13" s="345">
        <v>3.5</v>
      </c>
      <c r="Y13" s="345">
        <v>85</v>
      </c>
      <c r="Z13" s="345">
        <v>85</v>
      </c>
      <c r="AA13">
        <f t="shared" si="0"/>
        <v>4.5</v>
      </c>
    </row>
    <row r="14" spans="1:27" ht="28.8" x14ac:dyDescent="0.3">
      <c r="A14" s="345" t="s">
        <v>1689</v>
      </c>
      <c r="B14" s="805"/>
      <c r="C14" s="802"/>
      <c r="D14" s="802"/>
      <c r="E14" s="803"/>
      <c r="F14" s="805">
        <v>109.5</v>
      </c>
      <c r="G14" s="803"/>
      <c r="H14" s="345">
        <v>109.5</v>
      </c>
      <c r="I14" s="345">
        <v>30</v>
      </c>
      <c r="J14" s="345">
        <v>112</v>
      </c>
      <c r="K14" s="345">
        <v>112</v>
      </c>
      <c r="L14" s="346"/>
      <c r="M14" s="346"/>
      <c r="N14" s="346"/>
      <c r="O14" s="345"/>
      <c r="P14" s="345"/>
      <c r="Q14" s="345"/>
      <c r="R14" s="345">
        <v>6.8</v>
      </c>
      <c r="S14" s="345">
        <v>81.099999999999994</v>
      </c>
      <c r="T14" s="345">
        <v>81.099999999999994</v>
      </c>
      <c r="U14" s="345">
        <v>30.5</v>
      </c>
      <c r="V14" s="345">
        <v>76</v>
      </c>
      <c r="W14" s="345">
        <v>76</v>
      </c>
      <c r="X14" s="345">
        <v>32</v>
      </c>
      <c r="Y14" s="345">
        <v>117</v>
      </c>
      <c r="Z14" s="345">
        <v>117</v>
      </c>
      <c r="AA14">
        <f t="shared" si="0"/>
        <v>30</v>
      </c>
    </row>
    <row r="15" spans="1:27" ht="28.8" x14ac:dyDescent="0.3">
      <c r="A15" s="345" t="s">
        <v>1690</v>
      </c>
      <c r="B15" s="805"/>
      <c r="C15" s="802"/>
      <c r="D15" s="802"/>
      <c r="E15" s="803"/>
      <c r="F15" s="805">
        <v>123</v>
      </c>
      <c r="G15" s="803"/>
      <c r="H15" s="345">
        <v>123</v>
      </c>
      <c r="I15" s="345">
        <v>12.5</v>
      </c>
      <c r="J15" s="345">
        <v>124.5</v>
      </c>
      <c r="K15" s="345">
        <v>124.5</v>
      </c>
      <c r="L15" s="346"/>
      <c r="M15" s="346"/>
      <c r="N15" s="346"/>
      <c r="O15" s="345"/>
      <c r="P15" s="345"/>
      <c r="Q15" s="345"/>
      <c r="R15" s="345">
        <v>13</v>
      </c>
      <c r="S15" s="345">
        <v>94.1</v>
      </c>
      <c r="T15" s="345">
        <v>94.1</v>
      </c>
      <c r="U15" s="345"/>
      <c r="V15" s="345"/>
      <c r="W15" s="345"/>
      <c r="X15" s="345">
        <v>13</v>
      </c>
      <c r="Y15" s="345">
        <v>130</v>
      </c>
      <c r="Z15" s="345">
        <v>130</v>
      </c>
      <c r="AA15">
        <f t="shared" si="0"/>
        <v>12.5</v>
      </c>
    </row>
    <row r="16" spans="1:27" ht="28.8" x14ac:dyDescent="0.3">
      <c r="A16" s="345" t="s">
        <v>1691</v>
      </c>
      <c r="B16" s="805"/>
      <c r="C16" s="802"/>
      <c r="D16" s="802"/>
      <c r="E16" s="803"/>
      <c r="F16" s="805">
        <v>125</v>
      </c>
      <c r="G16" s="803"/>
      <c r="H16" s="345">
        <v>125</v>
      </c>
      <c r="I16" s="345">
        <v>2</v>
      </c>
      <c r="J16" s="345">
        <v>126.5</v>
      </c>
      <c r="K16" s="345">
        <v>126.5</v>
      </c>
      <c r="L16" s="346"/>
      <c r="M16" s="346"/>
      <c r="N16" s="346"/>
      <c r="O16" s="345"/>
      <c r="P16" s="345"/>
      <c r="Q16" s="345"/>
      <c r="R16" s="345">
        <v>9.8000000000000007</v>
      </c>
      <c r="S16" s="345">
        <v>103.9</v>
      </c>
      <c r="T16" s="345">
        <v>103.9</v>
      </c>
      <c r="U16" s="345">
        <v>10</v>
      </c>
      <c r="V16" s="345">
        <v>86</v>
      </c>
      <c r="W16" s="345">
        <v>86</v>
      </c>
      <c r="X16" s="345">
        <v>8.5</v>
      </c>
      <c r="Y16" s="345">
        <v>138.5</v>
      </c>
      <c r="Z16" s="345">
        <v>138.5</v>
      </c>
      <c r="AA16">
        <f t="shared" si="0"/>
        <v>2</v>
      </c>
    </row>
    <row r="17" spans="1:27" ht="28.8" x14ac:dyDescent="0.3">
      <c r="A17" s="345" t="s">
        <v>1692</v>
      </c>
      <c r="B17" s="805"/>
      <c r="C17" s="802"/>
      <c r="D17" s="802"/>
      <c r="E17" s="803"/>
      <c r="F17" s="805">
        <v>129</v>
      </c>
      <c r="G17" s="803"/>
      <c r="H17" s="345">
        <v>129</v>
      </c>
      <c r="I17" s="345">
        <v>8</v>
      </c>
      <c r="J17" s="345">
        <v>134.5</v>
      </c>
      <c r="K17" s="345">
        <v>134.5</v>
      </c>
      <c r="L17" s="346"/>
      <c r="M17" s="346"/>
      <c r="N17" s="346"/>
      <c r="O17" s="345"/>
      <c r="P17" s="345"/>
      <c r="Q17" s="345"/>
      <c r="R17" s="345">
        <v>3.5</v>
      </c>
      <c r="S17" s="345">
        <v>107.4</v>
      </c>
      <c r="T17" s="345">
        <v>107.4</v>
      </c>
      <c r="U17" s="345">
        <v>3.5</v>
      </c>
      <c r="V17" s="345">
        <v>89.5</v>
      </c>
      <c r="W17" s="345">
        <v>89.5</v>
      </c>
      <c r="X17" s="345">
        <v>2.5</v>
      </c>
      <c r="Y17" s="345">
        <v>141</v>
      </c>
      <c r="Z17" s="345">
        <v>141</v>
      </c>
      <c r="AA17">
        <f t="shared" si="0"/>
        <v>8</v>
      </c>
    </row>
    <row r="18" spans="1:27" ht="28.8" x14ac:dyDescent="0.3">
      <c r="A18" s="345" t="s">
        <v>1693</v>
      </c>
      <c r="B18" s="805"/>
      <c r="C18" s="802"/>
      <c r="D18" s="802"/>
      <c r="E18" s="803"/>
      <c r="F18" s="805">
        <v>129</v>
      </c>
      <c r="G18" s="803"/>
      <c r="H18" s="345">
        <v>129</v>
      </c>
      <c r="I18" s="345">
        <v>0</v>
      </c>
      <c r="J18" s="345">
        <v>134.5</v>
      </c>
      <c r="K18" s="345">
        <v>134.5</v>
      </c>
      <c r="L18" s="346"/>
      <c r="M18" s="346"/>
      <c r="N18" s="346"/>
      <c r="O18" s="345"/>
      <c r="P18" s="345"/>
      <c r="Q18" s="345"/>
      <c r="R18" s="345">
        <v>0</v>
      </c>
      <c r="S18" s="345">
        <v>107.4</v>
      </c>
      <c r="T18" s="345">
        <v>107.4</v>
      </c>
      <c r="U18" s="345">
        <v>0</v>
      </c>
      <c r="V18" s="345">
        <v>89.5</v>
      </c>
      <c r="W18" s="345">
        <v>89.5</v>
      </c>
      <c r="X18" s="345">
        <v>0</v>
      </c>
      <c r="Y18" s="345">
        <v>141</v>
      </c>
      <c r="Z18" s="345">
        <v>141</v>
      </c>
      <c r="AA18">
        <f t="shared" si="0"/>
        <v>0</v>
      </c>
    </row>
    <row r="19" spans="1:27" ht="28.8" x14ac:dyDescent="0.3">
      <c r="A19" s="345" t="s">
        <v>1694</v>
      </c>
      <c r="B19" s="805"/>
      <c r="C19" s="802"/>
      <c r="D19" s="802"/>
      <c r="E19" s="803"/>
      <c r="F19" s="805">
        <v>130</v>
      </c>
      <c r="G19" s="803"/>
      <c r="H19" s="345">
        <v>130</v>
      </c>
      <c r="I19" s="345">
        <v>1</v>
      </c>
      <c r="J19" s="345">
        <v>135.5</v>
      </c>
      <c r="K19" s="345">
        <v>135.5</v>
      </c>
      <c r="L19" s="346"/>
      <c r="M19" s="346"/>
      <c r="N19" s="346"/>
      <c r="O19" s="345"/>
      <c r="P19" s="345"/>
      <c r="Q19" s="345"/>
      <c r="R19" s="345">
        <v>1</v>
      </c>
      <c r="S19" s="345">
        <v>108.4</v>
      </c>
      <c r="T19" s="345">
        <v>108.4</v>
      </c>
      <c r="U19" s="345">
        <v>1</v>
      </c>
      <c r="V19" s="345">
        <v>90.5</v>
      </c>
      <c r="W19" s="345">
        <v>90.5</v>
      </c>
      <c r="X19" s="345">
        <v>1</v>
      </c>
      <c r="Y19" s="345">
        <v>142</v>
      </c>
      <c r="Z19" s="345">
        <v>142</v>
      </c>
      <c r="AA19">
        <f t="shared" si="0"/>
        <v>1</v>
      </c>
    </row>
    <row r="20" spans="1:27" ht="28.8" x14ac:dyDescent="0.3">
      <c r="A20" s="345" t="s">
        <v>1695</v>
      </c>
      <c r="B20" s="805"/>
      <c r="C20" s="802"/>
      <c r="D20" s="802"/>
      <c r="E20" s="803"/>
      <c r="F20" s="805">
        <v>136.5</v>
      </c>
      <c r="G20" s="803"/>
      <c r="H20" s="345">
        <v>136.5</v>
      </c>
      <c r="I20" s="345">
        <v>3.5</v>
      </c>
      <c r="J20" s="345">
        <v>139</v>
      </c>
      <c r="K20" s="345">
        <v>139</v>
      </c>
      <c r="L20" s="346"/>
      <c r="M20" s="346"/>
      <c r="N20" s="346"/>
      <c r="O20" s="345"/>
      <c r="P20" s="345"/>
      <c r="Q20" s="345"/>
      <c r="R20" s="345">
        <v>9</v>
      </c>
      <c r="S20" s="345">
        <v>117.4</v>
      </c>
      <c r="T20" s="345">
        <v>117.4</v>
      </c>
      <c r="U20" s="345">
        <v>9</v>
      </c>
      <c r="V20" s="345">
        <v>99.5</v>
      </c>
      <c r="W20" s="345">
        <v>99.5</v>
      </c>
      <c r="X20" s="345">
        <v>9.5</v>
      </c>
      <c r="Y20" s="345">
        <v>151.5</v>
      </c>
      <c r="Z20" s="345">
        <v>151.5</v>
      </c>
      <c r="AA20">
        <f t="shared" si="0"/>
        <v>3.5</v>
      </c>
    </row>
    <row r="21" spans="1:27" ht="28.8" x14ac:dyDescent="0.3">
      <c r="A21" s="345" t="s">
        <v>1696</v>
      </c>
      <c r="B21" s="805"/>
      <c r="C21" s="802"/>
      <c r="D21" s="802"/>
      <c r="E21" s="803"/>
      <c r="F21" s="805">
        <v>136.5</v>
      </c>
      <c r="G21" s="803"/>
      <c r="H21" s="345">
        <v>136.5</v>
      </c>
      <c r="I21" s="345">
        <v>0</v>
      </c>
      <c r="J21" s="345">
        <v>139</v>
      </c>
      <c r="K21" s="345">
        <v>139</v>
      </c>
      <c r="L21" s="346"/>
      <c r="M21" s="346"/>
      <c r="N21" s="346"/>
      <c r="O21" s="345"/>
      <c r="P21" s="345"/>
      <c r="Q21" s="345"/>
      <c r="R21" s="345">
        <v>0</v>
      </c>
      <c r="S21" s="345">
        <v>117.4</v>
      </c>
      <c r="T21" s="345">
        <v>117.4</v>
      </c>
      <c r="U21" s="345">
        <v>0</v>
      </c>
      <c r="V21" s="345">
        <v>99.5</v>
      </c>
      <c r="W21" s="345">
        <v>99.5</v>
      </c>
      <c r="X21" s="345">
        <v>0</v>
      </c>
      <c r="Y21" s="345">
        <v>151.5</v>
      </c>
      <c r="Z21" s="345">
        <v>151.5</v>
      </c>
      <c r="AA21">
        <f t="shared" si="0"/>
        <v>0</v>
      </c>
    </row>
    <row r="22" spans="1:27" ht="28.8" x14ac:dyDescent="0.3">
      <c r="A22" s="345" t="s">
        <v>1697</v>
      </c>
      <c r="B22" s="805"/>
      <c r="C22" s="802"/>
      <c r="D22" s="802"/>
      <c r="E22" s="803"/>
      <c r="F22" s="805">
        <v>137</v>
      </c>
      <c r="G22" s="803"/>
      <c r="H22" s="345">
        <v>137</v>
      </c>
      <c r="I22" s="345">
        <v>0.5</v>
      </c>
      <c r="J22" s="345">
        <v>139.5</v>
      </c>
      <c r="K22" s="345">
        <v>139.5</v>
      </c>
      <c r="L22" s="346"/>
      <c r="M22" s="346"/>
      <c r="N22" s="346"/>
      <c r="O22" s="345"/>
      <c r="P22" s="345"/>
      <c r="Q22" s="345"/>
      <c r="R22" s="345">
        <v>0.5</v>
      </c>
      <c r="S22" s="345">
        <v>117.9</v>
      </c>
      <c r="T22" s="345">
        <v>117.9</v>
      </c>
      <c r="U22" s="345"/>
      <c r="V22" s="345"/>
      <c r="W22" s="345"/>
      <c r="X22" s="345">
        <v>0.5</v>
      </c>
      <c r="Y22" s="345">
        <v>152</v>
      </c>
      <c r="Z22" s="345">
        <v>152</v>
      </c>
      <c r="AA22">
        <f t="shared" si="0"/>
        <v>0.5</v>
      </c>
    </row>
    <row r="23" spans="1:27" ht="28.8" x14ac:dyDescent="0.3">
      <c r="A23" s="345" t="s">
        <v>1698</v>
      </c>
      <c r="B23" s="805"/>
      <c r="C23" s="802"/>
      <c r="D23" s="802"/>
      <c r="E23" s="803"/>
      <c r="F23" s="805">
        <v>137</v>
      </c>
      <c r="G23" s="803"/>
      <c r="H23" s="345">
        <v>137</v>
      </c>
      <c r="I23" s="345">
        <v>0</v>
      </c>
      <c r="J23" s="345">
        <v>139.5</v>
      </c>
      <c r="K23" s="345">
        <v>139.5</v>
      </c>
      <c r="L23" s="346"/>
      <c r="M23" s="346"/>
      <c r="N23" s="346"/>
      <c r="O23" s="345"/>
      <c r="P23" s="345"/>
      <c r="Q23" s="345"/>
      <c r="R23" s="345">
        <v>0</v>
      </c>
      <c r="S23" s="345">
        <v>117.9</v>
      </c>
      <c r="T23" s="345">
        <v>117.9</v>
      </c>
      <c r="U23" s="345">
        <v>0</v>
      </c>
      <c r="V23" s="345">
        <v>99.5</v>
      </c>
      <c r="W23" s="345">
        <v>99.5</v>
      </c>
      <c r="X23" s="345">
        <v>0</v>
      </c>
      <c r="Y23" s="345">
        <v>152</v>
      </c>
      <c r="Z23" s="345">
        <v>152</v>
      </c>
      <c r="AA23">
        <f t="shared" si="0"/>
        <v>0</v>
      </c>
    </row>
    <row r="24" spans="1:27" ht="28.8" x14ac:dyDescent="0.3">
      <c r="A24" s="345" t="s">
        <v>1699</v>
      </c>
      <c r="B24" s="805"/>
      <c r="C24" s="802"/>
      <c r="D24" s="802"/>
      <c r="E24" s="803"/>
      <c r="F24" s="805">
        <v>140.5</v>
      </c>
      <c r="G24" s="803"/>
      <c r="H24" s="345">
        <v>140.5</v>
      </c>
      <c r="I24" s="345">
        <v>3.5</v>
      </c>
      <c r="J24" s="345">
        <v>143</v>
      </c>
      <c r="K24" s="345">
        <v>143</v>
      </c>
      <c r="L24" s="346"/>
      <c r="M24" s="346"/>
      <c r="N24" s="346"/>
      <c r="O24" s="345"/>
      <c r="P24" s="345"/>
      <c r="Q24" s="345"/>
      <c r="R24" s="345">
        <v>4</v>
      </c>
      <c r="S24" s="345">
        <v>121.9</v>
      </c>
      <c r="T24" s="345">
        <v>121.9</v>
      </c>
      <c r="U24" s="345">
        <v>4</v>
      </c>
      <c r="V24" s="345">
        <v>103.5</v>
      </c>
      <c r="W24" s="345">
        <v>103.5</v>
      </c>
      <c r="X24" s="345">
        <v>4</v>
      </c>
      <c r="Y24" s="345">
        <v>156</v>
      </c>
      <c r="Z24" s="345">
        <v>156</v>
      </c>
      <c r="AA24">
        <f t="shared" si="0"/>
        <v>3.5</v>
      </c>
    </row>
    <row r="25" spans="1:27" ht="28.8" x14ac:dyDescent="0.3">
      <c r="A25" s="345" t="s">
        <v>1700</v>
      </c>
      <c r="B25" s="805"/>
      <c r="C25" s="802"/>
      <c r="D25" s="802"/>
      <c r="E25" s="803"/>
      <c r="F25" s="805">
        <v>143</v>
      </c>
      <c r="G25" s="803"/>
      <c r="H25" s="345">
        <v>143</v>
      </c>
      <c r="I25" s="345">
        <v>7</v>
      </c>
      <c r="J25" s="345">
        <v>150</v>
      </c>
      <c r="K25" s="345">
        <v>150</v>
      </c>
      <c r="L25" s="346"/>
      <c r="M25" s="346"/>
      <c r="N25" s="346"/>
      <c r="O25" s="345"/>
      <c r="P25" s="345"/>
      <c r="Q25" s="345"/>
      <c r="R25" s="345">
        <v>1</v>
      </c>
      <c r="S25" s="345">
        <v>122.9</v>
      </c>
      <c r="T25" s="345">
        <v>122.9</v>
      </c>
      <c r="U25" s="345">
        <v>1</v>
      </c>
      <c r="V25" s="345">
        <v>104.5</v>
      </c>
      <c r="W25" s="345">
        <v>104.5</v>
      </c>
      <c r="X25" s="345">
        <v>1</v>
      </c>
      <c r="Y25" s="345">
        <v>157</v>
      </c>
      <c r="Z25" s="345">
        <v>157</v>
      </c>
      <c r="AA25">
        <f t="shared" si="0"/>
        <v>7</v>
      </c>
    </row>
    <row r="26" spans="1:27" ht="28.8" x14ac:dyDescent="0.3">
      <c r="A26" s="345" t="s">
        <v>1701</v>
      </c>
      <c r="B26" s="805"/>
      <c r="C26" s="802"/>
      <c r="D26" s="802"/>
      <c r="E26" s="803"/>
      <c r="F26" s="805">
        <v>173.5</v>
      </c>
      <c r="G26" s="803"/>
      <c r="H26" s="345">
        <v>173.5</v>
      </c>
      <c r="I26" s="345">
        <v>32</v>
      </c>
      <c r="J26" s="345">
        <v>182</v>
      </c>
      <c r="K26" s="345">
        <v>182</v>
      </c>
      <c r="L26" s="346"/>
      <c r="M26" s="346"/>
      <c r="N26" s="346"/>
      <c r="O26" s="345"/>
      <c r="P26" s="345"/>
      <c r="Q26" s="345"/>
      <c r="R26" s="345">
        <v>36</v>
      </c>
      <c r="S26" s="345">
        <v>158.9</v>
      </c>
      <c r="T26" s="345">
        <v>158.9</v>
      </c>
      <c r="U26" s="345">
        <v>36</v>
      </c>
      <c r="V26" s="345">
        <v>140.5</v>
      </c>
      <c r="W26" s="345">
        <v>140.5</v>
      </c>
      <c r="X26" s="345">
        <v>31</v>
      </c>
      <c r="Y26" s="345">
        <v>188</v>
      </c>
      <c r="Z26" s="345">
        <v>188</v>
      </c>
      <c r="AA26">
        <f t="shared" si="0"/>
        <v>32</v>
      </c>
    </row>
    <row r="27" spans="1:27" ht="28.8" x14ac:dyDescent="0.3">
      <c r="A27" s="345" t="s">
        <v>1702</v>
      </c>
      <c r="B27" s="805"/>
      <c r="C27" s="802"/>
      <c r="D27" s="802"/>
      <c r="E27" s="803"/>
      <c r="F27" s="805">
        <v>176</v>
      </c>
      <c r="G27" s="803"/>
      <c r="H27" s="345">
        <v>176</v>
      </c>
      <c r="I27" s="345">
        <v>2.5</v>
      </c>
      <c r="J27" s="345">
        <v>184.5</v>
      </c>
      <c r="K27" s="345">
        <v>184.5</v>
      </c>
      <c r="L27" s="346"/>
      <c r="M27" s="346"/>
      <c r="N27" s="346"/>
      <c r="O27" s="345"/>
      <c r="P27" s="345"/>
      <c r="Q27" s="345"/>
      <c r="R27" s="345"/>
      <c r="S27" s="345"/>
      <c r="T27" s="345"/>
      <c r="U27" s="345">
        <v>2</v>
      </c>
      <c r="V27" s="345">
        <v>142.5</v>
      </c>
      <c r="W27" s="345">
        <v>142.5</v>
      </c>
      <c r="X27" s="345">
        <v>2</v>
      </c>
      <c r="Y27" s="345">
        <v>190</v>
      </c>
      <c r="Z27" s="345">
        <v>190</v>
      </c>
      <c r="AA27">
        <f t="shared" si="0"/>
        <v>2.5</v>
      </c>
    </row>
    <row r="28" spans="1:27" ht="28.8" x14ac:dyDescent="0.3">
      <c r="A28" s="345" t="s">
        <v>1703</v>
      </c>
      <c r="B28" s="805"/>
      <c r="C28" s="802"/>
      <c r="D28" s="802"/>
      <c r="E28" s="803"/>
      <c r="F28" s="805">
        <v>176</v>
      </c>
      <c r="G28" s="803"/>
      <c r="H28" s="345">
        <v>176</v>
      </c>
      <c r="I28" s="345">
        <v>0</v>
      </c>
      <c r="J28" s="345">
        <v>184.5</v>
      </c>
      <c r="K28" s="345">
        <v>184.5</v>
      </c>
      <c r="L28" s="346"/>
      <c r="M28" s="346"/>
      <c r="N28" s="346"/>
      <c r="O28" s="345"/>
      <c r="P28" s="345"/>
      <c r="Q28" s="345"/>
      <c r="R28" s="345">
        <v>0</v>
      </c>
      <c r="S28" s="345">
        <v>158.9</v>
      </c>
      <c r="T28" s="345">
        <v>158.9</v>
      </c>
      <c r="U28" s="345">
        <v>0</v>
      </c>
      <c r="V28" s="345">
        <v>142.5</v>
      </c>
      <c r="W28" s="345">
        <v>142.5</v>
      </c>
      <c r="X28" s="345">
        <v>0</v>
      </c>
      <c r="Y28" s="345">
        <v>190</v>
      </c>
      <c r="Z28" s="345">
        <v>190</v>
      </c>
      <c r="AA28">
        <f t="shared" si="0"/>
        <v>0</v>
      </c>
    </row>
    <row r="29" spans="1:27" ht="28.8" x14ac:dyDescent="0.3">
      <c r="A29" s="345" t="s">
        <v>1704</v>
      </c>
      <c r="B29" s="805"/>
      <c r="C29" s="802"/>
      <c r="D29" s="802"/>
      <c r="E29" s="803"/>
      <c r="F29" s="805">
        <v>176</v>
      </c>
      <c r="G29" s="803"/>
      <c r="H29" s="345">
        <v>176</v>
      </c>
      <c r="I29" s="345">
        <v>0</v>
      </c>
      <c r="J29" s="345">
        <v>184.5</v>
      </c>
      <c r="K29" s="345">
        <v>184.5</v>
      </c>
      <c r="L29" s="346"/>
      <c r="M29" s="346"/>
      <c r="N29" s="346"/>
      <c r="O29" s="345"/>
      <c r="P29" s="345"/>
      <c r="Q29" s="345"/>
      <c r="R29" s="345">
        <v>0</v>
      </c>
      <c r="S29" s="345">
        <v>158.9</v>
      </c>
      <c r="T29" s="345">
        <v>158.9</v>
      </c>
      <c r="U29" s="345">
        <v>0</v>
      </c>
      <c r="V29" s="345">
        <v>142.5</v>
      </c>
      <c r="W29" s="345">
        <v>142.5</v>
      </c>
      <c r="X29" s="345">
        <v>0</v>
      </c>
      <c r="Y29" s="345">
        <v>190</v>
      </c>
      <c r="Z29" s="345">
        <v>190</v>
      </c>
      <c r="AA29">
        <f t="shared" si="0"/>
        <v>0</v>
      </c>
    </row>
    <row r="30" spans="1:27" ht="28.8" x14ac:dyDescent="0.3">
      <c r="A30" s="345" t="s">
        <v>1705</v>
      </c>
      <c r="B30" s="805"/>
      <c r="C30" s="802"/>
      <c r="D30" s="802"/>
      <c r="E30" s="803"/>
      <c r="F30" s="805">
        <v>176</v>
      </c>
      <c r="G30" s="803"/>
      <c r="H30" s="345">
        <v>176</v>
      </c>
      <c r="I30" s="345">
        <v>0</v>
      </c>
      <c r="J30" s="345">
        <v>184.5</v>
      </c>
      <c r="K30" s="345">
        <v>184.5</v>
      </c>
      <c r="L30" s="346"/>
      <c r="M30" s="346"/>
      <c r="N30" s="346"/>
      <c r="O30" s="345"/>
      <c r="P30" s="345"/>
      <c r="Q30" s="345"/>
      <c r="R30" s="345">
        <v>0</v>
      </c>
      <c r="S30" s="345">
        <v>158.9</v>
      </c>
      <c r="T30" s="345">
        <v>158.9</v>
      </c>
      <c r="U30" s="345">
        <v>0</v>
      </c>
      <c r="V30" s="345">
        <v>142.5</v>
      </c>
      <c r="W30" s="345">
        <v>142.5</v>
      </c>
      <c r="X30" s="345">
        <v>0</v>
      </c>
      <c r="Y30" s="345">
        <v>190</v>
      </c>
      <c r="Z30" s="345">
        <v>190</v>
      </c>
      <c r="AA30">
        <f t="shared" si="0"/>
        <v>0</v>
      </c>
    </row>
    <row r="31" spans="1:27" ht="28.8" x14ac:dyDescent="0.3">
      <c r="A31" s="345" t="s">
        <v>1706</v>
      </c>
      <c r="B31" s="805"/>
      <c r="C31" s="802"/>
      <c r="D31" s="802"/>
      <c r="E31" s="803"/>
      <c r="F31" s="805">
        <v>176</v>
      </c>
      <c r="G31" s="803"/>
      <c r="H31" s="345">
        <v>176</v>
      </c>
      <c r="I31" s="345">
        <v>0</v>
      </c>
      <c r="J31" s="345">
        <v>184.5</v>
      </c>
      <c r="K31" s="345">
        <v>184.5</v>
      </c>
      <c r="L31" s="346"/>
      <c r="M31" s="346"/>
      <c r="N31" s="346"/>
      <c r="O31" s="345"/>
      <c r="P31" s="345"/>
      <c r="Q31" s="345"/>
      <c r="R31" s="345">
        <v>0</v>
      </c>
      <c r="S31" s="345">
        <v>158.9</v>
      </c>
      <c r="T31" s="345">
        <v>158.9</v>
      </c>
      <c r="U31" s="345">
        <v>0</v>
      </c>
      <c r="V31" s="345">
        <v>142.5</v>
      </c>
      <c r="W31" s="345">
        <v>142.5</v>
      </c>
      <c r="X31" s="345">
        <v>0</v>
      </c>
      <c r="Y31" s="345">
        <v>190</v>
      </c>
      <c r="Z31" s="345">
        <v>190</v>
      </c>
      <c r="AA31">
        <f t="shared" si="0"/>
        <v>0</v>
      </c>
    </row>
    <row r="32" spans="1:27" ht="28.8" x14ac:dyDescent="0.3">
      <c r="A32" s="345" t="s">
        <v>1707</v>
      </c>
      <c r="B32" s="805"/>
      <c r="C32" s="802"/>
      <c r="D32" s="802"/>
      <c r="E32" s="803"/>
      <c r="F32" s="805">
        <v>181</v>
      </c>
      <c r="G32" s="803"/>
      <c r="H32" s="345">
        <v>181</v>
      </c>
      <c r="I32" s="345">
        <v>5.5</v>
      </c>
      <c r="J32" s="345">
        <v>190</v>
      </c>
      <c r="K32" s="345">
        <v>190</v>
      </c>
      <c r="L32" s="346"/>
      <c r="M32" s="346"/>
      <c r="N32" s="346"/>
      <c r="O32" s="345"/>
      <c r="P32" s="345"/>
      <c r="Q32" s="345"/>
      <c r="R32" s="345">
        <v>7.5</v>
      </c>
      <c r="S32" s="345">
        <v>166.4</v>
      </c>
      <c r="T32" s="345">
        <v>166.4</v>
      </c>
      <c r="U32" s="345">
        <v>7.5</v>
      </c>
      <c r="V32" s="345">
        <v>150</v>
      </c>
      <c r="W32" s="345">
        <v>150</v>
      </c>
      <c r="X32" s="345">
        <v>5</v>
      </c>
      <c r="Y32" s="345">
        <v>195</v>
      </c>
      <c r="Z32" s="345">
        <v>195</v>
      </c>
      <c r="AA32">
        <f t="shared" si="0"/>
        <v>5.5</v>
      </c>
    </row>
    <row r="33" spans="1:27" s="362" customFormat="1" ht="28.8" x14ac:dyDescent="0.3">
      <c r="A33" s="359" t="s">
        <v>1708</v>
      </c>
      <c r="B33" s="811"/>
      <c r="C33" s="812"/>
      <c r="D33" s="812"/>
      <c r="E33" s="813"/>
      <c r="F33" s="811">
        <v>181</v>
      </c>
      <c r="G33" s="813"/>
      <c r="H33" s="359">
        <v>181</v>
      </c>
      <c r="I33" s="359">
        <v>0</v>
      </c>
      <c r="J33" s="359">
        <v>190</v>
      </c>
      <c r="K33" s="359">
        <v>190</v>
      </c>
      <c r="L33" s="359"/>
      <c r="M33" s="359"/>
      <c r="N33" s="359"/>
      <c r="O33" s="359"/>
      <c r="P33" s="359"/>
      <c r="Q33" s="359"/>
      <c r="R33" s="359">
        <v>0</v>
      </c>
      <c r="S33" s="359">
        <v>166.4</v>
      </c>
      <c r="T33" s="359">
        <v>166.4</v>
      </c>
      <c r="U33" s="359">
        <v>0</v>
      </c>
      <c r="V33" s="359">
        <v>150</v>
      </c>
      <c r="W33" s="359">
        <v>150</v>
      </c>
      <c r="X33" s="359">
        <v>0</v>
      </c>
      <c r="Y33" s="359">
        <v>195</v>
      </c>
      <c r="Z33" s="359">
        <v>195</v>
      </c>
      <c r="AA33" s="362">
        <f t="shared" si="0"/>
        <v>0</v>
      </c>
    </row>
    <row r="34" spans="1:27" ht="28.8" x14ac:dyDescent="0.3">
      <c r="A34" s="345" t="s">
        <v>1709</v>
      </c>
      <c r="B34" s="805"/>
      <c r="C34" s="802"/>
      <c r="D34" s="802"/>
      <c r="E34" s="803"/>
      <c r="F34" s="805">
        <v>0</v>
      </c>
      <c r="G34" s="803"/>
      <c r="H34" s="345">
        <v>181</v>
      </c>
      <c r="I34" s="345">
        <v>0</v>
      </c>
      <c r="J34" s="345">
        <v>0</v>
      </c>
      <c r="K34" s="345">
        <v>190</v>
      </c>
      <c r="L34" s="346"/>
      <c r="M34" s="346"/>
      <c r="N34" s="346"/>
      <c r="O34" s="345"/>
      <c r="P34" s="345"/>
      <c r="Q34" s="345"/>
      <c r="R34" s="345">
        <v>0</v>
      </c>
      <c r="S34" s="345">
        <v>0</v>
      </c>
      <c r="T34" s="345">
        <v>166.4</v>
      </c>
      <c r="U34" s="345">
        <v>0</v>
      </c>
      <c r="V34" s="345">
        <v>0</v>
      </c>
      <c r="W34" s="345">
        <v>150</v>
      </c>
      <c r="X34" s="345">
        <v>0</v>
      </c>
      <c r="Y34" s="345">
        <v>0</v>
      </c>
      <c r="Z34" s="345">
        <v>195</v>
      </c>
      <c r="AA34">
        <f t="shared" si="0"/>
        <v>0</v>
      </c>
    </row>
    <row r="35" spans="1:27" ht="28.8" x14ac:dyDescent="0.3">
      <c r="A35" s="345" t="s">
        <v>1710</v>
      </c>
      <c r="B35" s="805"/>
      <c r="C35" s="802"/>
      <c r="D35" s="802"/>
      <c r="E35" s="803"/>
      <c r="F35" s="805">
        <v>25</v>
      </c>
      <c r="G35" s="803"/>
      <c r="H35" s="345">
        <v>206</v>
      </c>
      <c r="I35" s="345">
        <v>23</v>
      </c>
      <c r="J35" s="345">
        <v>23</v>
      </c>
      <c r="K35" s="345">
        <v>213</v>
      </c>
      <c r="L35" s="346"/>
      <c r="M35" s="346"/>
      <c r="N35" s="346"/>
      <c r="O35" s="345"/>
      <c r="P35" s="345"/>
      <c r="Q35" s="345"/>
      <c r="R35" s="345">
        <v>30</v>
      </c>
      <c r="S35" s="345">
        <v>30</v>
      </c>
      <c r="T35" s="345">
        <v>196.4</v>
      </c>
      <c r="U35" s="345">
        <v>30</v>
      </c>
      <c r="V35" s="345">
        <v>30</v>
      </c>
      <c r="W35" s="345">
        <v>180</v>
      </c>
      <c r="X35" s="345">
        <v>35.5</v>
      </c>
      <c r="Y35" s="345">
        <v>35.5</v>
      </c>
      <c r="Z35" s="345">
        <v>230.5</v>
      </c>
      <c r="AA35">
        <f t="shared" si="0"/>
        <v>23</v>
      </c>
    </row>
    <row r="36" spans="1:27" ht="28.8" x14ac:dyDescent="0.3">
      <c r="A36" s="345" t="s">
        <v>1711</v>
      </c>
      <c r="B36" s="805"/>
      <c r="C36" s="802"/>
      <c r="D36" s="802"/>
      <c r="E36" s="803"/>
      <c r="F36" s="805">
        <v>27.5</v>
      </c>
      <c r="G36" s="803"/>
      <c r="H36" s="345">
        <v>208.5</v>
      </c>
      <c r="I36" s="345">
        <v>4.5</v>
      </c>
      <c r="J36" s="345">
        <v>27.5</v>
      </c>
      <c r="K36" s="345">
        <v>217.5</v>
      </c>
      <c r="L36" s="346"/>
      <c r="M36" s="346"/>
      <c r="N36" s="346"/>
      <c r="O36" s="345"/>
      <c r="P36" s="345"/>
      <c r="Q36" s="345"/>
      <c r="R36" s="345"/>
      <c r="S36" s="345"/>
      <c r="T36" s="345"/>
      <c r="U36" s="345">
        <v>1.5</v>
      </c>
      <c r="V36" s="345">
        <v>31.5</v>
      </c>
      <c r="W36" s="345">
        <v>181.5</v>
      </c>
      <c r="X36" s="345">
        <v>1.5</v>
      </c>
      <c r="Y36" s="345">
        <v>37</v>
      </c>
      <c r="Z36" s="345">
        <v>232</v>
      </c>
      <c r="AA36">
        <f t="shared" si="0"/>
        <v>4.5</v>
      </c>
    </row>
    <row r="37" spans="1:27" ht="28.8" x14ac:dyDescent="0.3">
      <c r="A37" s="345" t="s">
        <v>1712</v>
      </c>
      <c r="B37" s="805"/>
      <c r="C37" s="802"/>
      <c r="D37" s="802"/>
      <c r="E37" s="803"/>
      <c r="F37" s="805">
        <v>32</v>
      </c>
      <c r="G37" s="803"/>
      <c r="H37" s="345">
        <v>213</v>
      </c>
      <c r="I37" s="345">
        <v>5</v>
      </c>
      <c r="J37" s="345">
        <v>32.5</v>
      </c>
      <c r="K37" s="345">
        <v>222.5</v>
      </c>
      <c r="L37" s="346"/>
      <c r="M37" s="346"/>
      <c r="N37" s="346"/>
      <c r="O37" s="345"/>
      <c r="P37" s="345"/>
      <c r="Q37" s="345"/>
      <c r="R37" s="345">
        <v>2.5</v>
      </c>
      <c r="S37" s="345">
        <v>32.5</v>
      </c>
      <c r="T37" s="345">
        <v>198.9</v>
      </c>
      <c r="U37" s="345">
        <v>2.5</v>
      </c>
      <c r="V37" s="345">
        <v>34</v>
      </c>
      <c r="W37" s="345">
        <v>184</v>
      </c>
      <c r="X37" s="345">
        <v>2</v>
      </c>
      <c r="Y37" s="345">
        <v>39</v>
      </c>
      <c r="Z37" s="345">
        <v>234</v>
      </c>
      <c r="AA37">
        <f t="shared" si="0"/>
        <v>5</v>
      </c>
    </row>
    <row r="38" spans="1:27" ht="28.8" x14ac:dyDescent="0.3">
      <c r="A38" s="345" t="s">
        <v>1713</v>
      </c>
      <c r="B38" s="805"/>
      <c r="C38" s="802"/>
      <c r="D38" s="802"/>
      <c r="E38" s="803"/>
      <c r="F38" s="805">
        <v>98</v>
      </c>
      <c r="G38" s="803"/>
      <c r="H38" s="345">
        <v>279</v>
      </c>
      <c r="I38" s="345">
        <v>63</v>
      </c>
      <c r="J38" s="345">
        <v>95.5</v>
      </c>
      <c r="K38" s="345">
        <v>285.5</v>
      </c>
      <c r="L38" s="346"/>
      <c r="M38" s="346"/>
      <c r="N38" s="346"/>
      <c r="O38" s="345"/>
      <c r="P38" s="345"/>
      <c r="Q38" s="345"/>
      <c r="R38" s="345">
        <v>46</v>
      </c>
      <c r="S38" s="345">
        <v>78.5</v>
      </c>
      <c r="T38" s="345">
        <v>244.9</v>
      </c>
      <c r="U38" s="345">
        <v>46</v>
      </c>
      <c r="V38" s="345">
        <v>80</v>
      </c>
      <c r="W38" s="345">
        <v>230</v>
      </c>
      <c r="X38" s="345">
        <v>61</v>
      </c>
      <c r="Y38" s="345">
        <v>100</v>
      </c>
      <c r="Z38" s="345">
        <v>295</v>
      </c>
      <c r="AA38">
        <f t="shared" si="0"/>
        <v>63</v>
      </c>
    </row>
    <row r="39" spans="1:27" ht="28.8" x14ac:dyDescent="0.3">
      <c r="A39" s="345" t="s">
        <v>1714</v>
      </c>
      <c r="B39" s="805"/>
      <c r="C39" s="802"/>
      <c r="D39" s="802"/>
      <c r="E39" s="803"/>
      <c r="F39" s="805">
        <v>108</v>
      </c>
      <c r="G39" s="803"/>
      <c r="H39" s="345">
        <v>289</v>
      </c>
      <c r="I39" s="345">
        <v>11.5</v>
      </c>
      <c r="J39" s="345">
        <v>107</v>
      </c>
      <c r="K39" s="345">
        <v>297</v>
      </c>
      <c r="L39" s="346"/>
      <c r="M39" s="346"/>
      <c r="N39" s="346"/>
      <c r="O39" s="345"/>
      <c r="P39" s="345"/>
      <c r="Q39" s="345"/>
      <c r="R39" s="345">
        <v>6</v>
      </c>
      <c r="S39" s="345">
        <v>84.5</v>
      </c>
      <c r="T39" s="345">
        <v>250.9</v>
      </c>
      <c r="U39" s="345">
        <v>6</v>
      </c>
      <c r="V39" s="345">
        <v>86</v>
      </c>
      <c r="W39" s="345">
        <v>236</v>
      </c>
      <c r="X39" s="345">
        <v>9.5</v>
      </c>
      <c r="Y39" s="345">
        <v>109.5</v>
      </c>
      <c r="Z39" s="345">
        <v>304.5</v>
      </c>
      <c r="AA39">
        <f t="shared" si="0"/>
        <v>11.5</v>
      </c>
    </row>
    <row r="40" spans="1:27" ht="28.8" x14ac:dyDescent="0.3">
      <c r="A40" s="345" t="s">
        <v>1715</v>
      </c>
      <c r="B40" s="805"/>
      <c r="C40" s="802"/>
      <c r="D40" s="802"/>
      <c r="E40" s="803"/>
      <c r="F40" s="805">
        <v>142</v>
      </c>
      <c r="G40" s="803"/>
      <c r="H40" s="345">
        <v>323</v>
      </c>
      <c r="I40" s="345">
        <v>27</v>
      </c>
      <c r="J40" s="345">
        <v>134</v>
      </c>
      <c r="K40" s="345">
        <v>324</v>
      </c>
      <c r="L40" s="346"/>
      <c r="M40" s="346"/>
      <c r="N40" s="346"/>
      <c r="O40" s="345"/>
      <c r="P40" s="345"/>
      <c r="Q40" s="345"/>
      <c r="R40" s="345">
        <v>38.5</v>
      </c>
      <c r="S40" s="345">
        <v>123</v>
      </c>
      <c r="T40" s="345">
        <v>289.39999999999998</v>
      </c>
      <c r="U40" s="345">
        <v>38.5</v>
      </c>
      <c r="V40" s="345">
        <v>124.5</v>
      </c>
      <c r="W40" s="345">
        <v>274.5</v>
      </c>
      <c r="X40" s="345">
        <v>43</v>
      </c>
      <c r="Y40" s="345">
        <v>152.5</v>
      </c>
      <c r="Z40" s="345">
        <v>347.5</v>
      </c>
      <c r="AA40">
        <f t="shared" si="0"/>
        <v>27</v>
      </c>
    </row>
    <row r="41" spans="1:27" ht="28.8" x14ac:dyDescent="0.3">
      <c r="A41" s="345" t="s">
        <v>1716</v>
      </c>
      <c r="B41" s="805"/>
      <c r="C41" s="802"/>
      <c r="D41" s="802"/>
      <c r="E41" s="803"/>
      <c r="F41" s="805">
        <v>154.5</v>
      </c>
      <c r="G41" s="803"/>
      <c r="H41" s="345">
        <v>335.5</v>
      </c>
      <c r="I41" s="345">
        <v>12</v>
      </c>
      <c r="J41" s="345">
        <v>146</v>
      </c>
      <c r="K41" s="345">
        <v>336</v>
      </c>
      <c r="L41" s="346"/>
      <c r="M41" s="346"/>
      <c r="N41" s="346"/>
      <c r="O41" s="345"/>
      <c r="P41" s="345"/>
      <c r="Q41" s="345"/>
      <c r="R41" s="345">
        <v>12.5</v>
      </c>
      <c r="S41" s="345">
        <v>135.5</v>
      </c>
      <c r="T41" s="345">
        <v>301.89999999999998</v>
      </c>
      <c r="U41" s="345">
        <v>12.5</v>
      </c>
      <c r="V41" s="345">
        <v>137</v>
      </c>
      <c r="W41" s="345">
        <v>287</v>
      </c>
      <c r="X41" s="345">
        <v>13.5</v>
      </c>
      <c r="Y41" s="345">
        <v>166</v>
      </c>
      <c r="Z41" s="345">
        <v>361</v>
      </c>
      <c r="AA41">
        <f t="shared" si="0"/>
        <v>12</v>
      </c>
    </row>
    <row r="42" spans="1:27" ht="28.8" x14ac:dyDescent="0.3">
      <c r="A42" s="345" t="s">
        <v>1717</v>
      </c>
      <c r="B42" s="805"/>
      <c r="C42" s="802"/>
      <c r="D42" s="802"/>
      <c r="E42" s="803"/>
      <c r="F42" s="805">
        <v>155.5</v>
      </c>
      <c r="G42" s="803"/>
      <c r="H42" s="345">
        <v>336.5</v>
      </c>
      <c r="I42" s="345">
        <v>1.5</v>
      </c>
      <c r="J42" s="345">
        <v>147.5</v>
      </c>
      <c r="K42" s="345">
        <v>337.5</v>
      </c>
      <c r="L42" s="346"/>
      <c r="M42" s="346"/>
      <c r="N42" s="346"/>
      <c r="O42" s="345"/>
      <c r="P42" s="345"/>
      <c r="Q42" s="345"/>
      <c r="R42" s="345">
        <v>6</v>
      </c>
      <c r="S42" s="345">
        <v>141.5</v>
      </c>
      <c r="T42" s="345">
        <v>307.89999999999998</v>
      </c>
      <c r="U42" s="345">
        <v>6</v>
      </c>
      <c r="V42" s="345">
        <v>143</v>
      </c>
      <c r="W42" s="345">
        <v>293</v>
      </c>
      <c r="X42" s="345">
        <v>6.5</v>
      </c>
      <c r="Y42" s="345">
        <v>172.5</v>
      </c>
      <c r="Z42" s="345">
        <v>367.5</v>
      </c>
      <c r="AA42">
        <f t="shared" si="0"/>
        <v>1.5</v>
      </c>
    </row>
    <row r="43" spans="1:27" ht="28.8" x14ac:dyDescent="0.3">
      <c r="A43" s="345" t="s">
        <v>1718</v>
      </c>
      <c r="B43" s="805"/>
      <c r="C43" s="802"/>
      <c r="D43" s="802"/>
      <c r="E43" s="803"/>
      <c r="F43" s="805">
        <v>216.5</v>
      </c>
      <c r="G43" s="803"/>
      <c r="H43" s="345">
        <v>397.5</v>
      </c>
      <c r="I43" s="345">
        <v>51.5</v>
      </c>
      <c r="J43" s="345">
        <v>199</v>
      </c>
      <c r="K43" s="345">
        <v>389</v>
      </c>
      <c r="L43" s="346"/>
      <c r="M43" s="346"/>
      <c r="N43" s="346"/>
      <c r="O43" s="345"/>
      <c r="P43" s="345"/>
      <c r="Q43" s="345"/>
      <c r="R43" s="345">
        <v>42</v>
      </c>
      <c r="S43" s="345">
        <v>183.5</v>
      </c>
      <c r="T43" s="345">
        <v>349.9</v>
      </c>
      <c r="U43" s="345">
        <v>42</v>
      </c>
      <c r="V43" s="345">
        <v>185</v>
      </c>
      <c r="W43" s="345">
        <v>335</v>
      </c>
      <c r="X43" s="345">
        <v>42.5</v>
      </c>
      <c r="Y43" s="345">
        <v>215</v>
      </c>
      <c r="Z43" s="345">
        <v>410</v>
      </c>
      <c r="AA43">
        <f t="shared" si="0"/>
        <v>51.5</v>
      </c>
    </row>
    <row r="44" spans="1:27" ht="28.8" x14ac:dyDescent="0.3">
      <c r="A44" s="345" t="s">
        <v>1719</v>
      </c>
      <c r="B44" s="805"/>
      <c r="C44" s="802"/>
      <c r="D44" s="802"/>
      <c r="E44" s="803"/>
      <c r="F44" s="805">
        <v>236</v>
      </c>
      <c r="G44" s="803"/>
      <c r="H44" s="345">
        <v>417</v>
      </c>
      <c r="I44" s="345">
        <v>20</v>
      </c>
      <c r="J44" s="345">
        <v>219</v>
      </c>
      <c r="K44" s="345">
        <v>409</v>
      </c>
      <c r="L44" s="346"/>
      <c r="M44" s="346"/>
      <c r="N44" s="346"/>
      <c r="O44" s="345"/>
      <c r="P44" s="345"/>
      <c r="Q44" s="345"/>
      <c r="R44" s="345">
        <v>18</v>
      </c>
      <c r="S44" s="345">
        <v>201.5</v>
      </c>
      <c r="T44" s="345">
        <v>367.9</v>
      </c>
      <c r="U44" s="345">
        <v>18</v>
      </c>
      <c r="V44" s="345">
        <v>203</v>
      </c>
      <c r="W44" s="345">
        <v>353</v>
      </c>
      <c r="X44" s="345">
        <v>17.5</v>
      </c>
      <c r="Y44" s="345">
        <v>232.5</v>
      </c>
      <c r="Z44" s="345">
        <v>427.5</v>
      </c>
      <c r="AA44">
        <f t="shared" si="0"/>
        <v>20</v>
      </c>
    </row>
    <row r="45" spans="1:27" ht="28.8" x14ac:dyDescent="0.3">
      <c r="A45" s="345" t="s">
        <v>1720</v>
      </c>
      <c r="B45" s="805"/>
      <c r="C45" s="802"/>
      <c r="D45" s="802"/>
      <c r="E45" s="803"/>
      <c r="F45" s="805">
        <v>242</v>
      </c>
      <c r="G45" s="803"/>
      <c r="H45" s="345">
        <v>423</v>
      </c>
      <c r="I45" s="345">
        <v>4.5</v>
      </c>
      <c r="J45" s="345">
        <v>223.5</v>
      </c>
      <c r="K45" s="345">
        <v>413.5</v>
      </c>
      <c r="L45" s="346"/>
      <c r="M45" s="346"/>
      <c r="N45" s="346"/>
      <c r="O45" s="345"/>
      <c r="P45" s="345"/>
      <c r="Q45" s="345"/>
      <c r="R45" s="345">
        <v>5</v>
      </c>
      <c r="S45" s="345">
        <v>206.5</v>
      </c>
      <c r="T45" s="345">
        <v>372.9</v>
      </c>
      <c r="U45" s="345">
        <v>5</v>
      </c>
      <c r="V45" s="345">
        <v>208</v>
      </c>
      <c r="W45" s="345">
        <v>358</v>
      </c>
      <c r="X45" s="345">
        <v>6</v>
      </c>
      <c r="Y45" s="345">
        <v>238.5</v>
      </c>
      <c r="Z45" s="345">
        <v>433.5</v>
      </c>
      <c r="AA45">
        <f t="shared" si="0"/>
        <v>4.5</v>
      </c>
    </row>
    <row r="46" spans="1:27" ht="28.8" x14ac:dyDescent="0.3">
      <c r="A46" s="345" t="s">
        <v>1721</v>
      </c>
      <c r="B46" s="805"/>
      <c r="C46" s="802"/>
      <c r="D46" s="802"/>
      <c r="E46" s="803"/>
      <c r="F46" s="805">
        <v>244</v>
      </c>
      <c r="G46" s="803"/>
      <c r="H46" s="345">
        <v>425</v>
      </c>
      <c r="I46" s="345">
        <v>3</v>
      </c>
      <c r="J46" s="345">
        <v>226.5</v>
      </c>
      <c r="K46" s="345">
        <v>416.5</v>
      </c>
      <c r="L46" s="346"/>
      <c r="M46" s="346"/>
      <c r="N46" s="346"/>
      <c r="O46" s="345"/>
      <c r="P46" s="345"/>
      <c r="Q46" s="345"/>
      <c r="R46" s="345">
        <v>1.5</v>
      </c>
      <c r="S46" s="345">
        <v>208</v>
      </c>
      <c r="T46" s="345">
        <v>374.4</v>
      </c>
      <c r="U46" s="345">
        <v>1.5</v>
      </c>
      <c r="V46" s="345">
        <v>209.5</v>
      </c>
      <c r="W46" s="345">
        <v>359.5</v>
      </c>
      <c r="X46" s="345">
        <v>2</v>
      </c>
      <c r="Y46" s="345">
        <v>240.5</v>
      </c>
      <c r="Z46" s="345">
        <v>435.5</v>
      </c>
      <c r="AA46">
        <f t="shared" si="0"/>
        <v>3</v>
      </c>
    </row>
    <row r="47" spans="1:27" ht="28.8" x14ac:dyDescent="0.3">
      <c r="A47" s="345" t="s">
        <v>1722</v>
      </c>
      <c r="B47" s="805"/>
      <c r="C47" s="802"/>
      <c r="D47" s="802"/>
      <c r="E47" s="803"/>
      <c r="F47" s="805">
        <v>253</v>
      </c>
      <c r="G47" s="803"/>
      <c r="H47" s="345">
        <v>434</v>
      </c>
      <c r="I47" s="345">
        <v>9</v>
      </c>
      <c r="J47" s="345">
        <v>235.5</v>
      </c>
      <c r="K47" s="345">
        <v>425.5</v>
      </c>
      <c r="L47" s="346"/>
      <c r="M47" s="346"/>
      <c r="N47" s="346"/>
      <c r="O47" s="345"/>
      <c r="P47" s="345"/>
      <c r="Q47" s="345"/>
      <c r="R47" s="345">
        <v>6</v>
      </c>
      <c r="S47" s="345">
        <v>214</v>
      </c>
      <c r="T47" s="345">
        <v>380.4</v>
      </c>
      <c r="U47" s="345">
        <v>6</v>
      </c>
      <c r="V47" s="345">
        <v>215.5</v>
      </c>
      <c r="W47" s="345">
        <v>365.5</v>
      </c>
      <c r="X47" s="345">
        <v>5.5</v>
      </c>
      <c r="Y47" s="345">
        <v>246</v>
      </c>
      <c r="Z47" s="345">
        <v>441</v>
      </c>
      <c r="AA47">
        <f t="shared" si="0"/>
        <v>9</v>
      </c>
    </row>
    <row r="48" spans="1:27" ht="28.8" x14ac:dyDescent="0.3">
      <c r="A48" s="345" t="s">
        <v>1723</v>
      </c>
      <c r="B48" s="805"/>
      <c r="C48" s="802"/>
      <c r="D48" s="802"/>
      <c r="E48" s="803"/>
      <c r="F48" s="805">
        <v>253.5</v>
      </c>
      <c r="G48" s="803"/>
      <c r="H48" s="345">
        <v>434.5</v>
      </c>
      <c r="I48" s="345">
        <v>0.5</v>
      </c>
      <c r="J48" s="345">
        <v>236</v>
      </c>
      <c r="K48" s="345">
        <v>426</v>
      </c>
      <c r="L48" s="346"/>
      <c r="M48" s="346"/>
      <c r="N48" s="346"/>
      <c r="O48" s="345"/>
      <c r="P48" s="345"/>
      <c r="Q48" s="345"/>
      <c r="R48" s="345">
        <v>0.5</v>
      </c>
      <c r="S48" s="345">
        <v>214.5</v>
      </c>
      <c r="T48" s="345">
        <v>380.9</v>
      </c>
      <c r="U48" s="345">
        <v>0.5</v>
      </c>
      <c r="V48" s="345">
        <v>216</v>
      </c>
      <c r="W48" s="345">
        <v>366</v>
      </c>
      <c r="X48" s="345">
        <v>0.5</v>
      </c>
      <c r="Y48" s="345">
        <v>246.5</v>
      </c>
      <c r="Z48" s="345">
        <v>441.5</v>
      </c>
      <c r="AA48">
        <f t="shared" si="0"/>
        <v>0.5</v>
      </c>
    </row>
    <row r="49" spans="1:27" ht="28.8" x14ac:dyDescent="0.3">
      <c r="A49" s="345" t="s">
        <v>1724</v>
      </c>
      <c r="B49" s="805"/>
      <c r="C49" s="802"/>
      <c r="D49" s="802"/>
      <c r="E49" s="803"/>
      <c r="F49" s="805">
        <v>253.5</v>
      </c>
      <c r="G49" s="803"/>
      <c r="H49" s="345">
        <v>434.5</v>
      </c>
      <c r="I49" s="345">
        <v>0</v>
      </c>
      <c r="J49" s="345">
        <v>236</v>
      </c>
      <c r="K49" s="345">
        <v>426</v>
      </c>
      <c r="L49" s="346"/>
      <c r="M49" s="346"/>
      <c r="N49" s="346"/>
      <c r="O49" s="345"/>
      <c r="P49" s="345"/>
      <c r="Q49" s="345"/>
      <c r="R49" s="345">
        <v>0</v>
      </c>
      <c r="S49" s="345">
        <v>214.5</v>
      </c>
      <c r="T49" s="345">
        <v>380.9</v>
      </c>
      <c r="U49" s="345">
        <v>0</v>
      </c>
      <c r="V49" s="345">
        <v>216</v>
      </c>
      <c r="W49" s="345">
        <v>366</v>
      </c>
      <c r="X49" s="345">
        <v>0</v>
      </c>
      <c r="Y49" s="345">
        <v>246.5</v>
      </c>
      <c r="Z49" s="345">
        <v>441.5</v>
      </c>
      <c r="AA49">
        <f t="shared" si="0"/>
        <v>0</v>
      </c>
    </row>
    <row r="50" spans="1:27" ht="28.8" x14ac:dyDescent="0.3">
      <c r="A50" s="345" t="s">
        <v>1725</v>
      </c>
      <c r="B50" s="805"/>
      <c r="C50" s="802"/>
      <c r="D50" s="802"/>
      <c r="E50" s="803"/>
      <c r="F50" s="805">
        <v>289</v>
      </c>
      <c r="G50" s="803"/>
      <c r="H50" s="345">
        <v>470</v>
      </c>
      <c r="I50" s="345">
        <v>25.5</v>
      </c>
      <c r="J50" s="345">
        <v>261.5</v>
      </c>
      <c r="K50" s="345">
        <v>451.5</v>
      </c>
      <c r="L50" s="346"/>
      <c r="M50" s="346"/>
      <c r="N50" s="346"/>
      <c r="O50" s="345"/>
      <c r="P50" s="345"/>
      <c r="Q50" s="345"/>
      <c r="R50" s="345">
        <v>35</v>
      </c>
      <c r="S50" s="345">
        <v>249.5</v>
      </c>
      <c r="T50" s="345">
        <v>415.9</v>
      </c>
      <c r="U50" s="345">
        <v>35</v>
      </c>
      <c r="V50" s="345">
        <v>251</v>
      </c>
      <c r="W50" s="345">
        <v>401</v>
      </c>
      <c r="X50" s="345">
        <v>37</v>
      </c>
      <c r="Y50" s="345">
        <v>283.5</v>
      </c>
      <c r="Z50" s="345">
        <v>478.5</v>
      </c>
      <c r="AA50">
        <f t="shared" si="0"/>
        <v>25.5</v>
      </c>
    </row>
    <row r="51" spans="1:27" ht="28.8" x14ac:dyDescent="0.3">
      <c r="A51" s="345" t="s">
        <v>1726</v>
      </c>
      <c r="B51" s="805"/>
      <c r="C51" s="802"/>
      <c r="D51" s="802"/>
      <c r="E51" s="803"/>
      <c r="F51" s="805">
        <v>289</v>
      </c>
      <c r="G51" s="803"/>
      <c r="H51" s="345">
        <v>470</v>
      </c>
      <c r="I51" s="345">
        <v>0.2</v>
      </c>
      <c r="J51" s="345">
        <v>261.7</v>
      </c>
      <c r="K51" s="345">
        <v>451.7</v>
      </c>
      <c r="L51" s="346"/>
      <c r="M51" s="346"/>
      <c r="N51" s="346"/>
      <c r="O51" s="345"/>
      <c r="P51" s="345"/>
      <c r="Q51" s="345"/>
      <c r="R51" s="345">
        <v>0</v>
      </c>
      <c r="S51" s="345">
        <v>249.5</v>
      </c>
      <c r="T51" s="345">
        <v>415.9</v>
      </c>
      <c r="U51" s="345">
        <v>0</v>
      </c>
      <c r="V51" s="345">
        <v>251</v>
      </c>
      <c r="W51" s="345">
        <v>401</v>
      </c>
      <c r="X51" s="345">
        <v>0</v>
      </c>
      <c r="Y51" s="345">
        <v>283.5</v>
      </c>
      <c r="Z51" s="345">
        <v>478.5</v>
      </c>
      <c r="AA51">
        <f t="shared" si="0"/>
        <v>0.2</v>
      </c>
    </row>
    <row r="52" spans="1:27" ht="28.8" x14ac:dyDescent="0.3">
      <c r="A52" s="345" t="s">
        <v>1727</v>
      </c>
      <c r="B52" s="805"/>
      <c r="C52" s="802"/>
      <c r="D52" s="802"/>
      <c r="E52" s="803"/>
      <c r="F52" s="805">
        <v>289.5</v>
      </c>
      <c r="G52" s="803"/>
      <c r="H52" s="345">
        <v>470.5</v>
      </c>
      <c r="I52" s="345">
        <v>0.5</v>
      </c>
      <c r="J52" s="345">
        <v>262.2</v>
      </c>
      <c r="K52" s="345">
        <v>452.2</v>
      </c>
      <c r="L52" s="346"/>
      <c r="M52" s="346"/>
      <c r="N52" s="346"/>
      <c r="O52" s="345"/>
      <c r="P52" s="345"/>
      <c r="Q52" s="345"/>
      <c r="R52" s="345">
        <v>1</v>
      </c>
      <c r="S52" s="345">
        <v>250.5</v>
      </c>
      <c r="T52" s="345">
        <v>416.9</v>
      </c>
      <c r="U52" s="345">
        <v>1</v>
      </c>
      <c r="V52" s="345">
        <v>252</v>
      </c>
      <c r="W52" s="345">
        <v>402</v>
      </c>
      <c r="X52" s="345">
        <v>1</v>
      </c>
      <c r="Y52" s="345">
        <v>284.5</v>
      </c>
      <c r="Z52" s="345">
        <v>479.5</v>
      </c>
      <c r="AA52">
        <f t="shared" si="0"/>
        <v>0.5</v>
      </c>
    </row>
    <row r="53" spans="1:27" ht="28.8" x14ac:dyDescent="0.3">
      <c r="A53" s="345" t="s">
        <v>1728</v>
      </c>
      <c r="B53" s="805"/>
      <c r="C53" s="802"/>
      <c r="D53" s="802"/>
      <c r="E53" s="803"/>
      <c r="F53" s="805">
        <v>305</v>
      </c>
      <c r="G53" s="803"/>
      <c r="H53" s="345">
        <v>486</v>
      </c>
      <c r="I53" s="345">
        <v>10</v>
      </c>
      <c r="J53" s="345">
        <v>272.2</v>
      </c>
      <c r="K53" s="345">
        <v>462.2</v>
      </c>
      <c r="L53" s="346"/>
      <c r="M53" s="346"/>
      <c r="N53" s="346"/>
      <c r="O53" s="345"/>
      <c r="P53" s="345"/>
      <c r="Q53" s="345"/>
      <c r="R53" s="345">
        <v>14.5</v>
      </c>
      <c r="S53" s="345">
        <v>265</v>
      </c>
      <c r="T53" s="345">
        <v>431.4</v>
      </c>
      <c r="U53" s="345">
        <v>14.5</v>
      </c>
      <c r="V53" s="345">
        <v>266.5</v>
      </c>
      <c r="W53" s="345">
        <v>416.5</v>
      </c>
      <c r="X53" s="345">
        <v>14</v>
      </c>
      <c r="Y53" s="345">
        <v>298.5</v>
      </c>
      <c r="Z53" s="345">
        <v>493.5</v>
      </c>
      <c r="AA53">
        <f t="shared" si="0"/>
        <v>10</v>
      </c>
    </row>
    <row r="54" spans="1:27" ht="28.8" x14ac:dyDescent="0.3">
      <c r="A54" s="345" t="s">
        <v>1729</v>
      </c>
      <c r="B54" s="805"/>
      <c r="C54" s="802"/>
      <c r="D54" s="802"/>
      <c r="E54" s="803"/>
      <c r="F54" s="805">
        <v>339.5</v>
      </c>
      <c r="G54" s="803"/>
      <c r="H54" s="345">
        <v>520.5</v>
      </c>
      <c r="I54" s="345">
        <v>39.5</v>
      </c>
      <c r="J54" s="345">
        <v>311.7</v>
      </c>
      <c r="K54" s="345">
        <v>501.7</v>
      </c>
      <c r="L54" s="346"/>
      <c r="M54" s="346"/>
      <c r="N54" s="346"/>
      <c r="O54" s="345"/>
      <c r="P54" s="345"/>
      <c r="Q54" s="345"/>
      <c r="R54" s="345">
        <v>32.5</v>
      </c>
      <c r="S54" s="345">
        <v>297.5</v>
      </c>
      <c r="T54" s="345">
        <v>463.9</v>
      </c>
      <c r="U54" s="345">
        <v>32.5</v>
      </c>
      <c r="V54" s="345">
        <v>299</v>
      </c>
      <c r="W54" s="345">
        <v>449</v>
      </c>
      <c r="X54" s="345">
        <v>30</v>
      </c>
      <c r="Y54" s="345">
        <v>328.5</v>
      </c>
      <c r="Z54" s="345">
        <v>523.5</v>
      </c>
      <c r="AA54">
        <f t="shared" si="0"/>
        <v>39.5</v>
      </c>
    </row>
    <row r="55" spans="1:27" ht="28.8" x14ac:dyDescent="0.3">
      <c r="A55" s="345" t="s">
        <v>1730</v>
      </c>
      <c r="B55" s="805"/>
      <c r="C55" s="802"/>
      <c r="D55" s="802"/>
      <c r="E55" s="803"/>
      <c r="F55" s="805">
        <v>357</v>
      </c>
      <c r="G55" s="803"/>
      <c r="H55" s="345">
        <v>538</v>
      </c>
      <c r="I55" s="345">
        <v>12.5</v>
      </c>
      <c r="J55" s="345">
        <v>324.2</v>
      </c>
      <c r="K55" s="345">
        <v>514.20000000000005</v>
      </c>
      <c r="L55" s="346"/>
      <c r="M55" s="346"/>
      <c r="N55" s="346"/>
      <c r="O55" s="345"/>
      <c r="P55" s="345"/>
      <c r="Q55" s="345"/>
      <c r="R55" s="345">
        <v>13.5</v>
      </c>
      <c r="S55" s="345">
        <v>311</v>
      </c>
      <c r="T55" s="345">
        <v>477.4</v>
      </c>
      <c r="U55" s="345">
        <v>13.5</v>
      </c>
      <c r="V55" s="345">
        <v>312.5</v>
      </c>
      <c r="W55" s="345">
        <v>462.5</v>
      </c>
      <c r="X55" s="345">
        <v>20</v>
      </c>
      <c r="Y55" s="345">
        <v>348.5</v>
      </c>
      <c r="Z55" s="345">
        <v>543.5</v>
      </c>
      <c r="AA55">
        <f t="shared" si="0"/>
        <v>12.5</v>
      </c>
    </row>
    <row r="56" spans="1:27" ht="28.8" x14ac:dyDescent="0.3">
      <c r="A56" s="345" t="s">
        <v>1731</v>
      </c>
      <c r="B56" s="805"/>
      <c r="C56" s="802"/>
      <c r="D56" s="802"/>
      <c r="E56" s="803"/>
      <c r="F56" s="805">
        <v>361.5</v>
      </c>
      <c r="G56" s="803"/>
      <c r="H56" s="345">
        <v>542.5</v>
      </c>
      <c r="I56" s="345">
        <v>10.5</v>
      </c>
      <c r="J56" s="345">
        <v>334.7</v>
      </c>
      <c r="K56" s="345">
        <v>524.70000000000005</v>
      </c>
      <c r="L56" s="346"/>
      <c r="M56" s="346"/>
      <c r="N56" s="346"/>
      <c r="O56" s="345"/>
      <c r="P56" s="345"/>
      <c r="Q56" s="345"/>
      <c r="R56" s="345">
        <v>4</v>
      </c>
      <c r="S56" s="345">
        <v>315</v>
      </c>
      <c r="T56" s="345">
        <v>481.4</v>
      </c>
      <c r="U56" s="345">
        <v>4</v>
      </c>
      <c r="V56" s="345">
        <v>316.5</v>
      </c>
      <c r="W56" s="345">
        <v>466.5</v>
      </c>
      <c r="X56" s="345">
        <v>4</v>
      </c>
      <c r="Y56" s="345">
        <v>352.5</v>
      </c>
      <c r="Z56" s="345">
        <v>547.5</v>
      </c>
      <c r="AA56">
        <f t="shared" si="0"/>
        <v>10.5</v>
      </c>
    </row>
    <row r="57" spans="1:27" ht="28.8" x14ac:dyDescent="0.3">
      <c r="A57" s="345" t="s">
        <v>1732</v>
      </c>
      <c r="B57" s="805"/>
      <c r="C57" s="802"/>
      <c r="D57" s="802"/>
      <c r="E57" s="803"/>
      <c r="F57" s="805">
        <v>412</v>
      </c>
      <c r="G57" s="803"/>
      <c r="H57" s="345">
        <v>593</v>
      </c>
      <c r="I57" s="345">
        <v>60</v>
      </c>
      <c r="J57" s="345">
        <v>394.7</v>
      </c>
      <c r="K57" s="345">
        <v>584.70000000000005</v>
      </c>
      <c r="L57" s="346"/>
      <c r="M57" s="346"/>
      <c r="N57" s="346"/>
      <c r="O57" s="345"/>
      <c r="P57" s="345"/>
      <c r="Q57" s="345"/>
      <c r="R57" s="345">
        <v>49.5</v>
      </c>
      <c r="S57" s="345">
        <v>364.5</v>
      </c>
      <c r="T57" s="345">
        <v>530.9</v>
      </c>
      <c r="U57" s="345">
        <v>49.5</v>
      </c>
      <c r="V57" s="345">
        <v>366</v>
      </c>
      <c r="W57" s="345">
        <v>516</v>
      </c>
      <c r="X57" s="345">
        <v>5.7</v>
      </c>
      <c r="Y57" s="345">
        <v>358.2</v>
      </c>
      <c r="Z57" s="345">
        <v>553.20000000000005</v>
      </c>
      <c r="AA57">
        <f t="shared" si="0"/>
        <v>60</v>
      </c>
    </row>
    <row r="58" spans="1:27" ht="28.8" x14ac:dyDescent="0.3">
      <c r="A58" s="345" t="s">
        <v>1733</v>
      </c>
      <c r="B58" s="805"/>
      <c r="C58" s="802"/>
      <c r="D58" s="802"/>
      <c r="E58" s="803"/>
      <c r="F58" s="805">
        <v>413</v>
      </c>
      <c r="G58" s="803"/>
      <c r="H58" s="345">
        <v>594</v>
      </c>
      <c r="I58" s="345">
        <v>0.5</v>
      </c>
      <c r="J58" s="345">
        <v>395.2</v>
      </c>
      <c r="K58" s="345">
        <v>585.20000000000005</v>
      </c>
      <c r="L58" s="346"/>
      <c r="M58" s="346"/>
      <c r="N58" s="346"/>
      <c r="O58" s="345"/>
      <c r="P58" s="345"/>
      <c r="Q58" s="345"/>
      <c r="R58" s="345">
        <v>1</v>
      </c>
      <c r="S58" s="345">
        <v>365.5</v>
      </c>
      <c r="T58" s="345">
        <v>531.9</v>
      </c>
      <c r="U58" s="345">
        <v>1</v>
      </c>
      <c r="V58" s="345">
        <v>367</v>
      </c>
      <c r="W58" s="345">
        <v>517</v>
      </c>
      <c r="X58" s="345">
        <v>1</v>
      </c>
      <c r="Y58" s="345">
        <v>359.2</v>
      </c>
      <c r="Z58" s="345">
        <v>554.20000000000005</v>
      </c>
      <c r="AA58">
        <f t="shared" si="0"/>
        <v>0.5</v>
      </c>
    </row>
    <row r="59" spans="1:27" ht="28.8" x14ac:dyDescent="0.3">
      <c r="A59" s="345" t="s">
        <v>1734</v>
      </c>
      <c r="B59" s="805"/>
      <c r="C59" s="802"/>
      <c r="D59" s="802"/>
      <c r="E59" s="803"/>
      <c r="F59" s="805">
        <v>433</v>
      </c>
      <c r="G59" s="803"/>
      <c r="H59" s="345">
        <v>614</v>
      </c>
      <c r="I59" s="345">
        <v>20.5</v>
      </c>
      <c r="J59" s="345">
        <v>415.7</v>
      </c>
      <c r="K59" s="345">
        <v>605.70000000000005</v>
      </c>
      <c r="L59" s="346"/>
      <c r="M59" s="346"/>
      <c r="N59" s="346"/>
      <c r="O59" s="345"/>
      <c r="P59" s="345"/>
      <c r="Q59" s="345"/>
      <c r="R59" s="345">
        <v>17.5</v>
      </c>
      <c r="S59" s="345">
        <v>383</v>
      </c>
      <c r="T59" s="345">
        <v>549.4</v>
      </c>
      <c r="U59" s="345">
        <v>17.5</v>
      </c>
      <c r="V59" s="345">
        <v>384.5</v>
      </c>
      <c r="W59" s="345">
        <v>534.5</v>
      </c>
      <c r="X59" s="345">
        <v>16.5</v>
      </c>
      <c r="Y59" s="345">
        <v>375.7</v>
      </c>
      <c r="Z59" s="345">
        <v>570.70000000000005</v>
      </c>
      <c r="AA59">
        <f t="shared" si="0"/>
        <v>20.5</v>
      </c>
    </row>
    <row r="60" spans="1:27" ht="28.8" x14ac:dyDescent="0.3">
      <c r="A60" s="345" t="s">
        <v>1735</v>
      </c>
      <c r="B60" s="805"/>
      <c r="C60" s="802"/>
      <c r="D60" s="802"/>
      <c r="E60" s="803"/>
      <c r="F60" s="805">
        <v>433.5</v>
      </c>
      <c r="G60" s="803"/>
      <c r="H60" s="345">
        <v>614.5</v>
      </c>
      <c r="I60" s="345">
        <v>0.5</v>
      </c>
      <c r="J60" s="345">
        <v>416.2</v>
      </c>
      <c r="K60" s="345">
        <v>606.20000000000005</v>
      </c>
      <c r="L60" s="346"/>
      <c r="M60" s="346"/>
      <c r="N60" s="346"/>
      <c r="O60" s="345"/>
      <c r="P60" s="345"/>
      <c r="Q60" s="345"/>
      <c r="R60" s="345">
        <v>0.5</v>
      </c>
      <c r="S60" s="345">
        <v>383.5</v>
      </c>
      <c r="T60" s="345">
        <v>549.9</v>
      </c>
      <c r="U60" s="345">
        <v>0.5</v>
      </c>
      <c r="V60" s="345">
        <v>385</v>
      </c>
      <c r="W60" s="345">
        <v>535</v>
      </c>
      <c r="X60" s="345">
        <v>0.5</v>
      </c>
      <c r="Y60" s="345">
        <v>376.2</v>
      </c>
      <c r="Z60" s="345">
        <v>571.20000000000005</v>
      </c>
      <c r="AA60">
        <f t="shared" si="0"/>
        <v>0.5</v>
      </c>
    </row>
    <row r="61" spans="1:27" s="362" customFormat="1" ht="28.8" x14ac:dyDescent="0.3">
      <c r="A61" s="359" t="s">
        <v>1736</v>
      </c>
      <c r="B61" s="811"/>
      <c r="C61" s="812"/>
      <c r="D61" s="812"/>
      <c r="E61" s="813"/>
      <c r="F61" s="811">
        <v>433.5</v>
      </c>
      <c r="G61" s="813"/>
      <c r="H61" s="359">
        <v>614.5</v>
      </c>
      <c r="I61" s="359">
        <v>7</v>
      </c>
      <c r="J61" s="359">
        <v>423.2</v>
      </c>
      <c r="K61" s="359">
        <v>613.20000000000005</v>
      </c>
      <c r="L61" s="359"/>
      <c r="M61" s="359"/>
      <c r="N61" s="359"/>
      <c r="O61" s="359"/>
      <c r="P61" s="359"/>
      <c r="Q61" s="359"/>
      <c r="R61" s="359">
        <v>0</v>
      </c>
      <c r="S61" s="359">
        <v>383.5</v>
      </c>
      <c r="T61" s="359">
        <v>549.9</v>
      </c>
      <c r="U61" s="359">
        <v>0</v>
      </c>
      <c r="V61" s="359">
        <v>385</v>
      </c>
      <c r="W61" s="359">
        <v>535</v>
      </c>
      <c r="X61" s="359">
        <v>0</v>
      </c>
      <c r="Y61" s="359">
        <v>376.2</v>
      </c>
      <c r="Z61" s="359">
        <v>571.20000000000005</v>
      </c>
      <c r="AA61" s="362">
        <f t="shared" si="0"/>
        <v>7</v>
      </c>
    </row>
    <row r="62" spans="1:27" ht="28.8" x14ac:dyDescent="0.3">
      <c r="A62" s="345" t="s">
        <v>1737</v>
      </c>
      <c r="B62" s="805"/>
      <c r="C62" s="802"/>
      <c r="D62" s="802"/>
      <c r="E62" s="803"/>
      <c r="F62" s="805">
        <v>6.5</v>
      </c>
      <c r="G62" s="803"/>
      <c r="H62" s="345">
        <v>621</v>
      </c>
      <c r="I62" s="345">
        <v>4.5</v>
      </c>
      <c r="J62" s="345">
        <v>4.5</v>
      </c>
      <c r="K62" s="345">
        <v>617.70000000000005</v>
      </c>
      <c r="L62" s="346"/>
      <c r="M62" s="346"/>
      <c r="N62" s="346"/>
      <c r="O62" s="345"/>
      <c r="P62" s="345"/>
      <c r="Q62" s="345"/>
      <c r="R62" s="345">
        <v>5.5</v>
      </c>
      <c r="S62" s="345">
        <v>5.5</v>
      </c>
      <c r="T62" s="345">
        <v>555.4</v>
      </c>
      <c r="U62" s="345">
        <v>5.5</v>
      </c>
      <c r="V62" s="345">
        <v>5.5</v>
      </c>
      <c r="W62" s="345">
        <v>540.5</v>
      </c>
      <c r="X62" s="345">
        <v>6</v>
      </c>
      <c r="Y62" s="345">
        <v>6</v>
      </c>
      <c r="Z62" s="345">
        <v>577.20000000000005</v>
      </c>
      <c r="AA62">
        <f t="shared" si="0"/>
        <v>4.5</v>
      </c>
    </row>
    <row r="63" spans="1:27" ht="28.8" x14ac:dyDescent="0.3">
      <c r="A63" s="345" t="s">
        <v>1738</v>
      </c>
      <c r="B63" s="805"/>
      <c r="C63" s="802"/>
      <c r="D63" s="802"/>
      <c r="E63" s="803"/>
      <c r="F63" s="805">
        <v>8.5</v>
      </c>
      <c r="G63" s="803"/>
      <c r="H63" s="345">
        <v>623</v>
      </c>
      <c r="I63" s="345">
        <v>1.5</v>
      </c>
      <c r="J63" s="345">
        <v>6</v>
      </c>
      <c r="K63" s="345">
        <v>619.20000000000005</v>
      </c>
      <c r="L63" s="346"/>
      <c r="M63" s="346"/>
      <c r="N63" s="346"/>
      <c r="O63" s="345"/>
      <c r="P63" s="345"/>
      <c r="Q63" s="345"/>
      <c r="R63" s="345">
        <v>2.5</v>
      </c>
      <c r="S63" s="345">
        <v>8</v>
      </c>
      <c r="T63" s="345">
        <v>557.9</v>
      </c>
      <c r="U63" s="345">
        <v>2.5</v>
      </c>
      <c r="V63" s="345">
        <v>8</v>
      </c>
      <c r="W63" s="345">
        <v>543</v>
      </c>
      <c r="X63" s="345">
        <v>2.5</v>
      </c>
      <c r="Y63" s="345">
        <v>8.5</v>
      </c>
      <c r="Z63" s="345">
        <v>579.70000000000005</v>
      </c>
      <c r="AA63">
        <f t="shared" si="0"/>
        <v>1.5</v>
      </c>
    </row>
    <row r="64" spans="1:27" ht="28.8" x14ac:dyDescent="0.3">
      <c r="A64" s="345" t="s">
        <v>1739</v>
      </c>
      <c r="B64" s="805"/>
      <c r="C64" s="802"/>
      <c r="D64" s="802"/>
      <c r="E64" s="803"/>
      <c r="F64" s="805">
        <v>56.5</v>
      </c>
      <c r="G64" s="803"/>
      <c r="H64" s="345">
        <v>671</v>
      </c>
      <c r="I64" s="345">
        <v>24</v>
      </c>
      <c r="J64" s="345">
        <v>30</v>
      </c>
      <c r="K64" s="345">
        <v>643.20000000000005</v>
      </c>
      <c r="L64" s="346"/>
      <c r="M64" s="346"/>
      <c r="N64" s="346"/>
      <c r="O64" s="345"/>
      <c r="P64" s="345"/>
      <c r="Q64" s="345"/>
      <c r="R64" s="345">
        <v>25</v>
      </c>
      <c r="S64" s="345">
        <v>33</v>
      </c>
      <c r="T64" s="345">
        <v>582.9</v>
      </c>
      <c r="U64" s="345"/>
      <c r="V64" s="345"/>
      <c r="W64" s="345"/>
      <c r="X64" s="345">
        <v>23</v>
      </c>
      <c r="Y64" s="345">
        <v>31.5</v>
      </c>
      <c r="Z64" s="345">
        <v>602.70000000000005</v>
      </c>
      <c r="AA64">
        <f t="shared" si="0"/>
        <v>24</v>
      </c>
    </row>
    <row r="65" spans="1:27" ht="28.8" x14ac:dyDescent="0.3">
      <c r="A65" s="345" t="s">
        <v>1740</v>
      </c>
      <c r="B65" s="805"/>
      <c r="C65" s="802"/>
      <c r="D65" s="802"/>
      <c r="E65" s="803"/>
      <c r="F65" s="805">
        <v>116.5</v>
      </c>
      <c r="G65" s="803"/>
      <c r="H65" s="345">
        <v>731</v>
      </c>
      <c r="I65" s="345">
        <v>30</v>
      </c>
      <c r="J65" s="345">
        <v>60</v>
      </c>
      <c r="K65" s="345">
        <v>673.2</v>
      </c>
      <c r="L65" s="346"/>
      <c r="M65" s="346"/>
      <c r="N65" s="346"/>
      <c r="O65" s="345"/>
      <c r="P65" s="345"/>
      <c r="Q65" s="345"/>
      <c r="R65" s="345">
        <v>58.5</v>
      </c>
      <c r="S65" s="345">
        <v>91.5</v>
      </c>
      <c r="T65" s="345">
        <v>641.4</v>
      </c>
      <c r="U65" s="345"/>
      <c r="V65" s="345"/>
      <c r="W65" s="345"/>
      <c r="X65" s="345">
        <v>54.5</v>
      </c>
      <c r="Y65" s="345">
        <v>86</v>
      </c>
      <c r="Z65" s="345">
        <v>657.2</v>
      </c>
      <c r="AA65">
        <f t="shared" si="0"/>
        <v>30</v>
      </c>
    </row>
    <row r="66" spans="1:27" ht="28.8" x14ac:dyDescent="0.3">
      <c r="A66" s="345" t="s">
        <v>1741</v>
      </c>
      <c r="B66" s="805"/>
      <c r="C66" s="802"/>
      <c r="D66" s="802"/>
      <c r="E66" s="803"/>
      <c r="F66" s="805">
        <v>117</v>
      </c>
      <c r="G66" s="803"/>
      <c r="H66" s="345">
        <v>731.5</v>
      </c>
      <c r="I66" s="345">
        <v>2</v>
      </c>
      <c r="J66" s="345">
        <v>62</v>
      </c>
      <c r="K66" s="345">
        <v>675.2</v>
      </c>
      <c r="L66" s="346"/>
      <c r="M66" s="346"/>
      <c r="N66" s="346"/>
      <c r="O66" s="345"/>
      <c r="P66" s="345"/>
      <c r="Q66" s="345"/>
      <c r="R66" s="345">
        <v>0.5</v>
      </c>
      <c r="S66" s="345">
        <v>92</v>
      </c>
      <c r="T66" s="345">
        <v>641.9</v>
      </c>
      <c r="U66" s="345">
        <v>0.5</v>
      </c>
      <c r="V66" s="345">
        <v>8.5</v>
      </c>
      <c r="W66" s="345">
        <v>543.5</v>
      </c>
      <c r="X66" s="345">
        <v>0.5</v>
      </c>
      <c r="Y66" s="345">
        <v>86.5</v>
      </c>
      <c r="Z66" s="345">
        <v>657.7</v>
      </c>
      <c r="AA66">
        <f t="shared" si="0"/>
        <v>2</v>
      </c>
    </row>
    <row r="67" spans="1:27" ht="28.8" x14ac:dyDescent="0.3">
      <c r="A67" s="345" t="s">
        <v>1742</v>
      </c>
      <c r="B67" s="805"/>
      <c r="C67" s="802"/>
      <c r="D67" s="802"/>
      <c r="E67" s="803"/>
      <c r="F67" s="805">
        <v>137</v>
      </c>
      <c r="G67" s="803"/>
      <c r="H67" s="345">
        <v>751.5</v>
      </c>
      <c r="I67" s="345">
        <v>42.5</v>
      </c>
      <c r="J67" s="345">
        <v>104.5</v>
      </c>
      <c r="K67" s="345">
        <v>717.7</v>
      </c>
      <c r="L67" s="346"/>
      <c r="M67" s="346"/>
      <c r="N67" s="346"/>
      <c r="O67" s="345"/>
      <c r="P67" s="345"/>
      <c r="Q67" s="345"/>
      <c r="R67" s="345">
        <v>22.5</v>
      </c>
      <c r="S67" s="345">
        <v>114.5</v>
      </c>
      <c r="T67" s="345">
        <v>664.4</v>
      </c>
      <c r="U67" s="345">
        <v>22.5</v>
      </c>
      <c r="V67" s="345">
        <v>31</v>
      </c>
      <c r="W67" s="345">
        <v>566</v>
      </c>
      <c r="X67" s="345">
        <v>19.5</v>
      </c>
      <c r="Y67" s="345">
        <v>106</v>
      </c>
      <c r="Z67" s="345">
        <v>677.2</v>
      </c>
      <c r="AA67">
        <f t="shared" si="0"/>
        <v>42.5</v>
      </c>
    </row>
    <row r="68" spans="1:27" ht="28.8" x14ac:dyDescent="0.3">
      <c r="A68" s="345" t="s">
        <v>1743</v>
      </c>
      <c r="B68" s="805"/>
      <c r="C68" s="802"/>
      <c r="D68" s="802"/>
      <c r="E68" s="803"/>
      <c r="F68" s="805">
        <v>137</v>
      </c>
      <c r="G68" s="803"/>
      <c r="H68" s="345">
        <v>751.5</v>
      </c>
      <c r="I68" s="345">
        <v>0</v>
      </c>
      <c r="J68" s="345">
        <v>104.5</v>
      </c>
      <c r="K68" s="345">
        <v>717.7</v>
      </c>
      <c r="L68" s="346"/>
      <c r="M68" s="346"/>
      <c r="N68" s="346"/>
      <c r="O68" s="345"/>
      <c r="P68" s="345"/>
      <c r="Q68" s="345"/>
      <c r="R68" s="345">
        <v>0</v>
      </c>
      <c r="S68" s="345">
        <v>114.5</v>
      </c>
      <c r="T68" s="345">
        <v>664.4</v>
      </c>
      <c r="U68" s="345">
        <v>0</v>
      </c>
      <c r="V68" s="345">
        <v>31</v>
      </c>
      <c r="W68" s="345">
        <v>566</v>
      </c>
      <c r="X68" s="345">
        <v>0</v>
      </c>
      <c r="Y68" s="345">
        <v>106</v>
      </c>
      <c r="Z68" s="345">
        <v>677.2</v>
      </c>
      <c r="AA68">
        <f t="shared" ref="AA68:AA131" si="1">MAX(B68+I68+L68+O68)</f>
        <v>0</v>
      </c>
    </row>
    <row r="69" spans="1:27" ht="28.8" x14ac:dyDescent="0.3">
      <c r="A69" s="345" t="s">
        <v>1744</v>
      </c>
      <c r="B69" s="805"/>
      <c r="C69" s="802"/>
      <c r="D69" s="802"/>
      <c r="E69" s="803"/>
      <c r="F69" s="805">
        <v>143.5</v>
      </c>
      <c r="G69" s="803"/>
      <c r="H69" s="345">
        <v>758</v>
      </c>
      <c r="I69" s="345">
        <v>3.5</v>
      </c>
      <c r="J69" s="345">
        <v>108</v>
      </c>
      <c r="K69" s="345">
        <v>721.2</v>
      </c>
      <c r="L69" s="346"/>
      <c r="M69" s="346"/>
      <c r="N69" s="346"/>
      <c r="O69" s="345"/>
      <c r="P69" s="345"/>
      <c r="Q69" s="345"/>
      <c r="R69" s="345">
        <v>4.5</v>
      </c>
      <c r="S69" s="345">
        <v>119</v>
      </c>
      <c r="T69" s="345">
        <v>668.9</v>
      </c>
      <c r="U69" s="345">
        <v>4.5</v>
      </c>
      <c r="V69" s="345">
        <v>35.5</v>
      </c>
      <c r="W69" s="345">
        <v>570.5</v>
      </c>
      <c r="X69" s="345">
        <v>5.5</v>
      </c>
      <c r="Y69" s="345">
        <v>111.5</v>
      </c>
      <c r="Z69" s="345">
        <v>682.7</v>
      </c>
      <c r="AA69">
        <f t="shared" si="1"/>
        <v>3.5</v>
      </c>
    </row>
    <row r="70" spans="1:27" ht="28.8" x14ac:dyDescent="0.3">
      <c r="A70" s="345" t="s">
        <v>1745</v>
      </c>
      <c r="B70" s="805"/>
      <c r="C70" s="802"/>
      <c r="D70" s="802"/>
      <c r="E70" s="803"/>
      <c r="F70" s="805">
        <v>143.5</v>
      </c>
      <c r="G70" s="803"/>
      <c r="H70" s="345">
        <v>758</v>
      </c>
      <c r="I70" s="345">
        <v>0</v>
      </c>
      <c r="J70" s="345">
        <v>108</v>
      </c>
      <c r="K70" s="345">
        <v>721.2</v>
      </c>
      <c r="L70" s="346"/>
      <c r="M70" s="346"/>
      <c r="N70" s="346"/>
      <c r="O70" s="345"/>
      <c r="P70" s="345"/>
      <c r="Q70" s="345"/>
      <c r="R70" s="345">
        <v>0</v>
      </c>
      <c r="S70" s="345">
        <v>119</v>
      </c>
      <c r="T70" s="345">
        <v>668.9</v>
      </c>
      <c r="U70" s="345">
        <v>0</v>
      </c>
      <c r="V70" s="345">
        <v>35.5</v>
      </c>
      <c r="W70" s="345">
        <v>570.5</v>
      </c>
      <c r="X70" s="345">
        <v>0</v>
      </c>
      <c r="Y70" s="345">
        <v>111.5</v>
      </c>
      <c r="Z70" s="345">
        <v>682.7</v>
      </c>
      <c r="AA70">
        <f t="shared" si="1"/>
        <v>0</v>
      </c>
    </row>
    <row r="71" spans="1:27" ht="28.8" x14ac:dyDescent="0.3">
      <c r="A71" s="345" t="s">
        <v>1746</v>
      </c>
      <c r="B71" s="805"/>
      <c r="C71" s="802"/>
      <c r="D71" s="802"/>
      <c r="E71" s="803"/>
      <c r="F71" s="805">
        <v>143.5</v>
      </c>
      <c r="G71" s="803"/>
      <c r="H71" s="345">
        <v>758</v>
      </c>
      <c r="I71" s="345">
        <v>0</v>
      </c>
      <c r="J71" s="345">
        <v>108</v>
      </c>
      <c r="K71" s="345">
        <v>721.2</v>
      </c>
      <c r="L71" s="346"/>
      <c r="M71" s="346"/>
      <c r="N71" s="346"/>
      <c r="O71" s="345"/>
      <c r="P71" s="345"/>
      <c r="Q71" s="345"/>
      <c r="R71" s="345">
        <v>0</v>
      </c>
      <c r="S71" s="345">
        <v>119</v>
      </c>
      <c r="T71" s="345">
        <v>668.9</v>
      </c>
      <c r="U71" s="345">
        <v>0</v>
      </c>
      <c r="V71" s="345">
        <v>35.5</v>
      </c>
      <c r="W71" s="345">
        <v>570.5</v>
      </c>
      <c r="X71" s="345">
        <v>0</v>
      </c>
      <c r="Y71" s="345">
        <v>111.5</v>
      </c>
      <c r="Z71" s="345">
        <v>682.7</v>
      </c>
      <c r="AA71">
        <f t="shared" si="1"/>
        <v>0</v>
      </c>
    </row>
    <row r="72" spans="1:27" ht="28.8" x14ac:dyDescent="0.3">
      <c r="A72" s="345" t="s">
        <v>1747</v>
      </c>
      <c r="B72" s="805"/>
      <c r="C72" s="802"/>
      <c r="D72" s="802"/>
      <c r="E72" s="803"/>
      <c r="F72" s="805">
        <v>193.5</v>
      </c>
      <c r="G72" s="803"/>
      <c r="H72" s="345">
        <v>808</v>
      </c>
      <c r="I72" s="345">
        <v>20</v>
      </c>
      <c r="J72" s="345">
        <v>128</v>
      </c>
      <c r="K72" s="345">
        <v>741.2</v>
      </c>
      <c r="L72" s="346"/>
      <c r="M72" s="346"/>
      <c r="N72" s="346"/>
      <c r="O72" s="345"/>
      <c r="P72" s="345"/>
      <c r="Q72" s="345"/>
      <c r="R72" s="345">
        <v>15</v>
      </c>
      <c r="S72" s="345">
        <v>134</v>
      </c>
      <c r="T72" s="345">
        <v>683.9</v>
      </c>
      <c r="U72" s="345">
        <v>15</v>
      </c>
      <c r="V72" s="345">
        <v>50.5</v>
      </c>
      <c r="W72" s="345">
        <v>585.5</v>
      </c>
      <c r="X72" s="345">
        <v>0.5</v>
      </c>
      <c r="Y72" s="345">
        <v>112</v>
      </c>
      <c r="Z72" s="345">
        <v>683.2</v>
      </c>
      <c r="AA72">
        <f t="shared" si="1"/>
        <v>20</v>
      </c>
    </row>
    <row r="73" spans="1:27" ht="28.8" x14ac:dyDescent="0.3">
      <c r="A73" s="345" t="s">
        <v>1748</v>
      </c>
      <c r="B73" s="805"/>
      <c r="C73" s="802"/>
      <c r="D73" s="802"/>
      <c r="E73" s="803"/>
      <c r="F73" s="805">
        <v>204.5</v>
      </c>
      <c r="G73" s="803"/>
      <c r="H73" s="345">
        <v>819</v>
      </c>
      <c r="I73" s="345">
        <v>0</v>
      </c>
      <c r="J73" s="345">
        <v>128</v>
      </c>
      <c r="K73" s="345">
        <v>741.2</v>
      </c>
      <c r="L73" s="346"/>
      <c r="M73" s="346"/>
      <c r="N73" s="346"/>
      <c r="O73" s="345"/>
      <c r="P73" s="345"/>
      <c r="Q73" s="345"/>
      <c r="R73" s="345">
        <v>12</v>
      </c>
      <c r="S73" s="345">
        <v>146</v>
      </c>
      <c r="T73" s="345">
        <v>695.9</v>
      </c>
      <c r="U73" s="345">
        <v>12</v>
      </c>
      <c r="V73" s="345">
        <v>62.5</v>
      </c>
      <c r="W73" s="345">
        <v>597.5</v>
      </c>
      <c r="X73" s="345">
        <v>11.5</v>
      </c>
      <c r="Y73" s="345">
        <v>123.5</v>
      </c>
      <c r="Z73" s="345">
        <v>694.7</v>
      </c>
      <c r="AA73">
        <f t="shared" si="1"/>
        <v>0</v>
      </c>
    </row>
    <row r="74" spans="1:27" ht="28.8" x14ac:dyDescent="0.3">
      <c r="A74" s="345" t="s">
        <v>1749</v>
      </c>
      <c r="B74" s="805"/>
      <c r="C74" s="802"/>
      <c r="D74" s="802"/>
      <c r="E74" s="803"/>
      <c r="F74" s="805">
        <v>204.5</v>
      </c>
      <c r="G74" s="803"/>
      <c r="H74" s="345">
        <v>819</v>
      </c>
      <c r="I74" s="345">
        <v>0</v>
      </c>
      <c r="J74" s="345">
        <v>128</v>
      </c>
      <c r="K74" s="345">
        <v>741.2</v>
      </c>
      <c r="L74" s="346"/>
      <c r="M74" s="346"/>
      <c r="N74" s="346"/>
      <c r="O74" s="345"/>
      <c r="P74" s="345"/>
      <c r="Q74" s="345"/>
      <c r="R74" s="345">
        <v>0</v>
      </c>
      <c r="S74" s="345">
        <v>146</v>
      </c>
      <c r="T74" s="345">
        <v>695.9</v>
      </c>
      <c r="U74" s="345">
        <v>0</v>
      </c>
      <c r="V74" s="345">
        <v>62.5</v>
      </c>
      <c r="W74" s="345">
        <v>597.5</v>
      </c>
      <c r="X74" s="345">
        <v>0</v>
      </c>
      <c r="Y74" s="345">
        <v>123.5</v>
      </c>
      <c r="Z74" s="345">
        <v>694.7</v>
      </c>
      <c r="AA74">
        <f t="shared" si="1"/>
        <v>0</v>
      </c>
    </row>
    <row r="75" spans="1:27" ht="28.8" x14ac:dyDescent="0.3">
      <c r="A75" s="345" t="s">
        <v>1750</v>
      </c>
      <c r="B75" s="805"/>
      <c r="C75" s="802"/>
      <c r="D75" s="802"/>
      <c r="E75" s="803"/>
      <c r="F75" s="805">
        <v>204.5</v>
      </c>
      <c r="G75" s="803"/>
      <c r="H75" s="345">
        <v>819</v>
      </c>
      <c r="I75" s="345">
        <v>0</v>
      </c>
      <c r="J75" s="345">
        <v>128</v>
      </c>
      <c r="K75" s="345">
        <v>741.2</v>
      </c>
      <c r="L75" s="346"/>
      <c r="M75" s="346"/>
      <c r="N75" s="346"/>
      <c r="O75" s="345"/>
      <c r="P75" s="345"/>
      <c r="Q75" s="345"/>
      <c r="R75" s="345">
        <v>0</v>
      </c>
      <c r="S75" s="345">
        <v>146</v>
      </c>
      <c r="T75" s="345">
        <v>695.9</v>
      </c>
      <c r="U75" s="345">
        <v>0</v>
      </c>
      <c r="V75" s="345">
        <v>62.5</v>
      </c>
      <c r="W75" s="345">
        <v>597.5</v>
      </c>
      <c r="X75" s="345">
        <v>0</v>
      </c>
      <c r="Y75" s="345">
        <v>123.5</v>
      </c>
      <c r="Z75" s="345">
        <v>694.7</v>
      </c>
      <c r="AA75">
        <f t="shared" si="1"/>
        <v>0</v>
      </c>
    </row>
    <row r="76" spans="1:27" ht="28.8" x14ac:dyDescent="0.3">
      <c r="A76" s="345" t="s">
        <v>1751</v>
      </c>
      <c r="B76" s="805"/>
      <c r="C76" s="802"/>
      <c r="D76" s="802"/>
      <c r="E76" s="803"/>
      <c r="F76" s="805">
        <v>204.5</v>
      </c>
      <c r="G76" s="803"/>
      <c r="H76" s="345">
        <v>819</v>
      </c>
      <c r="I76" s="345">
        <v>0.5</v>
      </c>
      <c r="J76" s="345">
        <v>128.5</v>
      </c>
      <c r="K76" s="345">
        <v>741.7</v>
      </c>
      <c r="L76" s="346"/>
      <c r="M76" s="346"/>
      <c r="N76" s="346"/>
      <c r="O76" s="345"/>
      <c r="P76" s="345"/>
      <c r="Q76" s="345"/>
      <c r="R76" s="345">
        <v>0.5</v>
      </c>
      <c r="S76" s="345">
        <v>146.5</v>
      </c>
      <c r="T76" s="345">
        <v>696.4</v>
      </c>
      <c r="U76" s="345">
        <v>0.5</v>
      </c>
      <c r="V76" s="345">
        <v>63</v>
      </c>
      <c r="W76" s="345">
        <v>598</v>
      </c>
      <c r="X76" s="345">
        <v>0.5</v>
      </c>
      <c r="Y76" s="345">
        <v>124</v>
      </c>
      <c r="Z76" s="345">
        <v>695.2</v>
      </c>
      <c r="AA76">
        <f t="shared" si="1"/>
        <v>0.5</v>
      </c>
    </row>
    <row r="77" spans="1:27" ht="28.8" x14ac:dyDescent="0.3">
      <c r="A77" s="345" t="s">
        <v>1752</v>
      </c>
      <c r="B77" s="805"/>
      <c r="C77" s="802"/>
      <c r="D77" s="802"/>
      <c r="E77" s="803"/>
      <c r="F77" s="805">
        <v>204.5</v>
      </c>
      <c r="G77" s="803"/>
      <c r="H77" s="345">
        <v>819</v>
      </c>
      <c r="I77" s="345">
        <v>0</v>
      </c>
      <c r="J77" s="345">
        <v>128.5</v>
      </c>
      <c r="K77" s="345">
        <v>741.7</v>
      </c>
      <c r="L77" s="346"/>
      <c r="M77" s="346"/>
      <c r="N77" s="346"/>
      <c r="O77" s="345"/>
      <c r="P77" s="345"/>
      <c r="Q77" s="345"/>
      <c r="R77" s="345">
        <v>0</v>
      </c>
      <c r="S77" s="345">
        <v>146.5</v>
      </c>
      <c r="T77" s="345">
        <v>696.4</v>
      </c>
      <c r="U77" s="345">
        <v>0</v>
      </c>
      <c r="V77" s="345">
        <v>63</v>
      </c>
      <c r="W77" s="345">
        <v>598</v>
      </c>
      <c r="X77" s="345">
        <v>0</v>
      </c>
      <c r="Y77" s="345">
        <v>124</v>
      </c>
      <c r="Z77" s="345">
        <v>695.2</v>
      </c>
      <c r="AA77">
        <f t="shared" si="1"/>
        <v>0</v>
      </c>
    </row>
    <row r="78" spans="1:27" ht="28.8" x14ac:dyDescent="0.3">
      <c r="A78" s="345" t="s">
        <v>1753</v>
      </c>
      <c r="B78" s="805"/>
      <c r="C78" s="802"/>
      <c r="D78" s="802"/>
      <c r="E78" s="803"/>
      <c r="F78" s="805">
        <v>204.5</v>
      </c>
      <c r="G78" s="803"/>
      <c r="H78" s="345">
        <v>819</v>
      </c>
      <c r="I78" s="345">
        <v>0</v>
      </c>
      <c r="J78" s="345">
        <v>128.5</v>
      </c>
      <c r="K78" s="345">
        <v>741.7</v>
      </c>
      <c r="L78" s="346"/>
      <c r="M78" s="346"/>
      <c r="N78" s="346"/>
      <c r="O78" s="345"/>
      <c r="P78" s="345"/>
      <c r="Q78" s="345"/>
      <c r="R78" s="345">
        <v>0</v>
      </c>
      <c r="S78" s="345">
        <v>146.5</v>
      </c>
      <c r="T78" s="345">
        <v>696.4</v>
      </c>
      <c r="U78" s="345">
        <v>0</v>
      </c>
      <c r="V78" s="345">
        <v>63</v>
      </c>
      <c r="W78" s="345">
        <v>598</v>
      </c>
      <c r="X78" s="345">
        <v>0</v>
      </c>
      <c r="Y78" s="345">
        <v>124</v>
      </c>
      <c r="Z78" s="345">
        <v>695.2</v>
      </c>
      <c r="AA78">
        <f t="shared" si="1"/>
        <v>0</v>
      </c>
    </row>
    <row r="79" spans="1:27" ht="28.8" x14ac:dyDescent="0.3">
      <c r="A79" s="345" t="s">
        <v>1754</v>
      </c>
      <c r="B79" s="805"/>
      <c r="C79" s="802"/>
      <c r="D79" s="802"/>
      <c r="E79" s="803"/>
      <c r="F79" s="805">
        <v>227</v>
      </c>
      <c r="G79" s="803"/>
      <c r="H79" s="345">
        <v>841.5</v>
      </c>
      <c r="I79" s="345">
        <v>21.5</v>
      </c>
      <c r="J79" s="345">
        <v>150</v>
      </c>
      <c r="K79" s="345">
        <v>763.2</v>
      </c>
      <c r="L79" s="346"/>
      <c r="M79" s="346"/>
      <c r="N79" s="346"/>
      <c r="O79" s="345"/>
      <c r="P79" s="345"/>
      <c r="Q79" s="345"/>
      <c r="R79" s="345">
        <v>28.5</v>
      </c>
      <c r="S79" s="345">
        <v>175</v>
      </c>
      <c r="T79" s="345">
        <v>724.9</v>
      </c>
      <c r="U79" s="345">
        <v>28.5</v>
      </c>
      <c r="V79" s="345">
        <v>91.5</v>
      </c>
      <c r="W79" s="345">
        <v>626.5</v>
      </c>
      <c r="X79" s="345">
        <v>25.5</v>
      </c>
      <c r="Y79" s="345">
        <v>149.5</v>
      </c>
      <c r="Z79" s="345">
        <v>720.7</v>
      </c>
      <c r="AA79">
        <f t="shared" si="1"/>
        <v>21.5</v>
      </c>
    </row>
    <row r="80" spans="1:27" ht="28.8" x14ac:dyDescent="0.3">
      <c r="A80" s="345" t="s">
        <v>1755</v>
      </c>
      <c r="B80" s="805"/>
      <c r="C80" s="802"/>
      <c r="D80" s="802"/>
      <c r="E80" s="803"/>
      <c r="F80" s="805">
        <v>234.5</v>
      </c>
      <c r="G80" s="803"/>
      <c r="H80" s="345">
        <v>849</v>
      </c>
      <c r="I80" s="345">
        <v>8</v>
      </c>
      <c r="J80" s="345">
        <v>158</v>
      </c>
      <c r="K80" s="345">
        <v>771.2</v>
      </c>
      <c r="L80" s="346"/>
      <c r="M80" s="346"/>
      <c r="N80" s="346"/>
      <c r="O80" s="345"/>
      <c r="P80" s="345"/>
      <c r="Q80" s="345"/>
      <c r="R80" s="345">
        <v>3</v>
      </c>
      <c r="S80" s="345">
        <v>178</v>
      </c>
      <c r="T80" s="345">
        <v>727.9</v>
      </c>
      <c r="U80" s="345">
        <v>3</v>
      </c>
      <c r="V80" s="345">
        <v>94.5</v>
      </c>
      <c r="W80" s="345">
        <v>629.5</v>
      </c>
      <c r="X80" s="345"/>
      <c r="Y80" s="345"/>
      <c r="Z80" s="345"/>
      <c r="AA80">
        <f t="shared" si="1"/>
        <v>8</v>
      </c>
    </row>
    <row r="81" spans="1:27" ht="28.8" x14ac:dyDescent="0.3">
      <c r="A81" s="345" t="s">
        <v>1756</v>
      </c>
      <c r="B81" s="805"/>
      <c r="C81" s="802"/>
      <c r="D81" s="802"/>
      <c r="E81" s="803"/>
      <c r="F81" s="805">
        <v>234.5</v>
      </c>
      <c r="G81" s="803"/>
      <c r="H81" s="345">
        <v>849</v>
      </c>
      <c r="I81" s="345">
        <v>0</v>
      </c>
      <c r="J81" s="345">
        <v>158</v>
      </c>
      <c r="K81" s="345">
        <v>771.2</v>
      </c>
      <c r="L81" s="346"/>
      <c r="M81" s="346"/>
      <c r="N81" s="346"/>
      <c r="O81" s="345"/>
      <c r="P81" s="345"/>
      <c r="Q81" s="345"/>
      <c r="R81" s="345">
        <v>0</v>
      </c>
      <c r="S81" s="345">
        <v>178</v>
      </c>
      <c r="T81" s="345">
        <v>727.9</v>
      </c>
      <c r="U81" s="345">
        <v>0</v>
      </c>
      <c r="V81" s="345">
        <v>94.5</v>
      </c>
      <c r="W81" s="345">
        <v>629.5</v>
      </c>
      <c r="X81" s="345">
        <v>0</v>
      </c>
      <c r="Y81" s="345">
        <v>149.5</v>
      </c>
      <c r="Z81" s="345">
        <v>720.7</v>
      </c>
      <c r="AA81">
        <f t="shared" si="1"/>
        <v>0</v>
      </c>
    </row>
    <row r="82" spans="1:27" ht="28.8" x14ac:dyDescent="0.3">
      <c r="A82" s="345" t="s">
        <v>1757</v>
      </c>
      <c r="B82" s="805"/>
      <c r="C82" s="802"/>
      <c r="D82" s="802"/>
      <c r="E82" s="803"/>
      <c r="F82" s="805">
        <v>234.7</v>
      </c>
      <c r="G82" s="803"/>
      <c r="H82" s="345">
        <v>849.2</v>
      </c>
      <c r="I82" s="345">
        <v>0.5</v>
      </c>
      <c r="J82" s="345">
        <v>158.5</v>
      </c>
      <c r="K82" s="345">
        <v>771.7</v>
      </c>
      <c r="L82" s="346"/>
      <c r="M82" s="346"/>
      <c r="N82" s="346"/>
      <c r="O82" s="345"/>
      <c r="P82" s="345"/>
      <c r="Q82" s="345"/>
      <c r="R82" s="345">
        <v>0.5</v>
      </c>
      <c r="S82" s="345">
        <v>178.5</v>
      </c>
      <c r="T82" s="345">
        <v>728.4</v>
      </c>
      <c r="U82" s="345">
        <v>0.5</v>
      </c>
      <c r="V82" s="345">
        <v>95</v>
      </c>
      <c r="W82" s="345">
        <v>630</v>
      </c>
      <c r="X82" s="345">
        <v>0.5</v>
      </c>
      <c r="Y82" s="345">
        <v>150</v>
      </c>
      <c r="Z82" s="345">
        <v>721.2</v>
      </c>
      <c r="AA82">
        <f t="shared" si="1"/>
        <v>0.5</v>
      </c>
    </row>
    <row r="83" spans="1:27" ht="28.8" x14ac:dyDescent="0.3">
      <c r="A83" s="345" t="s">
        <v>1758</v>
      </c>
      <c r="B83" s="805"/>
      <c r="C83" s="802"/>
      <c r="D83" s="802"/>
      <c r="E83" s="803"/>
      <c r="F83" s="805">
        <v>251.7</v>
      </c>
      <c r="G83" s="803"/>
      <c r="H83" s="345">
        <v>866.2</v>
      </c>
      <c r="I83" s="345">
        <v>20.5</v>
      </c>
      <c r="J83" s="345">
        <v>179</v>
      </c>
      <c r="K83" s="345">
        <v>792.2</v>
      </c>
      <c r="L83" s="346"/>
      <c r="M83" s="346"/>
      <c r="N83" s="346"/>
      <c r="O83" s="345"/>
      <c r="P83" s="345"/>
      <c r="Q83" s="345"/>
      <c r="R83" s="345">
        <v>24</v>
      </c>
      <c r="S83" s="345">
        <v>202.5</v>
      </c>
      <c r="T83" s="345">
        <v>752.4</v>
      </c>
      <c r="U83" s="345">
        <v>24</v>
      </c>
      <c r="V83" s="345">
        <v>119</v>
      </c>
      <c r="W83" s="345">
        <v>654</v>
      </c>
      <c r="X83" s="345">
        <v>22</v>
      </c>
      <c r="Y83" s="345">
        <v>172</v>
      </c>
      <c r="Z83" s="345">
        <v>743.2</v>
      </c>
      <c r="AA83">
        <f t="shared" si="1"/>
        <v>20.5</v>
      </c>
    </row>
    <row r="84" spans="1:27" ht="28.8" x14ac:dyDescent="0.3">
      <c r="A84" s="345" t="s">
        <v>1759</v>
      </c>
      <c r="B84" s="805"/>
      <c r="C84" s="802"/>
      <c r="D84" s="802"/>
      <c r="E84" s="803"/>
      <c r="F84" s="805">
        <v>251.8</v>
      </c>
      <c r="G84" s="803"/>
      <c r="H84" s="345">
        <v>866.3</v>
      </c>
      <c r="I84" s="345">
        <v>0.3</v>
      </c>
      <c r="J84" s="345">
        <v>179.3</v>
      </c>
      <c r="K84" s="345">
        <v>792.5</v>
      </c>
      <c r="L84" s="346"/>
      <c r="M84" s="346"/>
      <c r="N84" s="346"/>
      <c r="O84" s="345"/>
      <c r="P84" s="345"/>
      <c r="Q84" s="345"/>
      <c r="R84" s="345">
        <v>0.1</v>
      </c>
      <c r="S84" s="345">
        <v>202.6</v>
      </c>
      <c r="T84" s="345">
        <v>752.5</v>
      </c>
      <c r="U84" s="345">
        <v>0.1</v>
      </c>
      <c r="V84" s="345">
        <v>119.1</v>
      </c>
      <c r="W84" s="345">
        <v>654.1</v>
      </c>
      <c r="X84" s="345">
        <v>0.2</v>
      </c>
      <c r="Y84" s="345">
        <v>172.2</v>
      </c>
      <c r="Z84" s="345">
        <v>743.4</v>
      </c>
      <c r="AA84">
        <f t="shared" si="1"/>
        <v>0.3</v>
      </c>
    </row>
    <row r="85" spans="1:27" ht="28.8" x14ac:dyDescent="0.3">
      <c r="A85" s="345" t="s">
        <v>1760</v>
      </c>
      <c r="B85" s="805"/>
      <c r="C85" s="802"/>
      <c r="D85" s="802"/>
      <c r="E85" s="803"/>
      <c r="F85" s="805">
        <v>269.3</v>
      </c>
      <c r="G85" s="803"/>
      <c r="H85" s="345">
        <v>883.8</v>
      </c>
      <c r="I85" s="345">
        <v>13.5</v>
      </c>
      <c r="J85" s="345">
        <v>192.8</v>
      </c>
      <c r="K85" s="345">
        <v>806</v>
      </c>
      <c r="L85" s="346"/>
      <c r="M85" s="346"/>
      <c r="N85" s="346"/>
      <c r="O85" s="345"/>
      <c r="P85" s="345"/>
      <c r="Q85" s="345"/>
      <c r="R85" s="345">
        <v>15.5</v>
      </c>
      <c r="S85" s="345">
        <v>218.1</v>
      </c>
      <c r="T85" s="345">
        <v>768</v>
      </c>
      <c r="U85" s="345">
        <v>15.5</v>
      </c>
      <c r="V85" s="345">
        <v>134.6</v>
      </c>
      <c r="W85" s="345">
        <v>669.6</v>
      </c>
      <c r="X85" s="345">
        <v>13.5</v>
      </c>
      <c r="Y85" s="345">
        <v>185.7</v>
      </c>
      <c r="Z85" s="345">
        <v>756.9</v>
      </c>
      <c r="AA85">
        <f t="shared" si="1"/>
        <v>13.5</v>
      </c>
    </row>
    <row r="86" spans="1:27" ht="28.8" x14ac:dyDescent="0.3">
      <c r="A86" s="345" t="s">
        <v>1761</v>
      </c>
      <c r="B86" s="805"/>
      <c r="C86" s="802"/>
      <c r="D86" s="802"/>
      <c r="E86" s="803"/>
      <c r="F86" s="805">
        <v>285.3</v>
      </c>
      <c r="G86" s="803"/>
      <c r="H86" s="345">
        <v>899.8</v>
      </c>
      <c r="I86" s="345">
        <v>24</v>
      </c>
      <c r="J86" s="345">
        <v>216.8</v>
      </c>
      <c r="K86" s="345">
        <v>830</v>
      </c>
      <c r="L86" s="346"/>
      <c r="M86" s="346"/>
      <c r="N86" s="346"/>
      <c r="O86" s="345"/>
      <c r="P86" s="345"/>
      <c r="Q86" s="345"/>
      <c r="R86" s="345">
        <v>20</v>
      </c>
      <c r="S86" s="345">
        <v>238.1</v>
      </c>
      <c r="T86" s="345">
        <v>788</v>
      </c>
      <c r="U86" s="345">
        <v>20</v>
      </c>
      <c r="V86" s="345">
        <v>154.6</v>
      </c>
      <c r="W86" s="345">
        <v>689.6</v>
      </c>
      <c r="X86" s="345">
        <v>16.5</v>
      </c>
      <c r="Y86" s="345">
        <v>202.2</v>
      </c>
      <c r="Z86" s="345">
        <v>773.4</v>
      </c>
      <c r="AA86">
        <f t="shared" si="1"/>
        <v>24</v>
      </c>
    </row>
    <row r="87" spans="1:27" ht="28.8" x14ac:dyDescent="0.3">
      <c r="A87" s="345" t="s">
        <v>1762</v>
      </c>
      <c r="B87" s="805"/>
      <c r="C87" s="802"/>
      <c r="D87" s="802"/>
      <c r="E87" s="803"/>
      <c r="F87" s="805">
        <v>312.8</v>
      </c>
      <c r="G87" s="803"/>
      <c r="H87" s="345">
        <v>927.3</v>
      </c>
      <c r="I87" s="345">
        <v>14.5</v>
      </c>
      <c r="J87" s="345">
        <v>231.3</v>
      </c>
      <c r="K87" s="345">
        <v>844.5</v>
      </c>
      <c r="L87" s="346"/>
      <c r="M87" s="346"/>
      <c r="N87" s="346"/>
      <c r="O87" s="345"/>
      <c r="P87" s="345"/>
      <c r="Q87" s="345"/>
      <c r="R87" s="345">
        <v>23</v>
      </c>
      <c r="S87" s="345">
        <v>261.10000000000002</v>
      </c>
      <c r="T87" s="345">
        <v>811</v>
      </c>
      <c r="U87" s="345">
        <v>23</v>
      </c>
      <c r="V87" s="345">
        <v>177.6</v>
      </c>
      <c r="W87" s="345">
        <v>712.6</v>
      </c>
      <c r="X87" s="345">
        <v>21</v>
      </c>
      <c r="Y87" s="345">
        <v>223.2</v>
      </c>
      <c r="Z87" s="345">
        <v>794.4</v>
      </c>
      <c r="AA87">
        <f t="shared" si="1"/>
        <v>14.5</v>
      </c>
    </row>
    <row r="88" spans="1:27" ht="28.8" x14ac:dyDescent="0.3">
      <c r="A88" s="345" t="s">
        <v>1763</v>
      </c>
      <c r="B88" s="805"/>
      <c r="C88" s="802"/>
      <c r="D88" s="802"/>
      <c r="E88" s="803"/>
      <c r="F88" s="805">
        <v>364.8</v>
      </c>
      <c r="G88" s="803"/>
      <c r="H88" s="345">
        <v>979.3</v>
      </c>
      <c r="I88" s="345">
        <v>51.5</v>
      </c>
      <c r="J88" s="345">
        <v>282.8</v>
      </c>
      <c r="K88" s="345">
        <v>896</v>
      </c>
      <c r="L88" s="346"/>
      <c r="M88" s="346"/>
      <c r="N88" s="346"/>
      <c r="O88" s="345"/>
      <c r="P88" s="345"/>
      <c r="Q88" s="345"/>
      <c r="R88" s="345">
        <v>50.5</v>
      </c>
      <c r="S88" s="345">
        <v>311.60000000000002</v>
      </c>
      <c r="T88" s="345">
        <v>861.5</v>
      </c>
      <c r="U88" s="345">
        <v>50.5</v>
      </c>
      <c r="V88" s="345">
        <v>228.1</v>
      </c>
      <c r="W88" s="345">
        <v>763.1</v>
      </c>
      <c r="X88" s="345">
        <v>50</v>
      </c>
      <c r="Y88" s="345">
        <v>273.2</v>
      </c>
      <c r="Z88" s="345">
        <v>844.4</v>
      </c>
      <c r="AA88">
        <f t="shared" si="1"/>
        <v>51.5</v>
      </c>
    </row>
    <row r="89" spans="1:27" ht="28.8" x14ac:dyDescent="0.3">
      <c r="A89" s="345" t="s">
        <v>1764</v>
      </c>
      <c r="B89" s="805"/>
      <c r="C89" s="802"/>
      <c r="D89" s="802"/>
      <c r="E89" s="803"/>
      <c r="F89" s="805">
        <v>368.3</v>
      </c>
      <c r="G89" s="803"/>
      <c r="H89" s="345">
        <v>982.8</v>
      </c>
      <c r="I89" s="345">
        <v>3</v>
      </c>
      <c r="J89" s="345">
        <v>285.8</v>
      </c>
      <c r="K89" s="345">
        <v>899</v>
      </c>
      <c r="L89" s="346"/>
      <c r="M89" s="346"/>
      <c r="N89" s="346"/>
      <c r="O89" s="345"/>
      <c r="P89" s="345"/>
      <c r="Q89" s="345"/>
      <c r="R89" s="345">
        <v>4</v>
      </c>
      <c r="S89" s="345">
        <v>315.60000000000002</v>
      </c>
      <c r="T89" s="345">
        <v>865.5</v>
      </c>
      <c r="U89" s="345">
        <v>4</v>
      </c>
      <c r="V89" s="345">
        <v>232.1</v>
      </c>
      <c r="W89" s="345">
        <v>767.1</v>
      </c>
      <c r="X89" s="345">
        <v>7</v>
      </c>
      <c r="Y89" s="345">
        <v>280.2</v>
      </c>
      <c r="Z89" s="345">
        <v>851.4</v>
      </c>
      <c r="AA89">
        <f t="shared" si="1"/>
        <v>3</v>
      </c>
    </row>
    <row r="90" spans="1:27" ht="28.8" x14ac:dyDescent="0.3">
      <c r="A90" s="345" t="s">
        <v>1765</v>
      </c>
      <c r="B90" s="805"/>
      <c r="C90" s="802"/>
      <c r="D90" s="802"/>
      <c r="E90" s="803"/>
      <c r="F90" s="805">
        <v>369.8</v>
      </c>
      <c r="G90" s="803"/>
      <c r="H90" s="345">
        <v>984.3</v>
      </c>
      <c r="I90" s="345">
        <v>2</v>
      </c>
      <c r="J90" s="345">
        <v>287.8</v>
      </c>
      <c r="K90" s="345">
        <v>901</v>
      </c>
      <c r="L90" s="346"/>
      <c r="M90" s="346"/>
      <c r="N90" s="346"/>
      <c r="O90" s="345"/>
      <c r="P90" s="345"/>
      <c r="Q90" s="345"/>
      <c r="R90" s="345">
        <v>2</v>
      </c>
      <c r="S90" s="345">
        <v>317.60000000000002</v>
      </c>
      <c r="T90" s="345">
        <v>867.5</v>
      </c>
      <c r="U90" s="345">
        <v>2</v>
      </c>
      <c r="V90" s="345">
        <v>234.1</v>
      </c>
      <c r="W90" s="345">
        <v>769.1</v>
      </c>
      <c r="X90" s="345"/>
      <c r="Y90" s="345"/>
      <c r="Z90" s="345"/>
      <c r="AA90">
        <f t="shared" si="1"/>
        <v>2</v>
      </c>
    </row>
    <row r="91" spans="1:27" ht="28.8" x14ac:dyDescent="0.3">
      <c r="A91" s="345" t="s">
        <v>1766</v>
      </c>
      <c r="B91" s="805"/>
      <c r="C91" s="802"/>
      <c r="D91" s="802"/>
      <c r="E91" s="803"/>
      <c r="F91" s="805">
        <v>381.3</v>
      </c>
      <c r="G91" s="803"/>
      <c r="H91" s="345">
        <v>995.8</v>
      </c>
      <c r="I91" s="345">
        <v>11</v>
      </c>
      <c r="J91" s="345">
        <v>298.8</v>
      </c>
      <c r="K91" s="345">
        <v>912</v>
      </c>
      <c r="L91" s="346"/>
      <c r="M91" s="346"/>
      <c r="N91" s="346"/>
      <c r="O91" s="345"/>
      <c r="P91" s="345"/>
      <c r="Q91" s="345"/>
      <c r="R91" s="345">
        <v>13.4</v>
      </c>
      <c r="S91" s="345">
        <v>331</v>
      </c>
      <c r="T91" s="345">
        <v>880.9</v>
      </c>
      <c r="U91" s="345">
        <v>14</v>
      </c>
      <c r="V91" s="345">
        <v>248.1</v>
      </c>
      <c r="W91" s="345">
        <v>783.1</v>
      </c>
      <c r="X91" s="345">
        <v>16</v>
      </c>
      <c r="Y91" s="345">
        <v>296.2</v>
      </c>
      <c r="Z91" s="345">
        <v>867.4</v>
      </c>
      <c r="AA91">
        <f t="shared" si="1"/>
        <v>11</v>
      </c>
    </row>
    <row r="92" spans="1:27" s="362" customFormat="1" ht="28.8" x14ac:dyDescent="0.3">
      <c r="A92" s="359" t="s">
        <v>1767</v>
      </c>
      <c r="B92" s="811"/>
      <c r="C92" s="812"/>
      <c r="D92" s="812"/>
      <c r="E92" s="813"/>
      <c r="F92" s="811">
        <v>388.8</v>
      </c>
      <c r="G92" s="813"/>
      <c r="H92" s="359">
        <v>1003.3</v>
      </c>
      <c r="I92" s="359">
        <v>9</v>
      </c>
      <c r="J92" s="359">
        <v>307.8</v>
      </c>
      <c r="K92" s="359">
        <v>921</v>
      </c>
      <c r="L92" s="359"/>
      <c r="M92" s="359"/>
      <c r="N92" s="359"/>
      <c r="O92" s="359"/>
      <c r="P92" s="359"/>
      <c r="Q92" s="359"/>
      <c r="R92" s="359">
        <v>7.4</v>
      </c>
      <c r="S92" s="359">
        <v>338.4</v>
      </c>
      <c r="T92" s="359">
        <v>888.3</v>
      </c>
      <c r="U92" s="359">
        <v>8</v>
      </c>
      <c r="V92" s="359">
        <v>256.10000000000002</v>
      </c>
      <c r="W92" s="359">
        <v>791.1</v>
      </c>
      <c r="X92" s="359">
        <v>7</v>
      </c>
      <c r="Y92" s="359">
        <v>303.2</v>
      </c>
      <c r="Z92" s="359">
        <v>874.4</v>
      </c>
      <c r="AA92" s="362">
        <f t="shared" si="1"/>
        <v>9</v>
      </c>
    </row>
    <row r="93" spans="1:27" ht="28.8" x14ac:dyDescent="0.3">
      <c r="A93" s="345" t="s">
        <v>1768</v>
      </c>
      <c r="B93" s="805"/>
      <c r="C93" s="802"/>
      <c r="D93" s="802"/>
      <c r="E93" s="803"/>
      <c r="F93" s="805">
        <v>33</v>
      </c>
      <c r="G93" s="803"/>
      <c r="H93" s="345">
        <v>1036.3</v>
      </c>
      <c r="I93" s="345">
        <v>33</v>
      </c>
      <c r="J93" s="345">
        <v>33</v>
      </c>
      <c r="K93" s="345">
        <v>954</v>
      </c>
      <c r="L93" s="346"/>
      <c r="M93" s="346"/>
      <c r="N93" s="346"/>
      <c r="O93" s="345"/>
      <c r="P93" s="345"/>
      <c r="Q93" s="345"/>
      <c r="R93" s="345">
        <v>36</v>
      </c>
      <c r="S93" s="345">
        <v>36</v>
      </c>
      <c r="T93" s="345">
        <v>924.3</v>
      </c>
      <c r="U93" s="345">
        <v>32.6</v>
      </c>
      <c r="V93" s="345">
        <v>32.6</v>
      </c>
      <c r="W93" s="345">
        <v>823.7</v>
      </c>
      <c r="X93" s="345">
        <v>37.5</v>
      </c>
      <c r="Y93" s="345">
        <v>37.5</v>
      </c>
      <c r="Z93" s="345">
        <v>911.9</v>
      </c>
      <c r="AA93">
        <f t="shared" si="1"/>
        <v>33</v>
      </c>
    </row>
    <row r="94" spans="1:27" ht="28.8" x14ac:dyDescent="0.3">
      <c r="A94" s="345" t="s">
        <v>1769</v>
      </c>
      <c r="B94" s="805"/>
      <c r="C94" s="802"/>
      <c r="D94" s="802"/>
      <c r="E94" s="803"/>
      <c r="F94" s="805">
        <v>47</v>
      </c>
      <c r="G94" s="803"/>
      <c r="H94" s="345">
        <v>1050.3</v>
      </c>
      <c r="I94" s="345">
        <v>17</v>
      </c>
      <c r="J94" s="345">
        <v>50</v>
      </c>
      <c r="K94" s="345">
        <v>971</v>
      </c>
      <c r="L94" s="346"/>
      <c r="M94" s="346"/>
      <c r="N94" s="346"/>
      <c r="O94" s="345"/>
      <c r="P94" s="345"/>
      <c r="Q94" s="345"/>
      <c r="R94" s="345">
        <v>15</v>
      </c>
      <c r="S94" s="345">
        <v>51</v>
      </c>
      <c r="T94" s="345">
        <v>939.3</v>
      </c>
      <c r="U94" s="345">
        <v>15</v>
      </c>
      <c r="V94" s="345">
        <v>47.6</v>
      </c>
      <c r="W94" s="345">
        <v>838.7</v>
      </c>
      <c r="X94" s="345">
        <v>13.5</v>
      </c>
      <c r="Y94" s="345">
        <v>51</v>
      </c>
      <c r="Z94" s="345">
        <v>925.4</v>
      </c>
      <c r="AA94">
        <f t="shared" si="1"/>
        <v>17</v>
      </c>
    </row>
    <row r="95" spans="1:27" ht="28.8" x14ac:dyDescent="0.3">
      <c r="A95" s="345" t="s">
        <v>1770</v>
      </c>
      <c r="B95" s="805"/>
      <c r="C95" s="802"/>
      <c r="D95" s="802"/>
      <c r="E95" s="803"/>
      <c r="F95" s="805">
        <v>65</v>
      </c>
      <c r="G95" s="803"/>
      <c r="H95" s="345">
        <v>1068.3</v>
      </c>
      <c r="I95" s="345">
        <v>28.5</v>
      </c>
      <c r="J95" s="345">
        <v>78.5</v>
      </c>
      <c r="K95" s="345">
        <v>999.5</v>
      </c>
      <c r="L95" s="346"/>
      <c r="M95" s="346"/>
      <c r="N95" s="346"/>
      <c r="O95" s="345"/>
      <c r="P95" s="345"/>
      <c r="Q95" s="345"/>
      <c r="R95" s="345">
        <v>18</v>
      </c>
      <c r="S95" s="345">
        <v>69</v>
      </c>
      <c r="T95" s="345">
        <v>957.3</v>
      </c>
      <c r="U95" s="345">
        <v>22.5</v>
      </c>
      <c r="V95" s="345">
        <v>70.099999999999994</v>
      </c>
      <c r="W95" s="345">
        <v>861.2</v>
      </c>
      <c r="X95" s="345">
        <v>19.5</v>
      </c>
      <c r="Y95" s="345">
        <v>70.5</v>
      </c>
      <c r="Z95" s="345">
        <v>944.9</v>
      </c>
      <c r="AA95">
        <f t="shared" si="1"/>
        <v>28.5</v>
      </c>
    </row>
    <row r="96" spans="1:27" ht="28.8" x14ac:dyDescent="0.3">
      <c r="A96" s="345" t="s">
        <v>1771</v>
      </c>
      <c r="B96" s="805"/>
      <c r="C96" s="802"/>
      <c r="D96" s="802"/>
      <c r="E96" s="803"/>
      <c r="F96" s="805">
        <v>68</v>
      </c>
      <c r="G96" s="803"/>
      <c r="H96" s="345">
        <v>1071.3</v>
      </c>
      <c r="I96" s="345">
        <v>3</v>
      </c>
      <c r="J96" s="345">
        <v>81.5</v>
      </c>
      <c r="K96" s="345">
        <v>1002.5</v>
      </c>
      <c r="L96" s="346"/>
      <c r="M96" s="346"/>
      <c r="N96" s="346"/>
      <c r="O96" s="345"/>
      <c r="P96" s="345"/>
      <c r="Q96" s="345"/>
      <c r="R96" s="345">
        <v>3.8</v>
      </c>
      <c r="S96" s="345">
        <v>72.8</v>
      </c>
      <c r="T96" s="345">
        <v>961.1</v>
      </c>
      <c r="U96" s="345">
        <v>4.5</v>
      </c>
      <c r="V96" s="345">
        <v>74.599999999999994</v>
      </c>
      <c r="W96" s="345">
        <v>865.7</v>
      </c>
      <c r="X96" s="345">
        <v>4</v>
      </c>
      <c r="Y96" s="345">
        <v>74.5</v>
      </c>
      <c r="Z96" s="345">
        <v>948.9</v>
      </c>
      <c r="AA96">
        <f t="shared" si="1"/>
        <v>3</v>
      </c>
    </row>
    <row r="97" spans="1:27" ht="28.8" x14ac:dyDescent="0.3">
      <c r="A97" s="345" t="s">
        <v>1772</v>
      </c>
      <c r="B97" s="805"/>
      <c r="C97" s="802"/>
      <c r="D97" s="802"/>
      <c r="E97" s="803"/>
      <c r="F97" s="805">
        <v>68</v>
      </c>
      <c r="G97" s="803"/>
      <c r="H97" s="345">
        <v>1071.3</v>
      </c>
      <c r="I97" s="345">
        <v>0</v>
      </c>
      <c r="J97" s="345">
        <v>81.5</v>
      </c>
      <c r="K97" s="345">
        <v>1002.5</v>
      </c>
      <c r="L97" s="346"/>
      <c r="M97" s="346"/>
      <c r="N97" s="346"/>
      <c r="O97" s="345"/>
      <c r="P97" s="345"/>
      <c r="Q97" s="345"/>
      <c r="R97" s="345">
        <v>0.2</v>
      </c>
      <c r="S97" s="345">
        <v>73</v>
      </c>
      <c r="T97" s="345">
        <v>961.3</v>
      </c>
      <c r="U97" s="345">
        <v>0</v>
      </c>
      <c r="V97" s="345">
        <v>74.599999999999994</v>
      </c>
      <c r="W97" s="345">
        <v>865.7</v>
      </c>
      <c r="X97" s="345"/>
      <c r="Y97" s="345"/>
      <c r="Z97" s="345"/>
      <c r="AA97">
        <f t="shared" si="1"/>
        <v>0</v>
      </c>
    </row>
    <row r="98" spans="1:27" ht="28.8" x14ac:dyDescent="0.3">
      <c r="A98" s="345" t="s">
        <v>1773</v>
      </c>
      <c r="B98" s="805"/>
      <c r="C98" s="802"/>
      <c r="D98" s="802"/>
      <c r="E98" s="803"/>
      <c r="F98" s="805">
        <v>68</v>
      </c>
      <c r="G98" s="803"/>
      <c r="H98" s="345">
        <v>1071.3</v>
      </c>
      <c r="I98" s="345">
        <v>0</v>
      </c>
      <c r="J98" s="345">
        <v>81.5</v>
      </c>
      <c r="K98" s="345">
        <v>1002.5</v>
      </c>
      <c r="L98" s="346"/>
      <c r="M98" s="346"/>
      <c r="N98" s="346"/>
      <c r="O98" s="345"/>
      <c r="P98" s="345"/>
      <c r="Q98" s="345"/>
      <c r="R98" s="345">
        <v>0.2</v>
      </c>
      <c r="S98" s="345">
        <v>73.2</v>
      </c>
      <c r="T98" s="345">
        <v>961.5</v>
      </c>
      <c r="U98" s="345">
        <v>0</v>
      </c>
      <c r="V98" s="345">
        <v>74.599999999999994</v>
      </c>
      <c r="W98" s="345">
        <v>865.7</v>
      </c>
      <c r="X98" s="345">
        <v>0</v>
      </c>
      <c r="Y98" s="345">
        <v>74.5</v>
      </c>
      <c r="Z98" s="345">
        <v>948.9</v>
      </c>
      <c r="AA98">
        <f t="shared" si="1"/>
        <v>0</v>
      </c>
    </row>
    <row r="99" spans="1:27" ht="28.8" x14ac:dyDescent="0.3">
      <c r="A99" s="345" t="s">
        <v>1774</v>
      </c>
      <c r="B99" s="805"/>
      <c r="C99" s="802"/>
      <c r="D99" s="802"/>
      <c r="E99" s="803"/>
      <c r="F99" s="805">
        <v>74.5</v>
      </c>
      <c r="G99" s="803"/>
      <c r="H99" s="345">
        <v>1077.8</v>
      </c>
      <c r="I99" s="345">
        <v>18</v>
      </c>
      <c r="J99" s="345">
        <v>99.5</v>
      </c>
      <c r="K99" s="345">
        <v>1020.5</v>
      </c>
      <c r="L99" s="346"/>
      <c r="M99" s="346"/>
      <c r="N99" s="346"/>
      <c r="O99" s="345"/>
      <c r="P99" s="345"/>
      <c r="Q99" s="345"/>
      <c r="R99" s="345">
        <v>3.8</v>
      </c>
      <c r="S99" s="345">
        <v>77</v>
      </c>
      <c r="T99" s="345">
        <v>965.3</v>
      </c>
      <c r="U99" s="345">
        <v>4</v>
      </c>
      <c r="V99" s="345">
        <v>78.599999999999994</v>
      </c>
      <c r="W99" s="345">
        <v>869.7</v>
      </c>
      <c r="X99" s="345">
        <v>4.5</v>
      </c>
      <c r="Y99" s="345">
        <v>79</v>
      </c>
      <c r="Z99" s="345">
        <v>953.4</v>
      </c>
      <c r="AA99">
        <f t="shared" si="1"/>
        <v>18</v>
      </c>
    </row>
    <row r="100" spans="1:27" ht="28.8" x14ac:dyDescent="0.3">
      <c r="A100" s="345" t="s">
        <v>1775</v>
      </c>
      <c r="B100" s="805"/>
      <c r="C100" s="802"/>
      <c r="D100" s="802"/>
      <c r="E100" s="803"/>
      <c r="F100" s="805">
        <v>78.5</v>
      </c>
      <c r="G100" s="803"/>
      <c r="H100" s="345">
        <v>1081.8</v>
      </c>
      <c r="I100" s="345">
        <v>14.5</v>
      </c>
      <c r="J100" s="345">
        <v>114</v>
      </c>
      <c r="K100" s="345">
        <v>1035</v>
      </c>
      <c r="L100" s="346"/>
      <c r="M100" s="346"/>
      <c r="N100" s="346"/>
      <c r="O100" s="345"/>
      <c r="P100" s="345"/>
      <c r="Q100" s="345"/>
      <c r="R100" s="345">
        <v>2.5</v>
      </c>
      <c r="S100" s="345">
        <v>79.5</v>
      </c>
      <c r="T100" s="345">
        <v>967.8</v>
      </c>
      <c r="U100" s="345">
        <v>1.5</v>
      </c>
      <c r="V100" s="345">
        <v>80.099999999999994</v>
      </c>
      <c r="W100" s="345">
        <v>871.2</v>
      </c>
      <c r="X100" s="345">
        <v>0</v>
      </c>
      <c r="Y100" s="345">
        <v>79</v>
      </c>
      <c r="Z100" s="345">
        <v>953.4</v>
      </c>
      <c r="AA100">
        <f t="shared" si="1"/>
        <v>14.5</v>
      </c>
    </row>
    <row r="101" spans="1:27" ht="28.8" x14ac:dyDescent="0.3">
      <c r="A101" s="345" t="s">
        <v>1776</v>
      </c>
      <c r="B101" s="805"/>
      <c r="C101" s="802"/>
      <c r="D101" s="802"/>
      <c r="E101" s="803"/>
      <c r="F101" s="805">
        <v>118.5</v>
      </c>
      <c r="G101" s="803"/>
      <c r="H101" s="345">
        <v>1121.8</v>
      </c>
      <c r="I101" s="345">
        <v>23</v>
      </c>
      <c r="J101" s="345">
        <v>137</v>
      </c>
      <c r="K101" s="345">
        <v>1058</v>
      </c>
      <c r="L101" s="346"/>
      <c r="M101" s="346"/>
      <c r="N101" s="346"/>
      <c r="O101" s="345"/>
      <c r="P101" s="345"/>
      <c r="Q101" s="345"/>
      <c r="R101" s="345">
        <v>30.8</v>
      </c>
      <c r="S101" s="345">
        <v>110.3</v>
      </c>
      <c r="T101" s="345">
        <v>998.6</v>
      </c>
      <c r="U101" s="345">
        <v>35</v>
      </c>
      <c r="V101" s="345">
        <v>115.1</v>
      </c>
      <c r="W101" s="345">
        <v>906.2</v>
      </c>
      <c r="X101" s="345">
        <v>31</v>
      </c>
      <c r="Y101" s="345">
        <v>110</v>
      </c>
      <c r="Z101" s="345">
        <v>984.4</v>
      </c>
      <c r="AA101">
        <f t="shared" si="1"/>
        <v>23</v>
      </c>
    </row>
    <row r="102" spans="1:27" ht="28.8" x14ac:dyDescent="0.3">
      <c r="A102" s="345" t="s">
        <v>1777</v>
      </c>
      <c r="B102" s="805"/>
      <c r="C102" s="802"/>
      <c r="D102" s="802"/>
      <c r="E102" s="803"/>
      <c r="F102" s="805">
        <v>121.5</v>
      </c>
      <c r="G102" s="803"/>
      <c r="H102" s="345">
        <v>1124.8</v>
      </c>
      <c r="I102" s="345">
        <v>4</v>
      </c>
      <c r="J102" s="345">
        <v>141</v>
      </c>
      <c r="K102" s="345">
        <v>1062</v>
      </c>
      <c r="L102" s="346"/>
      <c r="M102" s="346"/>
      <c r="N102" s="346"/>
      <c r="O102" s="345"/>
      <c r="P102" s="345"/>
      <c r="Q102" s="345"/>
      <c r="R102" s="345">
        <v>4.4000000000000004</v>
      </c>
      <c r="S102" s="345">
        <v>114.7</v>
      </c>
      <c r="T102" s="345">
        <v>1003</v>
      </c>
      <c r="U102" s="345">
        <v>4.5</v>
      </c>
      <c r="V102" s="345">
        <v>119.6</v>
      </c>
      <c r="W102" s="345">
        <v>910.7</v>
      </c>
      <c r="X102" s="345">
        <v>4.5</v>
      </c>
      <c r="Y102" s="345">
        <v>114.5</v>
      </c>
      <c r="Z102" s="345">
        <v>988.9</v>
      </c>
      <c r="AA102">
        <f t="shared" si="1"/>
        <v>4</v>
      </c>
    </row>
    <row r="103" spans="1:27" ht="28.8" x14ac:dyDescent="0.3">
      <c r="A103" s="345" t="s">
        <v>1778</v>
      </c>
      <c r="B103" s="805"/>
      <c r="C103" s="802"/>
      <c r="D103" s="802"/>
      <c r="E103" s="803"/>
      <c r="F103" s="805">
        <v>124.5</v>
      </c>
      <c r="G103" s="803"/>
      <c r="H103" s="345">
        <v>1127.8</v>
      </c>
      <c r="I103" s="345">
        <v>2</v>
      </c>
      <c r="J103" s="345">
        <v>143</v>
      </c>
      <c r="K103" s="345">
        <v>1064</v>
      </c>
      <c r="L103" s="346"/>
      <c r="M103" s="346"/>
      <c r="N103" s="346"/>
      <c r="O103" s="345"/>
      <c r="P103" s="345"/>
      <c r="Q103" s="345"/>
      <c r="R103" s="345">
        <v>0</v>
      </c>
      <c r="S103" s="345">
        <v>114.7</v>
      </c>
      <c r="T103" s="345">
        <v>1003</v>
      </c>
      <c r="U103" s="345">
        <v>1</v>
      </c>
      <c r="V103" s="345">
        <v>120.6</v>
      </c>
      <c r="W103" s="345">
        <v>911.7</v>
      </c>
      <c r="X103" s="345">
        <v>1</v>
      </c>
      <c r="Y103" s="345">
        <v>115.5</v>
      </c>
      <c r="Z103" s="345">
        <v>989.9</v>
      </c>
      <c r="AA103">
        <f t="shared" si="1"/>
        <v>2</v>
      </c>
    </row>
    <row r="104" spans="1:27" ht="28.8" x14ac:dyDescent="0.3">
      <c r="A104" s="345" t="s">
        <v>1779</v>
      </c>
      <c r="B104" s="805"/>
      <c r="C104" s="802"/>
      <c r="D104" s="802"/>
      <c r="E104" s="803"/>
      <c r="F104" s="805">
        <v>124.5</v>
      </c>
      <c r="G104" s="803"/>
      <c r="H104" s="345">
        <v>1127.8</v>
      </c>
      <c r="I104" s="345">
        <v>0</v>
      </c>
      <c r="J104" s="345">
        <v>143</v>
      </c>
      <c r="K104" s="345">
        <v>1064</v>
      </c>
      <c r="L104" s="346"/>
      <c r="M104" s="346"/>
      <c r="N104" s="346"/>
      <c r="O104" s="345"/>
      <c r="P104" s="345"/>
      <c r="Q104" s="345"/>
      <c r="R104" s="345">
        <v>0</v>
      </c>
      <c r="S104" s="345">
        <v>114.7</v>
      </c>
      <c r="T104" s="345">
        <v>1003</v>
      </c>
      <c r="U104" s="345">
        <v>0</v>
      </c>
      <c r="V104" s="345">
        <v>120.6</v>
      </c>
      <c r="W104" s="345">
        <v>911.7</v>
      </c>
      <c r="X104" s="345">
        <v>0</v>
      </c>
      <c r="Y104" s="345">
        <v>115.5</v>
      </c>
      <c r="Z104" s="345">
        <v>989.9</v>
      </c>
      <c r="AA104">
        <f t="shared" si="1"/>
        <v>0</v>
      </c>
    </row>
    <row r="105" spans="1:27" ht="28.8" x14ac:dyDescent="0.3">
      <c r="A105" s="345" t="s">
        <v>1780</v>
      </c>
      <c r="B105" s="805"/>
      <c r="C105" s="802"/>
      <c r="D105" s="802"/>
      <c r="E105" s="803"/>
      <c r="F105" s="805">
        <v>125</v>
      </c>
      <c r="G105" s="803"/>
      <c r="H105" s="345">
        <v>1128.3</v>
      </c>
      <c r="I105" s="345">
        <v>0</v>
      </c>
      <c r="J105" s="345">
        <v>143</v>
      </c>
      <c r="K105" s="345">
        <v>1064</v>
      </c>
      <c r="L105" s="346"/>
      <c r="M105" s="346"/>
      <c r="N105" s="346"/>
      <c r="O105" s="345"/>
      <c r="P105" s="345"/>
      <c r="Q105" s="345"/>
      <c r="R105" s="345">
        <v>1.5</v>
      </c>
      <c r="S105" s="345">
        <v>116.2</v>
      </c>
      <c r="T105" s="345">
        <v>1004.5</v>
      </c>
      <c r="U105" s="345">
        <v>1.5</v>
      </c>
      <c r="V105" s="345">
        <v>122.1</v>
      </c>
      <c r="W105" s="345">
        <v>913.2</v>
      </c>
      <c r="X105" s="345"/>
      <c r="Y105" s="345"/>
      <c r="Z105" s="345"/>
      <c r="AA105">
        <f t="shared" si="1"/>
        <v>0</v>
      </c>
    </row>
    <row r="106" spans="1:27" ht="28.8" x14ac:dyDescent="0.3">
      <c r="A106" s="345" t="s">
        <v>1781</v>
      </c>
      <c r="B106" s="805"/>
      <c r="C106" s="802"/>
      <c r="D106" s="802"/>
      <c r="E106" s="803"/>
      <c r="F106" s="805">
        <v>142.5</v>
      </c>
      <c r="G106" s="803"/>
      <c r="H106" s="345">
        <v>1145.8</v>
      </c>
      <c r="I106" s="345">
        <v>6.5</v>
      </c>
      <c r="J106" s="345">
        <v>149.5</v>
      </c>
      <c r="K106" s="345">
        <v>1070.5</v>
      </c>
      <c r="L106" s="346"/>
      <c r="M106" s="346"/>
      <c r="N106" s="346"/>
      <c r="O106" s="345"/>
      <c r="P106" s="345"/>
      <c r="Q106" s="345"/>
      <c r="R106" s="345">
        <v>18.5</v>
      </c>
      <c r="S106" s="345">
        <v>134.69999999999999</v>
      </c>
      <c r="T106" s="345">
        <v>1023</v>
      </c>
      <c r="U106" s="345">
        <v>18.5</v>
      </c>
      <c r="V106" s="345">
        <v>140.6</v>
      </c>
      <c r="W106" s="345">
        <v>931.7</v>
      </c>
      <c r="X106" s="345">
        <v>22</v>
      </c>
      <c r="Y106" s="345">
        <v>137.5</v>
      </c>
      <c r="Z106" s="345">
        <v>1011.9</v>
      </c>
      <c r="AA106">
        <f t="shared" si="1"/>
        <v>6.5</v>
      </c>
    </row>
    <row r="107" spans="1:27" ht="28.8" x14ac:dyDescent="0.3">
      <c r="A107" s="345" t="s">
        <v>1782</v>
      </c>
      <c r="B107" s="805"/>
      <c r="C107" s="802"/>
      <c r="D107" s="802"/>
      <c r="E107" s="803"/>
      <c r="F107" s="805">
        <v>189</v>
      </c>
      <c r="G107" s="803"/>
      <c r="H107" s="345">
        <v>1192.3</v>
      </c>
      <c r="I107" s="345">
        <v>24.5</v>
      </c>
      <c r="J107" s="345">
        <v>174</v>
      </c>
      <c r="K107" s="345">
        <v>1095</v>
      </c>
      <c r="L107" s="346"/>
      <c r="M107" s="346"/>
      <c r="N107" s="346"/>
      <c r="O107" s="345"/>
      <c r="P107" s="345"/>
      <c r="Q107" s="345"/>
      <c r="R107" s="345">
        <v>32.799999999999997</v>
      </c>
      <c r="S107" s="345">
        <v>167.5</v>
      </c>
      <c r="T107" s="345">
        <v>1055.8</v>
      </c>
      <c r="U107" s="345">
        <v>36</v>
      </c>
      <c r="V107" s="345">
        <v>176.6</v>
      </c>
      <c r="W107" s="345">
        <v>967.7</v>
      </c>
      <c r="X107" s="345">
        <v>42</v>
      </c>
      <c r="Y107" s="345">
        <v>179.5</v>
      </c>
      <c r="Z107" s="345">
        <v>1053.9000000000001</v>
      </c>
      <c r="AA107">
        <f t="shared" si="1"/>
        <v>24.5</v>
      </c>
    </row>
    <row r="108" spans="1:27" ht="28.8" x14ac:dyDescent="0.3">
      <c r="A108" s="345" t="s">
        <v>1783</v>
      </c>
      <c r="B108" s="805"/>
      <c r="C108" s="802"/>
      <c r="D108" s="802"/>
      <c r="E108" s="803"/>
      <c r="F108" s="805">
        <v>231</v>
      </c>
      <c r="G108" s="803"/>
      <c r="H108" s="345">
        <v>1234.3</v>
      </c>
      <c r="I108" s="345">
        <v>80</v>
      </c>
      <c r="J108" s="345">
        <v>254</v>
      </c>
      <c r="K108" s="345">
        <v>1175</v>
      </c>
      <c r="L108" s="346"/>
      <c r="M108" s="346"/>
      <c r="N108" s="346"/>
      <c r="O108" s="345"/>
      <c r="P108" s="345"/>
      <c r="Q108" s="345"/>
      <c r="R108" s="345">
        <v>39.799999999999997</v>
      </c>
      <c r="S108" s="345">
        <v>207.3</v>
      </c>
      <c r="T108" s="345">
        <v>1095.5999999999999</v>
      </c>
      <c r="U108" s="345">
        <v>43</v>
      </c>
      <c r="V108" s="345">
        <v>219.6</v>
      </c>
      <c r="W108" s="345">
        <v>1010.7</v>
      </c>
      <c r="X108" s="345">
        <v>39</v>
      </c>
      <c r="Y108" s="345">
        <v>218.5</v>
      </c>
      <c r="Z108" s="345">
        <v>1092.9000000000001</v>
      </c>
      <c r="AA108">
        <f t="shared" si="1"/>
        <v>80</v>
      </c>
    </row>
    <row r="109" spans="1:27" ht="28.8" x14ac:dyDescent="0.3">
      <c r="A109" s="345" t="s">
        <v>1784</v>
      </c>
      <c r="B109" s="805"/>
      <c r="C109" s="802"/>
      <c r="D109" s="802"/>
      <c r="E109" s="803"/>
      <c r="F109" s="805">
        <v>240</v>
      </c>
      <c r="G109" s="803"/>
      <c r="H109" s="345">
        <v>1243.3</v>
      </c>
      <c r="I109" s="345">
        <v>9.5</v>
      </c>
      <c r="J109" s="345">
        <v>263.5</v>
      </c>
      <c r="K109" s="345">
        <v>1184.5</v>
      </c>
      <c r="L109" s="346"/>
      <c r="M109" s="346"/>
      <c r="N109" s="346"/>
      <c r="O109" s="345"/>
      <c r="P109" s="345"/>
      <c r="Q109" s="345"/>
      <c r="R109" s="345">
        <v>8.8000000000000007</v>
      </c>
      <c r="S109" s="345">
        <v>216.1</v>
      </c>
      <c r="T109" s="345">
        <v>1104.4000000000001</v>
      </c>
      <c r="U109" s="345">
        <v>2</v>
      </c>
      <c r="V109" s="345">
        <v>221.6</v>
      </c>
      <c r="W109" s="345">
        <v>1012.7</v>
      </c>
      <c r="X109" s="345">
        <v>10</v>
      </c>
      <c r="Y109" s="345">
        <v>228.5</v>
      </c>
      <c r="Z109" s="345">
        <v>1102.9000000000001</v>
      </c>
      <c r="AA109">
        <f t="shared" si="1"/>
        <v>9.5</v>
      </c>
    </row>
    <row r="110" spans="1:27" ht="28.8" x14ac:dyDescent="0.3">
      <c r="A110" s="345" t="s">
        <v>1785</v>
      </c>
      <c r="B110" s="805"/>
      <c r="C110" s="802"/>
      <c r="D110" s="802"/>
      <c r="E110" s="803"/>
      <c r="F110" s="805">
        <v>240.5</v>
      </c>
      <c r="G110" s="803"/>
      <c r="H110" s="345">
        <v>1243.8</v>
      </c>
      <c r="I110" s="345">
        <v>1.5</v>
      </c>
      <c r="J110" s="345">
        <v>265</v>
      </c>
      <c r="K110" s="345">
        <v>1186</v>
      </c>
      <c r="L110" s="346"/>
      <c r="M110" s="346"/>
      <c r="N110" s="346"/>
      <c r="O110" s="345"/>
      <c r="P110" s="345"/>
      <c r="Q110" s="345"/>
      <c r="R110" s="345">
        <v>2</v>
      </c>
      <c r="S110" s="345">
        <v>218.1</v>
      </c>
      <c r="T110" s="345">
        <v>1106.4000000000001</v>
      </c>
      <c r="U110" s="345">
        <v>1</v>
      </c>
      <c r="V110" s="345">
        <v>222.6</v>
      </c>
      <c r="W110" s="345">
        <v>1013.7</v>
      </c>
      <c r="X110" s="345">
        <v>1.5</v>
      </c>
      <c r="Y110" s="345">
        <v>230</v>
      </c>
      <c r="Z110" s="345">
        <v>1104.4000000000001</v>
      </c>
      <c r="AA110">
        <f t="shared" si="1"/>
        <v>1.5</v>
      </c>
    </row>
    <row r="111" spans="1:27" ht="28.8" x14ac:dyDescent="0.3">
      <c r="A111" s="345" t="s">
        <v>1786</v>
      </c>
      <c r="B111" s="805"/>
      <c r="C111" s="802"/>
      <c r="D111" s="802"/>
      <c r="E111" s="803"/>
      <c r="F111" s="805">
        <v>240.6</v>
      </c>
      <c r="G111" s="803"/>
      <c r="H111" s="345">
        <v>1243.9000000000001</v>
      </c>
      <c r="I111" s="345">
        <v>0.3</v>
      </c>
      <c r="J111" s="345">
        <v>265.3</v>
      </c>
      <c r="K111" s="345">
        <v>1186.3</v>
      </c>
      <c r="L111" s="346"/>
      <c r="M111" s="346"/>
      <c r="N111" s="346"/>
      <c r="O111" s="345"/>
      <c r="P111" s="345"/>
      <c r="Q111" s="345"/>
      <c r="R111" s="345">
        <v>0</v>
      </c>
      <c r="S111" s="345">
        <v>218.1</v>
      </c>
      <c r="T111" s="345">
        <v>1106.4000000000001</v>
      </c>
      <c r="U111" s="345">
        <v>0</v>
      </c>
      <c r="V111" s="345">
        <v>222.6</v>
      </c>
      <c r="W111" s="345">
        <v>1013.7</v>
      </c>
      <c r="X111" s="345">
        <v>0</v>
      </c>
      <c r="Y111" s="345">
        <v>230</v>
      </c>
      <c r="Z111" s="345">
        <v>1104.4000000000001</v>
      </c>
      <c r="AA111">
        <f t="shared" si="1"/>
        <v>0.3</v>
      </c>
    </row>
    <row r="112" spans="1:27" ht="28.8" x14ac:dyDescent="0.3">
      <c r="A112" s="345" t="s">
        <v>1787</v>
      </c>
      <c r="B112" s="805"/>
      <c r="C112" s="802"/>
      <c r="D112" s="802"/>
      <c r="E112" s="803"/>
      <c r="F112" s="805">
        <v>262.10000000000002</v>
      </c>
      <c r="G112" s="803"/>
      <c r="H112" s="345">
        <v>1265.4000000000001</v>
      </c>
      <c r="I112" s="345">
        <v>24</v>
      </c>
      <c r="J112" s="345">
        <v>289.3</v>
      </c>
      <c r="K112" s="345">
        <v>1210.3</v>
      </c>
      <c r="L112" s="346"/>
      <c r="M112" s="346"/>
      <c r="N112" s="346"/>
      <c r="O112" s="345"/>
      <c r="P112" s="345"/>
      <c r="Q112" s="345"/>
      <c r="R112" s="345">
        <v>20.8</v>
      </c>
      <c r="S112" s="345">
        <v>238.9</v>
      </c>
      <c r="T112" s="345">
        <v>1127.2</v>
      </c>
      <c r="U112" s="345">
        <v>23.5</v>
      </c>
      <c r="V112" s="345">
        <v>246.1</v>
      </c>
      <c r="W112" s="345">
        <v>1037.2</v>
      </c>
      <c r="X112" s="345">
        <v>23</v>
      </c>
      <c r="Y112" s="345">
        <v>253</v>
      </c>
      <c r="Z112" s="345">
        <v>1127.4000000000001</v>
      </c>
      <c r="AA112">
        <f t="shared" si="1"/>
        <v>24</v>
      </c>
    </row>
    <row r="113" spans="1:27" ht="28.8" x14ac:dyDescent="0.3">
      <c r="A113" s="345" t="s">
        <v>1788</v>
      </c>
      <c r="B113" s="805"/>
      <c r="C113" s="802"/>
      <c r="D113" s="802"/>
      <c r="E113" s="803"/>
      <c r="F113" s="805">
        <v>262.39999999999998</v>
      </c>
      <c r="G113" s="803"/>
      <c r="H113" s="345">
        <v>1265.7</v>
      </c>
      <c r="I113" s="345">
        <v>0.5</v>
      </c>
      <c r="J113" s="345">
        <v>289.8</v>
      </c>
      <c r="K113" s="345">
        <v>1210.8</v>
      </c>
      <c r="L113" s="346"/>
      <c r="M113" s="346"/>
      <c r="N113" s="346"/>
      <c r="O113" s="345"/>
      <c r="P113" s="345"/>
      <c r="Q113" s="345"/>
      <c r="R113" s="345">
        <v>0</v>
      </c>
      <c r="S113" s="345">
        <v>238.9</v>
      </c>
      <c r="T113" s="345">
        <v>1127.2</v>
      </c>
      <c r="U113" s="345">
        <v>0.2</v>
      </c>
      <c r="V113" s="345">
        <v>246.3</v>
      </c>
      <c r="W113" s="345">
        <v>1037.4000000000001</v>
      </c>
      <c r="X113" s="345">
        <v>0.3</v>
      </c>
      <c r="Y113" s="345">
        <v>253.3</v>
      </c>
      <c r="Z113" s="345">
        <v>1127.7</v>
      </c>
      <c r="AA113">
        <f t="shared" si="1"/>
        <v>0.5</v>
      </c>
    </row>
    <row r="114" spans="1:27" ht="28.8" x14ac:dyDescent="0.3">
      <c r="A114" s="345" t="s">
        <v>1789</v>
      </c>
      <c r="B114" s="805"/>
      <c r="C114" s="802"/>
      <c r="D114" s="802"/>
      <c r="E114" s="803"/>
      <c r="F114" s="805">
        <v>264.39999999999998</v>
      </c>
      <c r="G114" s="803"/>
      <c r="H114" s="345">
        <v>1267.7</v>
      </c>
      <c r="I114" s="345">
        <v>1</v>
      </c>
      <c r="J114" s="345">
        <v>290.8</v>
      </c>
      <c r="K114" s="345">
        <v>1211.8</v>
      </c>
      <c r="L114" s="346"/>
      <c r="M114" s="346"/>
      <c r="N114" s="346"/>
      <c r="O114" s="345"/>
      <c r="P114" s="345"/>
      <c r="Q114" s="345"/>
      <c r="R114" s="345">
        <v>1.5</v>
      </c>
      <c r="S114" s="345">
        <v>240.4</v>
      </c>
      <c r="T114" s="345">
        <v>1128.7</v>
      </c>
      <c r="U114" s="345">
        <v>1.5</v>
      </c>
      <c r="V114" s="345">
        <v>247.8</v>
      </c>
      <c r="W114" s="345">
        <v>1038.9000000000001</v>
      </c>
      <c r="X114" s="345">
        <v>2</v>
      </c>
      <c r="Y114" s="345">
        <v>255.3</v>
      </c>
      <c r="Z114" s="345">
        <v>1129.7</v>
      </c>
      <c r="AA114">
        <f t="shared" si="1"/>
        <v>1</v>
      </c>
    </row>
    <row r="115" spans="1:27" ht="28.8" x14ac:dyDescent="0.3">
      <c r="A115" s="345" t="s">
        <v>1790</v>
      </c>
      <c r="B115" s="805"/>
      <c r="C115" s="802"/>
      <c r="D115" s="802"/>
      <c r="E115" s="803"/>
      <c r="F115" s="805">
        <v>283.39999999999998</v>
      </c>
      <c r="G115" s="803"/>
      <c r="H115" s="345">
        <v>1286.7</v>
      </c>
      <c r="I115" s="345">
        <v>8</v>
      </c>
      <c r="J115" s="345">
        <v>298.8</v>
      </c>
      <c r="K115" s="345">
        <v>1219.8</v>
      </c>
      <c r="L115" s="346"/>
      <c r="M115" s="346"/>
      <c r="N115" s="346"/>
      <c r="O115" s="345"/>
      <c r="P115" s="345"/>
      <c r="Q115" s="345"/>
      <c r="R115" s="345">
        <v>8.4</v>
      </c>
      <c r="S115" s="345">
        <v>248.8</v>
      </c>
      <c r="T115" s="345">
        <v>1137.0999999999999</v>
      </c>
      <c r="U115" s="345">
        <v>9</v>
      </c>
      <c r="V115" s="345">
        <v>256.8</v>
      </c>
      <c r="W115" s="345">
        <v>1047.9000000000001</v>
      </c>
      <c r="X115" s="345">
        <v>15</v>
      </c>
      <c r="Y115" s="345">
        <v>270.3</v>
      </c>
      <c r="Z115" s="345">
        <v>1144.7</v>
      </c>
      <c r="AA115">
        <f t="shared" si="1"/>
        <v>8</v>
      </c>
    </row>
    <row r="116" spans="1:27" ht="28.8" x14ac:dyDescent="0.3">
      <c r="A116" s="345" t="s">
        <v>1791</v>
      </c>
      <c r="B116" s="805"/>
      <c r="C116" s="802"/>
      <c r="D116" s="802"/>
      <c r="E116" s="803"/>
      <c r="F116" s="805">
        <v>284.39999999999998</v>
      </c>
      <c r="G116" s="803"/>
      <c r="H116" s="345">
        <v>1287.7</v>
      </c>
      <c r="I116" s="345">
        <v>1.5</v>
      </c>
      <c r="J116" s="345">
        <v>300.3</v>
      </c>
      <c r="K116" s="345">
        <v>1221.3</v>
      </c>
      <c r="L116" s="346"/>
      <c r="M116" s="346"/>
      <c r="N116" s="346"/>
      <c r="O116" s="345"/>
      <c r="P116" s="345"/>
      <c r="Q116" s="345"/>
      <c r="R116" s="345">
        <v>1.4</v>
      </c>
      <c r="S116" s="345">
        <v>250.2</v>
      </c>
      <c r="T116" s="345">
        <v>1138.5</v>
      </c>
      <c r="U116" s="345">
        <v>1.5</v>
      </c>
      <c r="V116" s="345">
        <v>258.3</v>
      </c>
      <c r="W116" s="345">
        <v>1049.4000000000001</v>
      </c>
      <c r="X116" s="345">
        <v>2</v>
      </c>
      <c r="Y116" s="345">
        <v>272.3</v>
      </c>
      <c r="Z116" s="345">
        <v>1146.7</v>
      </c>
      <c r="AA116">
        <f t="shared" si="1"/>
        <v>1.5</v>
      </c>
    </row>
    <row r="117" spans="1:27" ht="28.8" x14ac:dyDescent="0.3">
      <c r="A117" s="345" t="s">
        <v>1792</v>
      </c>
      <c r="B117" s="805"/>
      <c r="C117" s="802"/>
      <c r="D117" s="802"/>
      <c r="E117" s="803"/>
      <c r="F117" s="805">
        <v>333.4</v>
      </c>
      <c r="G117" s="803"/>
      <c r="H117" s="345">
        <v>1336.7</v>
      </c>
      <c r="I117" s="345">
        <v>59</v>
      </c>
      <c r="J117" s="345">
        <v>359.3</v>
      </c>
      <c r="K117" s="345">
        <v>1280.3</v>
      </c>
      <c r="L117" s="346"/>
      <c r="M117" s="346"/>
      <c r="N117" s="346"/>
      <c r="O117" s="345"/>
      <c r="P117" s="345"/>
      <c r="Q117" s="345"/>
      <c r="R117" s="345">
        <v>0</v>
      </c>
      <c r="S117" s="345">
        <v>250.2</v>
      </c>
      <c r="T117" s="345">
        <v>1138.5</v>
      </c>
      <c r="U117" s="345">
        <v>55</v>
      </c>
      <c r="V117" s="345">
        <v>313.3</v>
      </c>
      <c r="W117" s="345">
        <v>1104.4000000000001</v>
      </c>
      <c r="X117" s="345">
        <v>50</v>
      </c>
      <c r="Y117" s="345">
        <v>322.3</v>
      </c>
      <c r="Z117" s="345">
        <v>1196.7</v>
      </c>
      <c r="AA117">
        <f t="shared" si="1"/>
        <v>59</v>
      </c>
    </row>
    <row r="118" spans="1:27" ht="28.8" x14ac:dyDescent="0.3">
      <c r="A118" s="345" t="s">
        <v>1793</v>
      </c>
      <c r="B118" s="805"/>
      <c r="C118" s="802"/>
      <c r="D118" s="802"/>
      <c r="E118" s="803"/>
      <c r="F118" s="805">
        <v>351.9</v>
      </c>
      <c r="G118" s="803"/>
      <c r="H118" s="345">
        <v>1355.2</v>
      </c>
      <c r="I118" s="345">
        <v>20</v>
      </c>
      <c r="J118" s="345">
        <v>379.3</v>
      </c>
      <c r="K118" s="345">
        <v>1300.3</v>
      </c>
      <c r="L118" s="346"/>
      <c r="M118" s="346"/>
      <c r="N118" s="346"/>
      <c r="O118" s="345"/>
      <c r="P118" s="345"/>
      <c r="Q118" s="345"/>
      <c r="R118" s="345">
        <v>1</v>
      </c>
      <c r="S118" s="345">
        <v>251.2</v>
      </c>
      <c r="T118" s="345">
        <v>1139.5</v>
      </c>
      <c r="U118" s="345">
        <v>25</v>
      </c>
      <c r="V118" s="345">
        <v>338.3</v>
      </c>
      <c r="W118" s="345">
        <v>1129.4000000000001</v>
      </c>
      <c r="X118" s="345">
        <v>21.5</v>
      </c>
      <c r="Y118" s="345">
        <v>343.8</v>
      </c>
      <c r="Z118" s="345">
        <v>1218.2</v>
      </c>
      <c r="AA118">
        <f t="shared" si="1"/>
        <v>20</v>
      </c>
    </row>
    <row r="119" spans="1:27" ht="28.8" x14ac:dyDescent="0.3">
      <c r="A119" s="345" t="s">
        <v>1794</v>
      </c>
      <c r="B119" s="805"/>
      <c r="C119" s="802"/>
      <c r="D119" s="802"/>
      <c r="E119" s="803"/>
      <c r="F119" s="805">
        <v>353.4</v>
      </c>
      <c r="G119" s="803"/>
      <c r="H119" s="345">
        <v>1356.7</v>
      </c>
      <c r="I119" s="345">
        <v>0</v>
      </c>
      <c r="J119" s="345">
        <v>379.3</v>
      </c>
      <c r="K119" s="345">
        <v>1300.3</v>
      </c>
      <c r="L119" s="346"/>
      <c r="M119" s="346"/>
      <c r="N119" s="346"/>
      <c r="O119" s="345"/>
      <c r="P119" s="345"/>
      <c r="Q119" s="345"/>
      <c r="R119" s="345">
        <v>0.4</v>
      </c>
      <c r="S119" s="345">
        <v>251.6</v>
      </c>
      <c r="T119" s="345">
        <v>1139.9000000000001</v>
      </c>
      <c r="U119" s="345">
        <v>0.5</v>
      </c>
      <c r="V119" s="345">
        <v>338.8</v>
      </c>
      <c r="W119" s="345">
        <v>1129.9000000000001</v>
      </c>
      <c r="X119" s="345">
        <v>1</v>
      </c>
      <c r="Y119" s="345">
        <v>344.8</v>
      </c>
      <c r="Z119" s="345">
        <v>1219.2</v>
      </c>
      <c r="AA119">
        <f t="shared" si="1"/>
        <v>0</v>
      </c>
    </row>
    <row r="120" spans="1:27" ht="28.8" x14ac:dyDescent="0.3">
      <c r="A120" s="345" t="s">
        <v>1795</v>
      </c>
      <c r="B120" s="805"/>
      <c r="C120" s="802"/>
      <c r="D120" s="802"/>
      <c r="E120" s="803"/>
      <c r="F120" s="805">
        <v>361.4</v>
      </c>
      <c r="G120" s="803"/>
      <c r="H120" s="345">
        <v>1364.7</v>
      </c>
      <c r="I120" s="345">
        <v>9.5</v>
      </c>
      <c r="J120" s="345">
        <v>388.8</v>
      </c>
      <c r="K120" s="345">
        <v>1309.8</v>
      </c>
      <c r="L120" s="346"/>
      <c r="M120" s="346"/>
      <c r="N120" s="346"/>
      <c r="O120" s="345"/>
      <c r="P120" s="345"/>
      <c r="Q120" s="345"/>
      <c r="R120" s="345">
        <v>9.8000000000000007</v>
      </c>
      <c r="S120" s="345">
        <v>261.39999999999998</v>
      </c>
      <c r="T120" s="345">
        <v>1149.7</v>
      </c>
      <c r="U120" s="345">
        <v>11</v>
      </c>
      <c r="V120" s="345">
        <v>349.8</v>
      </c>
      <c r="W120" s="345">
        <v>1140.9000000000001</v>
      </c>
      <c r="X120" s="345">
        <v>9</v>
      </c>
      <c r="Y120" s="345">
        <v>353.8</v>
      </c>
      <c r="Z120" s="345">
        <v>1228.2</v>
      </c>
      <c r="AA120">
        <f t="shared" si="1"/>
        <v>9.5</v>
      </c>
    </row>
    <row r="121" spans="1:27" ht="28.8" x14ac:dyDescent="0.3">
      <c r="A121" s="345" t="s">
        <v>1796</v>
      </c>
      <c r="B121" s="805"/>
      <c r="C121" s="802"/>
      <c r="D121" s="802"/>
      <c r="E121" s="803"/>
      <c r="F121" s="805">
        <v>411.4</v>
      </c>
      <c r="G121" s="803"/>
      <c r="H121" s="345">
        <v>1414.7</v>
      </c>
      <c r="I121" s="345">
        <v>52</v>
      </c>
      <c r="J121" s="345">
        <v>440.8</v>
      </c>
      <c r="K121" s="345">
        <v>1361.8</v>
      </c>
      <c r="L121" s="346"/>
      <c r="M121" s="346"/>
      <c r="N121" s="346"/>
      <c r="O121" s="345"/>
      <c r="P121" s="345"/>
      <c r="Q121" s="345"/>
      <c r="R121" s="345">
        <v>53</v>
      </c>
      <c r="S121" s="345">
        <v>314.39999999999998</v>
      </c>
      <c r="T121" s="345">
        <v>1202.7</v>
      </c>
      <c r="U121" s="345">
        <v>59</v>
      </c>
      <c r="V121" s="345">
        <v>408.8</v>
      </c>
      <c r="W121" s="345">
        <v>1199.9000000000001</v>
      </c>
      <c r="X121" s="345">
        <v>58.5</v>
      </c>
      <c r="Y121" s="345">
        <v>412.3</v>
      </c>
      <c r="Z121" s="345">
        <v>1286.7</v>
      </c>
      <c r="AA121">
        <f t="shared" si="1"/>
        <v>52</v>
      </c>
    </row>
    <row r="122" spans="1:27" s="362" customFormat="1" ht="28.8" x14ac:dyDescent="0.3">
      <c r="A122" s="359" t="s">
        <v>1797</v>
      </c>
      <c r="B122" s="811"/>
      <c r="C122" s="812"/>
      <c r="D122" s="812"/>
      <c r="E122" s="813"/>
      <c r="F122" s="811">
        <v>411.4</v>
      </c>
      <c r="G122" s="813"/>
      <c r="H122" s="359">
        <v>1414.7</v>
      </c>
      <c r="I122" s="359">
        <v>0</v>
      </c>
      <c r="J122" s="359">
        <v>440.8</v>
      </c>
      <c r="K122" s="359">
        <v>1361.8</v>
      </c>
      <c r="L122" s="359"/>
      <c r="M122" s="359"/>
      <c r="N122" s="359"/>
      <c r="O122" s="359"/>
      <c r="P122" s="359"/>
      <c r="Q122" s="359"/>
      <c r="R122" s="359">
        <v>0</v>
      </c>
      <c r="S122" s="359">
        <v>314.39999999999998</v>
      </c>
      <c r="T122" s="359">
        <v>1202.7</v>
      </c>
      <c r="U122" s="359">
        <v>0</v>
      </c>
      <c r="V122" s="359">
        <v>408.8</v>
      </c>
      <c r="W122" s="359">
        <v>1199.9000000000001</v>
      </c>
      <c r="X122" s="359">
        <v>0</v>
      </c>
      <c r="Y122" s="359">
        <v>412.3</v>
      </c>
      <c r="Z122" s="359">
        <v>1286.7</v>
      </c>
      <c r="AA122" s="362">
        <f t="shared" si="1"/>
        <v>0</v>
      </c>
    </row>
    <row r="123" spans="1:27" ht="28.8" x14ac:dyDescent="0.3">
      <c r="A123" s="345" t="s">
        <v>1798</v>
      </c>
      <c r="B123" s="805"/>
      <c r="C123" s="802"/>
      <c r="D123" s="802"/>
      <c r="E123" s="803"/>
      <c r="F123" s="805">
        <v>9.5</v>
      </c>
      <c r="G123" s="803"/>
      <c r="H123" s="345">
        <v>1424.2</v>
      </c>
      <c r="I123" s="345">
        <v>8.5</v>
      </c>
      <c r="J123" s="345">
        <v>8.5</v>
      </c>
      <c r="K123" s="345">
        <v>1370.3</v>
      </c>
      <c r="L123" s="346"/>
      <c r="M123" s="346"/>
      <c r="N123" s="346"/>
      <c r="O123" s="345"/>
      <c r="P123" s="345"/>
      <c r="Q123" s="345"/>
      <c r="R123" s="345">
        <v>9.8000000000000007</v>
      </c>
      <c r="S123" s="345">
        <v>9.8000000000000007</v>
      </c>
      <c r="T123" s="345">
        <v>1212.5</v>
      </c>
      <c r="U123" s="345">
        <v>10.5</v>
      </c>
      <c r="V123" s="345">
        <v>10.5</v>
      </c>
      <c r="W123" s="345">
        <v>1210.4000000000001</v>
      </c>
      <c r="X123" s="345">
        <v>8</v>
      </c>
      <c r="Y123" s="345">
        <v>8</v>
      </c>
      <c r="Z123" s="345">
        <v>1294.7</v>
      </c>
      <c r="AA123">
        <f t="shared" si="1"/>
        <v>8.5</v>
      </c>
    </row>
    <row r="124" spans="1:27" ht="28.8" x14ac:dyDescent="0.3">
      <c r="A124" s="345" t="s">
        <v>1799</v>
      </c>
      <c r="B124" s="805"/>
      <c r="C124" s="802"/>
      <c r="D124" s="802"/>
      <c r="E124" s="803"/>
      <c r="F124" s="805">
        <v>20</v>
      </c>
      <c r="G124" s="803"/>
      <c r="H124" s="345">
        <v>1434.7</v>
      </c>
      <c r="I124" s="345">
        <v>11.5</v>
      </c>
      <c r="J124" s="345">
        <v>20</v>
      </c>
      <c r="K124" s="345">
        <v>1381.8</v>
      </c>
      <c r="L124" s="346"/>
      <c r="M124" s="346"/>
      <c r="N124" s="346"/>
      <c r="O124" s="345"/>
      <c r="P124" s="345"/>
      <c r="Q124" s="345"/>
      <c r="R124" s="345">
        <v>11.2</v>
      </c>
      <c r="S124" s="345">
        <v>21</v>
      </c>
      <c r="T124" s="345">
        <v>1223.7</v>
      </c>
      <c r="U124" s="345">
        <v>12</v>
      </c>
      <c r="V124" s="345">
        <v>22.5</v>
      </c>
      <c r="W124" s="345">
        <v>1222.4000000000001</v>
      </c>
      <c r="X124" s="345">
        <v>11</v>
      </c>
      <c r="Y124" s="345">
        <v>19</v>
      </c>
      <c r="Z124" s="345">
        <v>1305.7</v>
      </c>
      <c r="AA124">
        <f t="shared" si="1"/>
        <v>11.5</v>
      </c>
    </row>
    <row r="125" spans="1:27" ht="28.8" x14ac:dyDescent="0.3">
      <c r="A125" s="345" t="s">
        <v>1800</v>
      </c>
      <c r="B125" s="805"/>
      <c r="C125" s="802"/>
      <c r="D125" s="802"/>
      <c r="E125" s="803"/>
      <c r="F125" s="805">
        <v>26.5</v>
      </c>
      <c r="G125" s="803"/>
      <c r="H125" s="345">
        <v>1441.2</v>
      </c>
      <c r="I125" s="345">
        <v>5.5</v>
      </c>
      <c r="J125" s="345">
        <v>25.5</v>
      </c>
      <c r="K125" s="345">
        <v>1387.3</v>
      </c>
      <c r="L125" s="346"/>
      <c r="M125" s="346"/>
      <c r="N125" s="346"/>
      <c r="O125" s="345"/>
      <c r="P125" s="345"/>
      <c r="Q125" s="345"/>
      <c r="R125" s="345">
        <v>3.6</v>
      </c>
      <c r="S125" s="345">
        <v>24.6</v>
      </c>
      <c r="T125" s="345">
        <v>1227.3</v>
      </c>
      <c r="U125" s="345">
        <v>4</v>
      </c>
      <c r="V125" s="345">
        <v>26.5</v>
      </c>
      <c r="W125" s="345">
        <v>1226.4000000000001</v>
      </c>
      <c r="X125" s="345">
        <v>4.5</v>
      </c>
      <c r="Y125" s="345">
        <v>23.5</v>
      </c>
      <c r="Z125" s="345">
        <v>1310.2</v>
      </c>
      <c r="AA125">
        <f t="shared" si="1"/>
        <v>5.5</v>
      </c>
    </row>
    <row r="126" spans="1:27" ht="28.8" x14ac:dyDescent="0.3">
      <c r="A126" s="345" t="s">
        <v>1801</v>
      </c>
      <c r="B126" s="805"/>
      <c r="C126" s="802"/>
      <c r="D126" s="802"/>
      <c r="E126" s="803"/>
      <c r="F126" s="805">
        <v>27</v>
      </c>
      <c r="G126" s="803"/>
      <c r="H126" s="345">
        <v>1441.7</v>
      </c>
      <c r="I126" s="345">
        <v>0.5</v>
      </c>
      <c r="J126" s="345">
        <v>26</v>
      </c>
      <c r="K126" s="345">
        <v>1387.8</v>
      </c>
      <c r="L126" s="346"/>
      <c r="M126" s="346"/>
      <c r="N126" s="346"/>
      <c r="O126" s="345"/>
      <c r="P126" s="345"/>
      <c r="Q126" s="345"/>
      <c r="R126" s="345">
        <v>60.5</v>
      </c>
      <c r="S126" s="345">
        <v>85.1</v>
      </c>
      <c r="T126" s="345">
        <v>1287.8</v>
      </c>
      <c r="U126" s="345">
        <v>0.4</v>
      </c>
      <c r="V126" s="345">
        <v>26.9</v>
      </c>
      <c r="W126" s="345">
        <v>1226.8</v>
      </c>
      <c r="X126" s="345">
        <v>0.2</v>
      </c>
      <c r="Y126" s="345">
        <v>23.7</v>
      </c>
      <c r="Z126" s="345">
        <v>1310.4000000000001</v>
      </c>
      <c r="AA126">
        <f t="shared" si="1"/>
        <v>0.5</v>
      </c>
    </row>
    <row r="127" spans="1:27" ht="28.8" x14ac:dyDescent="0.3">
      <c r="A127" s="345" t="s">
        <v>1802</v>
      </c>
      <c r="B127" s="805"/>
      <c r="C127" s="802"/>
      <c r="D127" s="802"/>
      <c r="E127" s="803"/>
      <c r="F127" s="805">
        <v>27</v>
      </c>
      <c r="G127" s="803"/>
      <c r="H127" s="345">
        <v>1441.7</v>
      </c>
      <c r="I127" s="345">
        <v>0</v>
      </c>
      <c r="J127" s="345">
        <v>26</v>
      </c>
      <c r="K127" s="345">
        <v>1387.8</v>
      </c>
      <c r="L127" s="346"/>
      <c r="M127" s="346"/>
      <c r="N127" s="346"/>
      <c r="O127" s="345"/>
      <c r="P127" s="345"/>
      <c r="Q127" s="345"/>
      <c r="R127" s="345">
        <v>0</v>
      </c>
      <c r="S127" s="345">
        <v>85.1</v>
      </c>
      <c r="T127" s="345">
        <v>1287.8</v>
      </c>
      <c r="U127" s="345">
        <v>0</v>
      </c>
      <c r="V127" s="345">
        <v>26.9</v>
      </c>
      <c r="W127" s="345">
        <v>1226.8</v>
      </c>
      <c r="X127" s="345">
        <v>0</v>
      </c>
      <c r="Y127" s="345">
        <v>23.7</v>
      </c>
      <c r="Z127" s="345">
        <v>1310.4000000000001</v>
      </c>
      <c r="AA127">
        <f t="shared" si="1"/>
        <v>0</v>
      </c>
    </row>
    <row r="128" spans="1:27" ht="28.8" x14ac:dyDescent="0.3">
      <c r="A128" s="345" t="s">
        <v>1803</v>
      </c>
      <c r="B128" s="805"/>
      <c r="C128" s="802"/>
      <c r="D128" s="802"/>
      <c r="E128" s="803"/>
      <c r="F128" s="805">
        <v>28.5</v>
      </c>
      <c r="G128" s="803"/>
      <c r="H128" s="345">
        <v>1443.2</v>
      </c>
      <c r="I128" s="345">
        <v>0.3</v>
      </c>
      <c r="J128" s="345">
        <v>26.3</v>
      </c>
      <c r="K128" s="345">
        <v>1388.1</v>
      </c>
      <c r="L128" s="346"/>
      <c r="M128" s="346"/>
      <c r="N128" s="346"/>
      <c r="O128" s="345"/>
      <c r="P128" s="345"/>
      <c r="Q128" s="345"/>
      <c r="R128" s="345">
        <v>0</v>
      </c>
      <c r="S128" s="345">
        <v>85.1</v>
      </c>
      <c r="T128" s="345">
        <v>1287.8</v>
      </c>
      <c r="U128" s="345">
        <v>0.2</v>
      </c>
      <c r="V128" s="345">
        <v>27.1</v>
      </c>
      <c r="W128" s="345">
        <v>1227</v>
      </c>
      <c r="X128" s="345">
        <v>0.4</v>
      </c>
      <c r="Y128" s="345">
        <v>24.1</v>
      </c>
      <c r="Z128" s="345">
        <v>1310.8</v>
      </c>
      <c r="AA128">
        <f t="shared" si="1"/>
        <v>0.3</v>
      </c>
    </row>
    <row r="129" spans="1:27" ht="28.8" x14ac:dyDescent="0.3">
      <c r="A129" s="345" t="s">
        <v>1804</v>
      </c>
      <c r="B129" s="805"/>
      <c r="C129" s="802"/>
      <c r="D129" s="802"/>
      <c r="E129" s="803"/>
      <c r="F129" s="805">
        <v>46</v>
      </c>
      <c r="G129" s="803"/>
      <c r="H129" s="345">
        <v>1460.7</v>
      </c>
      <c r="I129" s="345">
        <v>11.5</v>
      </c>
      <c r="J129" s="345">
        <v>37.799999999999997</v>
      </c>
      <c r="K129" s="345">
        <v>1399.6</v>
      </c>
      <c r="L129" s="346"/>
      <c r="M129" s="346"/>
      <c r="N129" s="346"/>
      <c r="O129" s="345"/>
      <c r="P129" s="345"/>
      <c r="Q129" s="345"/>
      <c r="R129" s="345">
        <v>9</v>
      </c>
      <c r="S129" s="345">
        <v>94.1</v>
      </c>
      <c r="T129" s="345">
        <v>1296.8</v>
      </c>
      <c r="U129" s="345">
        <v>9.5</v>
      </c>
      <c r="V129" s="345">
        <v>36.6</v>
      </c>
      <c r="W129" s="345">
        <v>1236.5</v>
      </c>
      <c r="X129" s="345">
        <v>7.5</v>
      </c>
      <c r="Y129" s="345">
        <v>31.6</v>
      </c>
      <c r="Z129" s="345">
        <v>1318.3</v>
      </c>
      <c r="AA129">
        <f t="shared" si="1"/>
        <v>11.5</v>
      </c>
    </row>
    <row r="130" spans="1:27" ht="28.8" x14ac:dyDescent="0.3">
      <c r="A130" s="345" t="s">
        <v>1805</v>
      </c>
      <c r="B130" s="805"/>
      <c r="C130" s="802"/>
      <c r="D130" s="802"/>
      <c r="E130" s="803"/>
      <c r="F130" s="805">
        <v>74</v>
      </c>
      <c r="G130" s="803"/>
      <c r="H130" s="345">
        <v>1488.7</v>
      </c>
      <c r="I130" s="345">
        <v>27</v>
      </c>
      <c r="J130" s="345">
        <v>64.8</v>
      </c>
      <c r="K130" s="345">
        <v>1426.6</v>
      </c>
      <c r="L130" s="346"/>
      <c r="M130" s="346"/>
      <c r="N130" s="346"/>
      <c r="O130" s="345"/>
      <c r="P130" s="345"/>
      <c r="Q130" s="345"/>
      <c r="R130" s="345">
        <v>34</v>
      </c>
      <c r="S130" s="345">
        <v>128.1</v>
      </c>
      <c r="T130" s="345">
        <v>1330.8</v>
      </c>
      <c r="U130" s="345">
        <v>34</v>
      </c>
      <c r="V130" s="345">
        <v>70.599999999999994</v>
      </c>
      <c r="W130" s="345">
        <v>1270.5</v>
      </c>
      <c r="X130" s="345">
        <v>30</v>
      </c>
      <c r="Y130" s="345">
        <v>61.6</v>
      </c>
      <c r="Z130" s="345">
        <v>1348.3</v>
      </c>
      <c r="AA130">
        <f t="shared" si="1"/>
        <v>27</v>
      </c>
    </row>
    <row r="131" spans="1:27" ht="28.8" x14ac:dyDescent="0.3">
      <c r="A131" s="345" t="s">
        <v>1806</v>
      </c>
      <c r="B131" s="805"/>
      <c r="C131" s="802"/>
      <c r="D131" s="802"/>
      <c r="E131" s="803"/>
      <c r="F131" s="805">
        <v>83.5</v>
      </c>
      <c r="G131" s="803"/>
      <c r="H131" s="345">
        <v>1498.2</v>
      </c>
      <c r="I131" s="345">
        <v>11</v>
      </c>
      <c r="J131" s="345">
        <v>75.8</v>
      </c>
      <c r="K131" s="345">
        <v>1437.6</v>
      </c>
      <c r="L131" s="346"/>
      <c r="M131" s="346"/>
      <c r="N131" s="346"/>
      <c r="O131" s="345"/>
      <c r="P131" s="345"/>
      <c r="Q131" s="345"/>
      <c r="R131" s="345">
        <v>10.199999999999999</v>
      </c>
      <c r="S131" s="345">
        <v>138.30000000000001</v>
      </c>
      <c r="T131" s="345">
        <v>1341</v>
      </c>
      <c r="U131" s="345">
        <v>11.5</v>
      </c>
      <c r="V131" s="345">
        <v>82.1</v>
      </c>
      <c r="W131" s="345">
        <v>1282</v>
      </c>
      <c r="X131" s="345">
        <v>11</v>
      </c>
      <c r="Y131" s="345">
        <v>72.599999999999994</v>
      </c>
      <c r="Z131" s="345">
        <v>1359.3</v>
      </c>
      <c r="AA131">
        <f t="shared" si="1"/>
        <v>11</v>
      </c>
    </row>
    <row r="132" spans="1:27" ht="28.8" x14ac:dyDescent="0.3">
      <c r="A132" s="345" t="s">
        <v>1807</v>
      </c>
      <c r="B132" s="805"/>
      <c r="C132" s="802"/>
      <c r="D132" s="802"/>
      <c r="E132" s="803"/>
      <c r="F132" s="805">
        <v>83.5</v>
      </c>
      <c r="G132" s="803"/>
      <c r="H132" s="345">
        <v>1498.2</v>
      </c>
      <c r="I132" s="345">
        <v>0</v>
      </c>
      <c r="J132" s="345">
        <v>75.8</v>
      </c>
      <c r="K132" s="345">
        <v>1437.6</v>
      </c>
      <c r="L132" s="346"/>
      <c r="M132" s="346"/>
      <c r="N132" s="346"/>
      <c r="O132" s="345"/>
      <c r="P132" s="345"/>
      <c r="Q132" s="345"/>
      <c r="R132" s="345">
        <v>0</v>
      </c>
      <c r="S132" s="345">
        <v>138.30000000000001</v>
      </c>
      <c r="T132" s="345">
        <v>1341</v>
      </c>
      <c r="U132" s="345">
        <v>0</v>
      </c>
      <c r="V132" s="345">
        <v>82.1</v>
      </c>
      <c r="W132" s="345">
        <v>1282</v>
      </c>
      <c r="X132" s="345">
        <v>0</v>
      </c>
      <c r="Y132" s="345">
        <v>72.599999999999994</v>
      </c>
      <c r="Z132" s="345">
        <v>1359.3</v>
      </c>
      <c r="AA132">
        <f t="shared" ref="AA132:AA195" si="2">MAX(B132+I132+L132+O132)</f>
        <v>0</v>
      </c>
    </row>
    <row r="133" spans="1:27" ht="28.8" x14ac:dyDescent="0.3">
      <c r="A133" s="345" t="s">
        <v>1808</v>
      </c>
      <c r="B133" s="805"/>
      <c r="C133" s="802"/>
      <c r="D133" s="802"/>
      <c r="E133" s="803"/>
      <c r="F133" s="805">
        <v>143.5</v>
      </c>
      <c r="G133" s="803"/>
      <c r="H133" s="345">
        <v>1558.2</v>
      </c>
      <c r="I133" s="345">
        <v>50</v>
      </c>
      <c r="J133" s="345">
        <v>125.8</v>
      </c>
      <c r="K133" s="345">
        <v>1487.6</v>
      </c>
      <c r="L133" s="346"/>
      <c r="M133" s="346"/>
      <c r="N133" s="346"/>
      <c r="O133" s="345"/>
      <c r="P133" s="345"/>
      <c r="Q133" s="345"/>
      <c r="R133" s="345">
        <v>60</v>
      </c>
      <c r="S133" s="345">
        <v>198.3</v>
      </c>
      <c r="T133" s="345">
        <v>1401</v>
      </c>
      <c r="U133" s="345">
        <v>60.5</v>
      </c>
      <c r="V133" s="345">
        <v>142.6</v>
      </c>
      <c r="W133" s="345">
        <v>1342.5</v>
      </c>
      <c r="X133" s="345">
        <v>67</v>
      </c>
      <c r="Y133" s="345">
        <v>139.6</v>
      </c>
      <c r="Z133" s="345">
        <v>1426.3</v>
      </c>
      <c r="AA133">
        <f t="shared" si="2"/>
        <v>50</v>
      </c>
    </row>
    <row r="134" spans="1:27" ht="28.8" x14ac:dyDescent="0.3">
      <c r="A134" s="345" t="s">
        <v>1809</v>
      </c>
      <c r="B134" s="805"/>
      <c r="C134" s="802"/>
      <c r="D134" s="802"/>
      <c r="E134" s="803"/>
      <c r="F134" s="805">
        <v>185</v>
      </c>
      <c r="G134" s="803"/>
      <c r="H134" s="345">
        <v>1599.7</v>
      </c>
      <c r="I134" s="345">
        <v>50.5</v>
      </c>
      <c r="J134" s="345">
        <v>176.3</v>
      </c>
      <c r="K134" s="345">
        <v>1538.1</v>
      </c>
      <c r="L134" s="346"/>
      <c r="M134" s="346"/>
      <c r="N134" s="346"/>
      <c r="O134" s="345"/>
      <c r="P134" s="345"/>
      <c r="Q134" s="345"/>
      <c r="R134" s="345">
        <v>28.2</v>
      </c>
      <c r="S134" s="345">
        <v>226.5</v>
      </c>
      <c r="T134" s="345">
        <v>1429.2</v>
      </c>
      <c r="U134" s="345">
        <v>33.5</v>
      </c>
      <c r="V134" s="345">
        <v>176.1</v>
      </c>
      <c r="W134" s="345">
        <v>1376</v>
      </c>
      <c r="X134" s="345">
        <v>27.5</v>
      </c>
      <c r="Y134" s="345">
        <v>167.1</v>
      </c>
      <c r="Z134" s="345">
        <v>1453.8</v>
      </c>
      <c r="AA134">
        <f t="shared" si="2"/>
        <v>50.5</v>
      </c>
    </row>
    <row r="135" spans="1:27" ht="28.8" x14ac:dyDescent="0.3">
      <c r="A135" s="345" t="s">
        <v>1810</v>
      </c>
      <c r="B135" s="805"/>
      <c r="C135" s="802"/>
      <c r="D135" s="802"/>
      <c r="E135" s="803"/>
      <c r="F135" s="805">
        <v>191</v>
      </c>
      <c r="G135" s="803"/>
      <c r="H135" s="345">
        <v>1605.7</v>
      </c>
      <c r="I135" s="345">
        <v>1.5</v>
      </c>
      <c r="J135" s="345">
        <v>177.8</v>
      </c>
      <c r="K135" s="345">
        <v>1539.6</v>
      </c>
      <c r="L135" s="346"/>
      <c r="M135" s="346"/>
      <c r="N135" s="346"/>
      <c r="O135" s="345"/>
      <c r="P135" s="345"/>
      <c r="Q135" s="345"/>
      <c r="R135" s="345">
        <v>0.2</v>
      </c>
      <c r="S135" s="345">
        <v>226.7</v>
      </c>
      <c r="T135" s="345">
        <v>1429.4</v>
      </c>
      <c r="U135" s="345">
        <v>1</v>
      </c>
      <c r="V135" s="345">
        <v>177.1</v>
      </c>
      <c r="W135" s="345">
        <v>1377</v>
      </c>
      <c r="X135" s="345">
        <v>2</v>
      </c>
      <c r="Y135" s="345">
        <v>169.1</v>
      </c>
      <c r="Z135" s="345">
        <v>1455.8</v>
      </c>
      <c r="AA135">
        <f t="shared" si="2"/>
        <v>1.5</v>
      </c>
    </row>
    <row r="136" spans="1:27" ht="28.8" x14ac:dyDescent="0.3">
      <c r="A136" s="345" t="s">
        <v>1811</v>
      </c>
      <c r="B136" s="805"/>
      <c r="C136" s="802"/>
      <c r="D136" s="802"/>
      <c r="E136" s="803"/>
      <c r="F136" s="805">
        <v>191.5</v>
      </c>
      <c r="G136" s="803"/>
      <c r="H136" s="345">
        <v>1606.2</v>
      </c>
      <c r="I136" s="345">
        <v>0.5</v>
      </c>
      <c r="J136" s="345">
        <v>178.3</v>
      </c>
      <c r="K136" s="345">
        <v>1540.1</v>
      </c>
      <c r="L136" s="346"/>
      <c r="M136" s="346"/>
      <c r="N136" s="346"/>
      <c r="O136" s="345"/>
      <c r="P136" s="345"/>
      <c r="Q136" s="345"/>
      <c r="R136" s="345">
        <v>0.6</v>
      </c>
      <c r="S136" s="345">
        <v>227.3</v>
      </c>
      <c r="T136" s="345">
        <v>1430</v>
      </c>
      <c r="U136" s="345">
        <v>1</v>
      </c>
      <c r="V136" s="345">
        <v>178.1</v>
      </c>
      <c r="W136" s="345">
        <v>1378</v>
      </c>
      <c r="X136" s="345">
        <v>0.5</v>
      </c>
      <c r="Y136" s="345">
        <v>169.6</v>
      </c>
      <c r="Z136" s="345">
        <v>1456.3</v>
      </c>
      <c r="AA136">
        <f t="shared" si="2"/>
        <v>0.5</v>
      </c>
    </row>
    <row r="137" spans="1:27" ht="28.8" x14ac:dyDescent="0.3">
      <c r="A137" s="345" t="s">
        <v>1812</v>
      </c>
      <c r="B137" s="805"/>
      <c r="C137" s="802"/>
      <c r="D137" s="802"/>
      <c r="E137" s="803"/>
      <c r="F137" s="805">
        <v>196.5</v>
      </c>
      <c r="G137" s="803"/>
      <c r="H137" s="345">
        <v>1611.2</v>
      </c>
      <c r="I137" s="345">
        <v>6.5</v>
      </c>
      <c r="J137" s="345">
        <v>184.8</v>
      </c>
      <c r="K137" s="345">
        <v>1546.6</v>
      </c>
      <c r="L137" s="346"/>
      <c r="M137" s="346"/>
      <c r="N137" s="346"/>
      <c r="O137" s="345"/>
      <c r="P137" s="345"/>
      <c r="Q137" s="345"/>
      <c r="R137" s="345">
        <v>3.6</v>
      </c>
      <c r="S137" s="345">
        <v>230.9</v>
      </c>
      <c r="T137" s="345">
        <v>1433.6</v>
      </c>
      <c r="U137" s="345">
        <v>3.5</v>
      </c>
      <c r="V137" s="345">
        <v>181.6</v>
      </c>
      <c r="W137" s="345">
        <v>1381.5</v>
      </c>
      <c r="X137" s="345">
        <v>3</v>
      </c>
      <c r="Y137" s="345">
        <v>172.6</v>
      </c>
      <c r="Z137" s="345">
        <v>1459.3</v>
      </c>
      <c r="AA137">
        <f t="shared" si="2"/>
        <v>6.5</v>
      </c>
    </row>
    <row r="138" spans="1:27" ht="28.8" x14ac:dyDescent="0.3">
      <c r="A138" s="345" t="s">
        <v>1813</v>
      </c>
      <c r="B138" s="805"/>
      <c r="C138" s="802"/>
      <c r="D138" s="802"/>
      <c r="E138" s="803"/>
      <c r="F138" s="805">
        <v>198</v>
      </c>
      <c r="G138" s="803"/>
      <c r="H138" s="345">
        <v>1612.7</v>
      </c>
      <c r="I138" s="345">
        <v>1.5</v>
      </c>
      <c r="J138" s="345">
        <v>186.3</v>
      </c>
      <c r="K138" s="345">
        <v>1548.1</v>
      </c>
      <c r="L138" s="346"/>
      <c r="M138" s="346"/>
      <c r="N138" s="346"/>
      <c r="O138" s="345"/>
      <c r="P138" s="345"/>
      <c r="Q138" s="345"/>
      <c r="R138" s="345">
        <v>0.8</v>
      </c>
      <c r="S138" s="345">
        <v>231.7</v>
      </c>
      <c r="T138" s="345">
        <v>1434.4</v>
      </c>
      <c r="U138" s="345">
        <v>1</v>
      </c>
      <c r="V138" s="345">
        <v>182.6</v>
      </c>
      <c r="W138" s="345">
        <v>1382.5</v>
      </c>
      <c r="X138" s="345">
        <v>1</v>
      </c>
      <c r="Y138" s="345">
        <v>173.6</v>
      </c>
      <c r="Z138" s="345">
        <v>1460.3</v>
      </c>
      <c r="AA138">
        <f t="shared" si="2"/>
        <v>1.5</v>
      </c>
    </row>
    <row r="139" spans="1:27" ht="28.8" x14ac:dyDescent="0.3">
      <c r="A139" s="345" t="s">
        <v>1814</v>
      </c>
      <c r="B139" s="805"/>
      <c r="C139" s="802"/>
      <c r="D139" s="802"/>
      <c r="E139" s="803"/>
      <c r="F139" s="805">
        <v>231</v>
      </c>
      <c r="G139" s="803"/>
      <c r="H139" s="345">
        <v>1645.7</v>
      </c>
      <c r="I139" s="345">
        <v>28</v>
      </c>
      <c r="J139" s="345">
        <v>214.3</v>
      </c>
      <c r="K139" s="345">
        <v>1576.1</v>
      </c>
      <c r="L139" s="346"/>
      <c r="M139" s="346"/>
      <c r="N139" s="346"/>
      <c r="O139" s="345"/>
      <c r="P139" s="345"/>
      <c r="Q139" s="345"/>
      <c r="R139" s="345">
        <v>25.6</v>
      </c>
      <c r="S139" s="345">
        <v>257.3</v>
      </c>
      <c r="T139" s="345">
        <v>1460</v>
      </c>
      <c r="U139" s="345">
        <v>27.5</v>
      </c>
      <c r="V139" s="345">
        <v>210.1</v>
      </c>
      <c r="W139" s="345">
        <v>1410</v>
      </c>
      <c r="X139" s="345">
        <v>28.5</v>
      </c>
      <c r="Y139" s="345">
        <v>202.1</v>
      </c>
      <c r="Z139" s="345">
        <v>1488.8</v>
      </c>
      <c r="AA139">
        <f t="shared" si="2"/>
        <v>28</v>
      </c>
    </row>
    <row r="140" spans="1:27" ht="28.8" x14ac:dyDescent="0.3">
      <c r="A140" s="345" t="s">
        <v>1815</v>
      </c>
      <c r="B140" s="805"/>
      <c r="C140" s="802"/>
      <c r="D140" s="802"/>
      <c r="E140" s="803"/>
      <c r="F140" s="805">
        <v>232.5</v>
      </c>
      <c r="G140" s="803"/>
      <c r="H140" s="345">
        <v>1647.2</v>
      </c>
      <c r="I140" s="345">
        <v>2</v>
      </c>
      <c r="J140" s="345">
        <v>216.3</v>
      </c>
      <c r="K140" s="345">
        <v>1578.1</v>
      </c>
      <c r="L140" s="346"/>
      <c r="M140" s="346"/>
      <c r="N140" s="346"/>
      <c r="O140" s="345"/>
      <c r="P140" s="345"/>
      <c r="Q140" s="345"/>
      <c r="R140" s="345">
        <v>2</v>
      </c>
      <c r="S140" s="345">
        <v>259.3</v>
      </c>
      <c r="T140" s="345">
        <v>1462</v>
      </c>
      <c r="U140" s="345">
        <v>1.5</v>
      </c>
      <c r="V140" s="345">
        <v>211.6</v>
      </c>
      <c r="W140" s="345">
        <v>1411.5</v>
      </c>
      <c r="X140" s="345">
        <v>2</v>
      </c>
      <c r="Y140" s="345">
        <v>204.1</v>
      </c>
      <c r="Z140" s="345">
        <v>1490.8</v>
      </c>
      <c r="AA140">
        <f t="shared" si="2"/>
        <v>2</v>
      </c>
    </row>
    <row r="141" spans="1:27" ht="28.8" x14ac:dyDescent="0.3">
      <c r="A141" s="345" t="s">
        <v>1816</v>
      </c>
      <c r="B141" s="805"/>
      <c r="C141" s="802"/>
      <c r="D141" s="802"/>
      <c r="E141" s="803"/>
      <c r="F141" s="805">
        <v>238</v>
      </c>
      <c r="G141" s="803"/>
      <c r="H141" s="345">
        <v>1652.7</v>
      </c>
      <c r="I141" s="345">
        <v>9.5</v>
      </c>
      <c r="J141" s="345">
        <v>225.8</v>
      </c>
      <c r="K141" s="345">
        <v>1587.6</v>
      </c>
      <c r="L141" s="346"/>
      <c r="M141" s="346"/>
      <c r="N141" s="346"/>
      <c r="O141" s="345"/>
      <c r="P141" s="345"/>
      <c r="Q141" s="345"/>
      <c r="R141" s="345">
        <v>5.6</v>
      </c>
      <c r="S141" s="345">
        <v>264.89999999999998</v>
      </c>
      <c r="T141" s="345">
        <v>1467.6</v>
      </c>
      <c r="U141" s="345">
        <v>5.5</v>
      </c>
      <c r="V141" s="345">
        <v>217.1</v>
      </c>
      <c r="W141" s="345">
        <v>1417</v>
      </c>
      <c r="X141" s="345">
        <v>5</v>
      </c>
      <c r="Y141" s="345">
        <v>209.1</v>
      </c>
      <c r="Z141" s="345">
        <v>1495.8</v>
      </c>
      <c r="AA141">
        <f t="shared" si="2"/>
        <v>9.5</v>
      </c>
    </row>
    <row r="142" spans="1:27" ht="28.8" x14ac:dyDescent="0.3">
      <c r="A142" s="345" t="s">
        <v>1817</v>
      </c>
      <c r="B142" s="805"/>
      <c r="C142" s="802"/>
      <c r="D142" s="802"/>
      <c r="E142" s="803"/>
      <c r="F142" s="805">
        <v>260.5</v>
      </c>
      <c r="G142" s="803"/>
      <c r="H142" s="345">
        <v>1675.2</v>
      </c>
      <c r="I142" s="345">
        <v>22.5</v>
      </c>
      <c r="J142" s="345">
        <v>248.3</v>
      </c>
      <c r="K142" s="345">
        <v>1610.1</v>
      </c>
      <c r="L142" s="346"/>
      <c r="M142" s="346"/>
      <c r="N142" s="346"/>
      <c r="O142" s="345"/>
      <c r="P142" s="345"/>
      <c r="Q142" s="345"/>
      <c r="R142" s="345">
        <v>19</v>
      </c>
      <c r="S142" s="345">
        <v>283.89999999999998</v>
      </c>
      <c r="T142" s="345">
        <v>1486.6</v>
      </c>
      <c r="U142" s="345">
        <v>20.5</v>
      </c>
      <c r="V142" s="345">
        <v>237.6</v>
      </c>
      <c r="W142" s="345">
        <v>1437.5</v>
      </c>
      <c r="X142" s="345">
        <v>18</v>
      </c>
      <c r="Y142" s="345">
        <v>227.1</v>
      </c>
      <c r="Z142" s="345">
        <v>1513.8</v>
      </c>
      <c r="AA142">
        <f t="shared" si="2"/>
        <v>22.5</v>
      </c>
    </row>
    <row r="143" spans="1:27" ht="28.8" x14ac:dyDescent="0.3">
      <c r="A143" s="345" t="s">
        <v>1818</v>
      </c>
      <c r="B143" s="805"/>
      <c r="C143" s="802"/>
      <c r="D143" s="802"/>
      <c r="E143" s="803"/>
      <c r="F143" s="805">
        <v>271</v>
      </c>
      <c r="G143" s="803"/>
      <c r="H143" s="345">
        <v>1685.7</v>
      </c>
      <c r="I143" s="345">
        <v>8.5</v>
      </c>
      <c r="J143" s="345">
        <v>256.8</v>
      </c>
      <c r="K143" s="345">
        <v>1618.6</v>
      </c>
      <c r="L143" s="346"/>
      <c r="M143" s="346"/>
      <c r="N143" s="346"/>
      <c r="O143" s="345"/>
      <c r="P143" s="345"/>
      <c r="Q143" s="345"/>
      <c r="R143" s="345">
        <v>6</v>
      </c>
      <c r="S143" s="345">
        <v>289.89999999999998</v>
      </c>
      <c r="T143" s="345">
        <v>1492.6</v>
      </c>
      <c r="U143" s="345">
        <v>7</v>
      </c>
      <c r="V143" s="345">
        <v>244.6</v>
      </c>
      <c r="W143" s="345">
        <v>1444.5</v>
      </c>
      <c r="X143" s="345">
        <v>6.5</v>
      </c>
      <c r="Y143" s="345">
        <v>233.6</v>
      </c>
      <c r="Z143" s="345">
        <v>1520.3</v>
      </c>
      <c r="AA143">
        <f t="shared" si="2"/>
        <v>8.5</v>
      </c>
    </row>
    <row r="144" spans="1:27" ht="28.8" x14ac:dyDescent="0.3">
      <c r="A144" s="345" t="s">
        <v>1819</v>
      </c>
      <c r="B144" s="805"/>
      <c r="C144" s="802"/>
      <c r="D144" s="802"/>
      <c r="E144" s="803"/>
      <c r="F144" s="805">
        <v>271</v>
      </c>
      <c r="G144" s="803"/>
      <c r="H144" s="345">
        <v>1685.7</v>
      </c>
      <c r="I144" s="345">
        <v>0</v>
      </c>
      <c r="J144" s="345">
        <v>256.8</v>
      </c>
      <c r="K144" s="345">
        <v>1618.6</v>
      </c>
      <c r="L144" s="346"/>
      <c r="M144" s="346"/>
      <c r="N144" s="346"/>
      <c r="O144" s="345"/>
      <c r="P144" s="345"/>
      <c r="Q144" s="345"/>
      <c r="R144" s="345">
        <v>0</v>
      </c>
      <c r="S144" s="345">
        <v>289.89999999999998</v>
      </c>
      <c r="T144" s="345">
        <v>1492.6</v>
      </c>
      <c r="U144" s="345">
        <v>0</v>
      </c>
      <c r="V144" s="345">
        <v>244.6</v>
      </c>
      <c r="W144" s="345">
        <v>1444.5</v>
      </c>
      <c r="X144" s="345">
        <v>0</v>
      </c>
      <c r="Y144" s="345">
        <v>233.6</v>
      </c>
      <c r="Z144" s="345">
        <v>1520.3</v>
      </c>
      <c r="AA144">
        <f t="shared" si="2"/>
        <v>0</v>
      </c>
    </row>
    <row r="145" spans="1:27" ht="28.8" x14ac:dyDescent="0.3">
      <c r="A145" s="345" t="s">
        <v>1820</v>
      </c>
      <c r="B145" s="805"/>
      <c r="C145" s="802"/>
      <c r="D145" s="802"/>
      <c r="E145" s="803"/>
      <c r="F145" s="805">
        <v>288.5</v>
      </c>
      <c r="G145" s="803"/>
      <c r="H145" s="345">
        <v>1703.2</v>
      </c>
      <c r="I145" s="345">
        <v>16.5</v>
      </c>
      <c r="J145" s="345">
        <v>273.3</v>
      </c>
      <c r="K145" s="345">
        <v>1635.1</v>
      </c>
      <c r="L145" s="346"/>
      <c r="M145" s="346"/>
      <c r="N145" s="346"/>
      <c r="O145" s="345"/>
      <c r="P145" s="345"/>
      <c r="Q145" s="345"/>
      <c r="R145" s="345">
        <v>14.6</v>
      </c>
      <c r="S145" s="345">
        <v>304.5</v>
      </c>
      <c r="T145" s="345">
        <v>1507.2</v>
      </c>
      <c r="U145" s="345">
        <v>16</v>
      </c>
      <c r="V145" s="345">
        <v>260.60000000000002</v>
      </c>
      <c r="W145" s="345">
        <v>1460.5</v>
      </c>
      <c r="X145" s="345">
        <v>15.5</v>
      </c>
      <c r="Y145" s="345">
        <v>249.1</v>
      </c>
      <c r="Z145" s="345">
        <v>1535.8</v>
      </c>
      <c r="AA145">
        <f t="shared" si="2"/>
        <v>16.5</v>
      </c>
    </row>
    <row r="146" spans="1:27" ht="28.8" x14ac:dyDescent="0.3">
      <c r="A146" s="345" t="s">
        <v>1821</v>
      </c>
      <c r="B146" s="805"/>
      <c r="C146" s="802"/>
      <c r="D146" s="802"/>
      <c r="E146" s="803"/>
      <c r="F146" s="805">
        <v>306.5</v>
      </c>
      <c r="G146" s="803"/>
      <c r="H146" s="345">
        <v>1721.2</v>
      </c>
      <c r="I146" s="345">
        <v>20</v>
      </c>
      <c r="J146" s="345">
        <v>293.3</v>
      </c>
      <c r="K146" s="345">
        <v>1655.1</v>
      </c>
      <c r="L146" s="346"/>
      <c r="M146" s="346"/>
      <c r="N146" s="346"/>
      <c r="O146" s="345"/>
      <c r="P146" s="345"/>
      <c r="Q146" s="345"/>
      <c r="R146" s="345">
        <v>0.2</v>
      </c>
      <c r="S146" s="345">
        <v>304.7</v>
      </c>
      <c r="T146" s="345">
        <v>1507.4</v>
      </c>
      <c r="U146" s="345">
        <v>19</v>
      </c>
      <c r="V146" s="345">
        <v>279.60000000000002</v>
      </c>
      <c r="W146" s="345">
        <v>1479.5</v>
      </c>
      <c r="X146" s="345">
        <v>15</v>
      </c>
      <c r="Y146" s="345">
        <v>264.10000000000002</v>
      </c>
      <c r="Z146" s="345">
        <v>1550.8</v>
      </c>
      <c r="AA146">
        <f t="shared" si="2"/>
        <v>20</v>
      </c>
    </row>
    <row r="147" spans="1:27" ht="28.8" x14ac:dyDescent="0.3">
      <c r="A147" s="345" t="s">
        <v>1822</v>
      </c>
      <c r="B147" s="805"/>
      <c r="C147" s="802"/>
      <c r="D147" s="802"/>
      <c r="E147" s="803"/>
      <c r="F147" s="805">
        <v>306.5</v>
      </c>
      <c r="G147" s="803"/>
      <c r="H147" s="345">
        <v>1721.2</v>
      </c>
      <c r="I147" s="345">
        <v>0</v>
      </c>
      <c r="J147" s="345">
        <v>293.3</v>
      </c>
      <c r="K147" s="345">
        <v>1655.1</v>
      </c>
      <c r="L147" s="346"/>
      <c r="M147" s="346"/>
      <c r="N147" s="346"/>
      <c r="O147" s="345"/>
      <c r="P147" s="345"/>
      <c r="Q147" s="345"/>
      <c r="R147" s="345">
        <v>0</v>
      </c>
      <c r="S147" s="345">
        <v>304.7</v>
      </c>
      <c r="T147" s="345">
        <v>1507.4</v>
      </c>
      <c r="U147" s="345">
        <v>0</v>
      </c>
      <c r="V147" s="345">
        <v>279.60000000000002</v>
      </c>
      <c r="W147" s="345">
        <v>1479.5</v>
      </c>
      <c r="X147" s="345">
        <v>0</v>
      </c>
      <c r="Y147" s="345">
        <v>264.10000000000002</v>
      </c>
      <c r="Z147" s="345">
        <v>1550.8</v>
      </c>
      <c r="AA147">
        <f t="shared" si="2"/>
        <v>0</v>
      </c>
    </row>
    <row r="148" spans="1:27" ht="28.8" x14ac:dyDescent="0.3">
      <c r="A148" s="345" t="s">
        <v>1823</v>
      </c>
      <c r="B148" s="805"/>
      <c r="C148" s="802"/>
      <c r="D148" s="802"/>
      <c r="E148" s="803"/>
      <c r="F148" s="805">
        <v>324.5</v>
      </c>
      <c r="G148" s="803"/>
      <c r="H148" s="345">
        <v>1739.2</v>
      </c>
      <c r="I148" s="345">
        <v>20</v>
      </c>
      <c r="J148" s="345">
        <v>313.3</v>
      </c>
      <c r="K148" s="345">
        <v>1675.1</v>
      </c>
      <c r="L148" s="346"/>
      <c r="M148" s="346"/>
      <c r="N148" s="346"/>
      <c r="O148" s="345"/>
      <c r="P148" s="345"/>
      <c r="Q148" s="345"/>
      <c r="R148" s="345">
        <v>8.4</v>
      </c>
      <c r="S148" s="345">
        <v>313.10000000000002</v>
      </c>
      <c r="T148" s="345">
        <v>1515.8</v>
      </c>
      <c r="U148" s="345">
        <v>9</v>
      </c>
      <c r="V148" s="345">
        <v>288.60000000000002</v>
      </c>
      <c r="W148" s="345">
        <v>1488.5</v>
      </c>
      <c r="X148" s="345">
        <v>6.5</v>
      </c>
      <c r="Y148" s="345">
        <v>270.60000000000002</v>
      </c>
      <c r="Z148" s="345">
        <v>1557.3</v>
      </c>
      <c r="AA148">
        <f t="shared" si="2"/>
        <v>20</v>
      </c>
    </row>
    <row r="149" spans="1:27" ht="28.8" x14ac:dyDescent="0.3">
      <c r="A149" s="345" t="s">
        <v>1824</v>
      </c>
      <c r="B149" s="805"/>
      <c r="C149" s="802"/>
      <c r="D149" s="802"/>
      <c r="E149" s="803"/>
      <c r="F149" s="805">
        <v>324.5</v>
      </c>
      <c r="G149" s="803"/>
      <c r="H149" s="345">
        <v>1739.2</v>
      </c>
      <c r="I149" s="345">
        <v>0</v>
      </c>
      <c r="J149" s="345">
        <v>313.3</v>
      </c>
      <c r="K149" s="345">
        <v>1675.1</v>
      </c>
      <c r="L149" s="346"/>
      <c r="M149" s="346"/>
      <c r="N149" s="346"/>
      <c r="O149" s="345"/>
      <c r="P149" s="345"/>
      <c r="Q149" s="345"/>
      <c r="R149" s="345">
        <v>0</v>
      </c>
      <c r="S149" s="345">
        <v>313.10000000000002</v>
      </c>
      <c r="T149" s="345">
        <v>1515.8</v>
      </c>
      <c r="U149" s="345">
        <v>0</v>
      </c>
      <c r="V149" s="345">
        <v>288.60000000000002</v>
      </c>
      <c r="W149" s="345">
        <v>1488.5</v>
      </c>
      <c r="X149" s="345">
        <v>0</v>
      </c>
      <c r="Y149" s="345">
        <v>270.60000000000002</v>
      </c>
      <c r="Z149" s="345">
        <v>1557.3</v>
      </c>
      <c r="AA149">
        <f t="shared" si="2"/>
        <v>0</v>
      </c>
    </row>
    <row r="150" spans="1:27" ht="28.8" x14ac:dyDescent="0.3">
      <c r="A150" s="345" t="s">
        <v>1825</v>
      </c>
      <c r="B150" s="805"/>
      <c r="C150" s="802"/>
      <c r="D150" s="802"/>
      <c r="E150" s="803"/>
      <c r="F150" s="805">
        <v>325.5</v>
      </c>
      <c r="G150" s="803"/>
      <c r="H150" s="345">
        <v>1740.2</v>
      </c>
      <c r="I150" s="345">
        <v>0</v>
      </c>
      <c r="J150" s="345">
        <v>313.3</v>
      </c>
      <c r="K150" s="345">
        <v>1675.1</v>
      </c>
      <c r="L150" s="346"/>
      <c r="M150" s="346"/>
      <c r="N150" s="346"/>
      <c r="O150" s="345"/>
      <c r="P150" s="345"/>
      <c r="Q150" s="345"/>
      <c r="R150" s="345">
        <v>0.4</v>
      </c>
      <c r="S150" s="345">
        <v>313.5</v>
      </c>
      <c r="T150" s="345">
        <v>1516.2</v>
      </c>
      <c r="U150" s="345">
        <v>0.5</v>
      </c>
      <c r="V150" s="345">
        <v>289.10000000000002</v>
      </c>
      <c r="W150" s="345">
        <v>1489</v>
      </c>
      <c r="X150" s="345">
        <v>2</v>
      </c>
      <c r="Y150" s="345">
        <v>272.60000000000002</v>
      </c>
      <c r="Z150" s="345">
        <v>1559.3</v>
      </c>
      <c r="AA150">
        <f t="shared" si="2"/>
        <v>0</v>
      </c>
    </row>
    <row r="151" spans="1:27" ht="28.8" x14ac:dyDescent="0.3">
      <c r="A151" s="345" t="s">
        <v>1826</v>
      </c>
      <c r="B151" s="805"/>
      <c r="C151" s="802"/>
      <c r="D151" s="802"/>
      <c r="E151" s="803"/>
      <c r="F151" s="805">
        <v>392.5</v>
      </c>
      <c r="G151" s="803"/>
      <c r="H151" s="345">
        <v>1807.2</v>
      </c>
      <c r="I151" s="345">
        <v>52</v>
      </c>
      <c r="J151" s="345">
        <v>365.3</v>
      </c>
      <c r="K151" s="345">
        <v>1727.1</v>
      </c>
      <c r="L151" s="346"/>
      <c r="M151" s="346"/>
      <c r="N151" s="346"/>
      <c r="O151" s="345"/>
      <c r="P151" s="345"/>
      <c r="Q151" s="345"/>
      <c r="R151" s="345">
        <v>32</v>
      </c>
      <c r="S151" s="345">
        <v>345.5</v>
      </c>
      <c r="T151" s="345">
        <v>1548.2</v>
      </c>
      <c r="U151" s="345">
        <v>34.5</v>
      </c>
      <c r="V151" s="345">
        <v>323.60000000000002</v>
      </c>
      <c r="W151" s="345">
        <v>1523.5</v>
      </c>
      <c r="X151" s="345">
        <v>37</v>
      </c>
      <c r="Y151" s="345">
        <v>309.60000000000002</v>
      </c>
      <c r="Z151" s="345">
        <v>1596.3</v>
      </c>
      <c r="AA151">
        <f t="shared" si="2"/>
        <v>52</v>
      </c>
    </row>
    <row r="152" spans="1:27" ht="28.8" x14ac:dyDescent="0.3">
      <c r="A152" s="345" t="s">
        <v>1827</v>
      </c>
      <c r="B152" s="805"/>
      <c r="C152" s="802"/>
      <c r="D152" s="802"/>
      <c r="E152" s="803"/>
      <c r="F152" s="805">
        <v>397.5</v>
      </c>
      <c r="G152" s="803"/>
      <c r="H152" s="345">
        <v>1812.2</v>
      </c>
      <c r="I152" s="345">
        <v>7.5</v>
      </c>
      <c r="J152" s="345">
        <v>372.8</v>
      </c>
      <c r="K152" s="345">
        <v>1734.6</v>
      </c>
      <c r="L152" s="346"/>
      <c r="M152" s="346"/>
      <c r="N152" s="346"/>
      <c r="O152" s="345"/>
      <c r="P152" s="345"/>
      <c r="Q152" s="345"/>
      <c r="R152" s="345">
        <v>8.4</v>
      </c>
      <c r="S152" s="345">
        <v>353.9</v>
      </c>
      <c r="T152" s="345">
        <v>1556.6</v>
      </c>
      <c r="U152" s="345">
        <v>9</v>
      </c>
      <c r="V152" s="345">
        <v>332.6</v>
      </c>
      <c r="W152" s="345">
        <v>1532.5</v>
      </c>
      <c r="X152" s="345">
        <v>5</v>
      </c>
      <c r="Y152" s="345">
        <v>314.60000000000002</v>
      </c>
      <c r="Z152" s="345">
        <v>1601.3</v>
      </c>
      <c r="AA152">
        <f t="shared" si="2"/>
        <v>7.5</v>
      </c>
    </row>
    <row r="153" spans="1:27" s="362" customFormat="1" ht="28.8" x14ac:dyDescent="0.3">
      <c r="A153" s="359" t="s">
        <v>1828</v>
      </c>
      <c r="B153" s="811"/>
      <c r="C153" s="812"/>
      <c r="D153" s="812"/>
      <c r="E153" s="813"/>
      <c r="F153" s="811">
        <v>434.5</v>
      </c>
      <c r="G153" s="813"/>
      <c r="H153" s="359">
        <v>1849.2</v>
      </c>
      <c r="I153" s="359">
        <v>38</v>
      </c>
      <c r="J153" s="359">
        <v>410.8</v>
      </c>
      <c r="K153" s="359">
        <v>1772.6</v>
      </c>
      <c r="L153" s="359"/>
      <c r="M153" s="359"/>
      <c r="N153" s="359"/>
      <c r="O153" s="359"/>
      <c r="P153" s="359"/>
      <c r="Q153" s="359"/>
      <c r="R153" s="359">
        <v>68</v>
      </c>
      <c r="S153" s="359">
        <v>421.9</v>
      </c>
      <c r="T153" s="359">
        <v>1624.6</v>
      </c>
      <c r="U153" s="359">
        <v>65.5</v>
      </c>
      <c r="V153" s="359">
        <v>398.1</v>
      </c>
      <c r="W153" s="359">
        <v>1598</v>
      </c>
      <c r="X153" s="359">
        <v>43</v>
      </c>
      <c r="Y153" s="359">
        <v>357.6</v>
      </c>
      <c r="Z153" s="359">
        <v>1644.3</v>
      </c>
      <c r="AA153" s="362">
        <f t="shared" si="2"/>
        <v>38</v>
      </c>
    </row>
    <row r="154" spans="1:27" ht="28.8" x14ac:dyDescent="0.3">
      <c r="A154" s="345" t="s">
        <v>1829</v>
      </c>
      <c r="B154" s="805"/>
      <c r="C154" s="802"/>
      <c r="D154" s="802"/>
      <c r="E154" s="803"/>
      <c r="F154" s="805">
        <v>87.5</v>
      </c>
      <c r="G154" s="803"/>
      <c r="H154" s="345">
        <v>1936.7</v>
      </c>
      <c r="I154" s="345">
        <v>80</v>
      </c>
      <c r="J154" s="345">
        <v>80</v>
      </c>
      <c r="K154" s="345">
        <v>1852.6</v>
      </c>
      <c r="L154" s="346"/>
      <c r="M154" s="346"/>
      <c r="N154" s="346"/>
      <c r="O154" s="345"/>
      <c r="P154" s="345"/>
      <c r="Q154" s="345"/>
      <c r="R154" s="345">
        <v>88.4</v>
      </c>
      <c r="S154" s="345">
        <v>88.4</v>
      </c>
      <c r="T154" s="345">
        <v>1713</v>
      </c>
      <c r="U154" s="345">
        <v>56</v>
      </c>
      <c r="V154" s="345">
        <v>56</v>
      </c>
      <c r="W154" s="345">
        <v>1654</v>
      </c>
      <c r="X154" s="345">
        <v>71</v>
      </c>
      <c r="Y154" s="345">
        <v>71</v>
      </c>
      <c r="Z154" s="345">
        <v>1715.3</v>
      </c>
      <c r="AA154">
        <f t="shared" si="2"/>
        <v>80</v>
      </c>
    </row>
    <row r="155" spans="1:27" ht="28.8" x14ac:dyDescent="0.3">
      <c r="A155" s="345" t="s">
        <v>1830</v>
      </c>
      <c r="B155" s="805"/>
      <c r="C155" s="802"/>
      <c r="D155" s="802"/>
      <c r="E155" s="803"/>
      <c r="F155" s="805">
        <v>106</v>
      </c>
      <c r="G155" s="803"/>
      <c r="H155" s="345">
        <v>1955.2</v>
      </c>
      <c r="I155" s="345">
        <v>20.5</v>
      </c>
      <c r="J155" s="345">
        <v>100.5</v>
      </c>
      <c r="K155" s="345">
        <v>1873.1</v>
      </c>
      <c r="L155" s="346"/>
      <c r="M155" s="346"/>
      <c r="N155" s="346"/>
      <c r="O155" s="345"/>
      <c r="P155" s="345"/>
      <c r="Q155" s="345"/>
      <c r="R155" s="345">
        <v>20.8</v>
      </c>
      <c r="S155" s="345">
        <v>109.2</v>
      </c>
      <c r="T155" s="345">
        <v>1733.8</v>
      </c>
      <c r="U155" s="345">
        <v>23.5</v>
      </c>
      <c r="V155" s="345">
        <v>79.5</v>
      </c>
      <c r="W155" s="345">
        <v>1677.5</v>
      </c>
      <c r="X155" s="345">
        <v>27</v>
      </c>
      <c r="Y155" s="345">
        <v>98</v>
      </c>
      <c r="Z155" s="345">
        <v>1742.3</v>
      </c>
      <c r="AA155">
        <f t="shared" si="2"/>
        <v>20.5</v>
      </c>
    </row>
    <row r="156" spans="1:27" ht="28.8" x14ac:dyDescent="0.3">
      <c r="A156" s="345" t="s">
        <v>1831</v>
      </c>
      <c r="B156" s="805"/>
      <c r="C156" s="802"/>
      <c r="D156" s="802"/>
      <c r="E156" s="803"/>
      <c r="F156" s="805">
        <v>117.5</v>
      </c>
      <c r="G156" s="803"/>
      <c r="H156" s="345">
        <v>1966.7</v>
      </c>
      <c r="I156" s="345">
        <v>8.5</v>
      </c>
      <c r="J156" s="345">
        <v>109</v>
      </c>
      <c r="K156" s="345">
        <v>1881.6</v>
      </c>
      <c r="L156" s="346"/>
      <c r="M156" s="346"/>
      <c r="N156" s="346"/>
      <c r="O156" s="345"/>
      <c r="P156" s="345"/>
      <c r="Q156" s="345"/>
      <c r="R156" s="345">
        <v>10</v>
      </c>
      <c r="S156" s="345">
        <v>119.2</v>
      </c>
      <c r="T156" s="345">
        <v>1743.8</v>
      </c>
      <c r="U156" s="345">
        <v>8.8000000000000007</v>
      </c>
      <c r="V156" s="345">
        <v>88.3</v>
      </c>
      <c r="W156" s="345">
        <v>1686.3</v>
      </c>
      <c r="X156" s="345">
        <v>11</v>
      </c>
      <c r="Y156" s="345">
        <v>109</v>
      </c>
      <c r="Z156" s="345">
        <v>1753.3</v>
      </c>
      <c r="AA156">
        <f t="shared" si="2"/>
        <v>8.5</v>
      </c>
    </row>
    <row r="157" spans="1:27" ht="28.8" x14ac:dyDescent="0.3">
      <c r="A157" s="345" t="s">
        <v>1832</v>
      </c>
      <c r="B157" s="805"/>
      <c r="C157" s="802"/>
      <c r="D157" s="802"/>
      <c r="E157" s="803"/>
      <c r="F157" s="805">
        <v>117.5</v>
      </c>
      <c r="G157" s="803"/>
      <c r="H157" s="345">
        <v>1966.7</v>
      </c>
      <c r="I157" s="345">
        <v>0</v>
      </c>
      <c r="J157" s="345">
        <v>109</v>
      </c>
      <c r="K157" s="345">
        <v>1881.6</v>
      </c>
      <c r="L157" s="346"/>
      <c r="M157" s="346"/>
      <c r="N157" s="346"/>
      <c r="O157" s="345"/>
      <c r="P157" s="345"/>
      <c r="Q157" s="345"/>
      <c r="R157" s="345">
        <v>0.4</v>
      </c>
      <c r="S157" s="345">
        <v>119.6</v>
      </c>
      <c r="T157" s="345">
        <v>1744.2</v>
      </c>
      <c r="U157" s="345">
        <v>0.1</v>
      </c>
      <c r="V157" s="345">
        <v>88.4</v>
      </c>
      <c r="W157" s="345">
        <v>1686.4</v>
      </c>
      <c r="X157" s="345">
        <v>0.2</v>
      </c>
      <c r="Y157" s="345">
        <v>109.2</v>
      </c>
      <c r="Z157" s="345">
        <v>1753.5</v>
      </c>
      <c r="AA157">
        <f t="shared" si="2"/>
        <v>0</v>
      </c>
    </row>
    <row r="158" spans="1:27" ht="28.8" x14ac:dyDescent="0.3">
      <c r="A158" s="345" t="s">
        <v>1833</v>
      </c>
      <c r="B158" s="805"/>
      <c r="C158" s="802"/>
      <c r="D158" s="802"/>
      <c r="E158" s="803"/>
      <c r="F158" s="805">
        <v>118.5</v>
      </c>
      <c r="G158" s="803"/>
      <c r="H158" s="345">
        <v>1967.7</v>
      </c>
      <c r="I158" s="345">
        <v>2</v>
      </c>
      <c r="J158" s="345">
        <v>111</v>
      </c>
      <c r="K158" s="345">
        <v>1883.6</v>
      </c>
      <c r="L158" s="346"/>
      <c r="M158" s="346"/>
      <c r="N158" s="346"/>
      <c r="O158" s="345"/>
      <c r="P158" s="345"/>
      <c r="Q158" s="345"/>
      <c r="R158" s="345">
        <v>1.6</v>
      </c>
      <c r="S158" s="345">
        <v>121.2</v>
      </c>
      <c r="T158" s="345">
        <v>1745.8</v>
      </c>
      <c r="U158" s="345">
        <v>1.5</v>
      </c>
      <c r="V158" s="345">
        <v>89.9</v>
      </c>
      <c r="W158" s="345">
        <v>1687.9</v>
      </c>
      <c r="X158" s="345">
        <v>2</v>
      </c>
      <c r="Y158" s="345">
        <v>111.2</v>
      </c>
      <c r="Z158" s="345">
        <v>1755.5</v>
      </c>
      <c r="AA158">
        <f t="shared" si="2"/>
        <v>2</v>
      </c>
    </row>
    <row r="159" spans="1:27" ht="28.8" x14ac:dyDescent="0.3">
      <c r="A159" s="345" t="s">
        <v>1834</v>
      </c>
      <c r="B159" s="805"/>
      <c r="C159" s="802"/>
      <c r="D159" s="802"/>
      <c r="E159" s="803"/>
      <c r="F159" s="805">
        <v>127</v>
      </c>
      <c r="G159" s="803"/>
      <c r="H159" s="345">
        <v>1976.2</v>
      </c>
      <c r="I159" s="345">
        <v>8.5</v>
      </c>
      <c r="J159" s="345">
        <v>119.5</v>
      </c>
      <c r="K159" s="345">
        <v>1892.1</v>
      </c>
      <c r="L159" s="346"/>
      <c r="M159" s="346"/>
      <c r="N159" s="346"/>
      <c r="O159" s="345"/>
      <c r="P159" s="345"/>
      <c r="Q159" s="345"/>
      <c r="R159" s="345">
        <v>9.8000000000000007</v>
      </c>
      <c r="S159" s="345">
        <v>131</v>
      </c>
      <c r="T159" s="345">
        <v>1755.6</v>
      </c>
      <c r="U159" s="345">
        <v>11</v>
      </c>
      <c r="V159" s="345">
        <v>100.9</v>
      </c>
      <c r="W159" s="345">
        <v>1698.9</v>
      </c>
      <c r="X159" s="345">
        <v>9</v>
      </c>
      <c r="Y159" s="345">
        <v>120.2</v>
      </c>
      <c r="Z159" s="345">
        <v>1764.5</v>
      </c>
      <c r="AA159">
        <f t="shared" si="2"/>
        <v>8.5</v>
      </c>
    </row>
    <row r="160" spans="1:27" ht="28.8" x14ac:dyDescent="0.3">
      <c r="A160" s="345" t="s">
        <v>1835</v>
      </c>
      <c r="B160" s="805"/>
      <c r="C160" s="802"/>
      <c r="D160" s="802"/>
      <c r="E160" s="803"/>
      <c r="F160" s="805">
        <v>127</v>
      </c>
      <c r="G160" s="803"/>
      <c r="H160" s="345">
        <v>1976.2</v>
      </c>
      <c r="I160" s="345">
        <v>0</v>
      </c>
      <c r="J160" s="345">
        <v>119.5</v>
      </c>
      <c r="K160" s="345">
        <v>1892.1</v>
      </c>
      <c r="L160" s="346"/>
      <c r="M160" s="346"/>
      <c r="N160" s="346"/>
      <c r="O160" s="345"/>
      <c r="P160" s="345"/>
      <c r="Q160" s="345"/>
      <c r="R160" s="345">
        <v>0</v>
      </c>
      <c r="S160" s="345">
        <v>131</v>
      </c>
      <c r="T160" s="345">
        <v>1755.6</v>
      </c>
      <c r="U160" s="345">
        <v>0</v>
      </c>
      <c r="V160" s="345">
        <v>100.9</v>
      </c>
      <c r="W160" s="345">
        <v>1698.9</v>
      </c>
      <c r="X160" s="345">
        <v>0</v>
      </c>
      <c r="Y160" s="345">
        <v>120.2</v>
      </c>
      <c r="Z160" s="345">
        <v>1764.5</v>
      </c>
      <c r="AA160">
        <f t="shared" si="2"/>
        <v>0</v>
      </c>
    </row>
    <row r="161" spans="1:27" ht="28.8" x14ac:dyDescent="0.3">
      <c r="A161" s="345" t="s">
        <v>1836</v>
      </c>
      <c r="B161" s="805"/>
      <c r="C161" s="802"/>
      <c r="D161" s="802"/>
      <c r="E161" s="803"/>
      <c r="F161" s="805">
        <v>127</v>
      </c>
      <c r="G161" s="803"/>
      <c r="H161" s="345">
        <v>1976.2</v>
      </c>
      <c r="I161" s="345">
        <v>0</v>
      </c>
      <c r="J161" s="345">
        <v>119.5</v>
      </c>
      <c r="K161" s="345">
        <v>1892.1</v>
      </c>
      <c r="L161" s="346"/>
      <c r="M161" s="346"/>
      <c r="N161" s="346"/>
      <c r="O161" s="345"/>
      <c r="P161" s="345"/>
      <c r="Q161" s="345"/>
      <c r="R161" s="345">
        <v>0.8</v>
      </c>
      <c r="S161" s="345">
        <v>131.80000000000001</v>
      </c>
      <c r="T161" s="345">
        <v>1756.4</v>
      </c>
      <c r="U161" s="345">
        <v>0</v>
      </c>
      <c r="V161" s="345">
        <v>100.9</v>
      </c>
      <c r="W161" s="345">
        <v>1698.9</v>
      </c>
      <c r="X161" s="345">
        <v>0</v>
      </c>
      <c r="Y161" s="345">
        <v>120.2</v>
      </c>
      <c r="Z161" s="345">
        <v>1764.5</v>
      </c>
      <c r="AA161">
        <f t="shared" si="2"/>
        <v>0</v>
      </c>
    </row>
    <row r="162" spans="1:27" ht="28.8" x14ac:dyDescent="0.3">
      <c r="A162" s="345" t="s">
        <v>1837</v>
      </c>
      <c r="B162" s="805"/>
      <c r="C162" s="802"/>
      <c r="D162" s="802"/>
      <c r="E162" s="803"/>
      <c r="F162" s="805">
        <v>127</v>
      </c>
      <c r="G162" s="803"/>
      <c r="H162" s="345">
        <v>1976.2</v>
      </c>
      <c r="I162" s="345">
        <v>0</v>
      </c>
      <c r="J162" s="345">
        <v>119.5</v>
      </c>
      <c r="K162" s="345">
        <v>1892.1</v>
      </c>
      <c r="L162" s="346"/>
      <c r="M162" s="346"/>
      <c r="N162" s="346"/>
      <c r="O162" s="345"/>
      <c r="P162" s="345"/>
      <c r="Q162" s="345"/>
      <c r="R162" s="345">
        <v>0</v>
      </c>
      <c r="S162" s="345">
        <v>131.80000000000001</v>
      </c>
      <c r="T162" s="345">
        <v>1756.4</v>
      </c>
      <c r="U162" s="345">
        <v>0</v>
      </c>
      <c r="V162" s="345">
        <v>100.9</v>
      </c>
      <c r="W162" s="345">
        <v>1698.9</v>
      </c>
      <c r="X162" s="345">
        <v>0</v>
      </c>
      <c r="Y162" s="345">
        <v>120.2</v>
      </c>
      <c r="Z162" s="345">
        <v>1764.5</v>
      </c>
      <c r="AA162">
        <f t="shared" si="2"/>
        <v>0</v>
      </c>
    </row>
    <row r="163" spans="1:27" ht="28.8" x14ac:dyDescent="0.3">
      <c r="A163" s="345" t="s">
        <v>1838</v>
      </c>
      <c r="B163" s="805"/>
      <c r="C163" s="802"/>
      <c r="D163" s="802"/>
      <c r="E163" s="803"/>
      <c r="F163" s="805">
        <v>127</v>
      </c>
      <c r="G163" s="803"/>
      <c r="H163" s="345">
        <v>1976.2</v>
      </c>
      <c r="I163" s="345">
        <v>0</v>
      </c>
      <c r="J163" s="345">
        <v>119.5</v>
      </c>
      <c r="K163" s="345">
        <v>1892.1</v>
      </c>
      <c r="L163" s="346"/>
      <c r="M163" s="346"/>
      <c r="N163" s="346"/>
      <c r="O163" s="345"/>
      <c r="P163" s="345"/>
      <c r="Q163" s="345"/>
      <c r="R163" s="345">
        <v>0</v>
      </c>
      <c r="S163" s="345">
        <v>131.80000000000001</v>
      </c>
      <c r="T163" s="345">
        <v>1756.4</v>
      </c>
      <c r="U163" s="345">
        <v>0</v>
      </c>
      <c r="V163" s="345">
        <v>100.9</v>
      </c>
      <c r="W163" s="345">
        <v>1698.9</v>
      </c>
      <c r="X163" s="345">
        <v>0</v>
      </c>
      <c r="Y163" s="345">
        <v>120.2</v>
      </c>
      <c r="Z163" s="345">
        <v>1764.5</v>
      </c>
      <c r="AA163">
        <f t="shared" si="2"/>
        <v>0</v>
      </c>
    </row>
    <row r="164" spans="1:27" ht="28.8" x14ac:dyDescent="0.3">
      <c r="A164" s="345" t="s">
        <v>1839</v>
      </c>
      <c r="B164" s="805"/>
      <c r="C164" s="802"/>
      <c r="D164" s="802"/>
      <c r="E164" s="803"/>
      <c r="F164" s="805">
        <v>131</v>
      </c>
      <c r="G164" s="803"/>
      <c r="H164" s="345">
        <v>1980.2</v>
      </c>
      <c r="I164" s="345">
        <v>4</v>
      </c>
      <c r="J164" s="345">
        <v>123.5</v>
      </c>
      <c r="K164" s="345">
        <v>1896.1</v>
      </c>
      <c r="L164" s="346"/>
      <c r="M164" s="346"/>
      <c r="N164" s="346"/>
      <c r="O164" s="345"/>
      <c r="P164" s="345"/>
      <c r="Q164" s="345"/>
      <c r="R164" s="345">
        <v>1.2</v>
      </c>
      <c r="S164" s="345">
        <v>133</v>
      </c>
      <c r="T164" s="345">
        <v>1757.6</v>
      </c>
      <c r="U164" s="345">
        <v>2</v>
      </c>
      <c r="V164" s="345">
        <v>102.9</v>
      </c>
      <c r="W164" s="345">
        <v>1700.9</v>
      </c>
      <c r="X164" s="345">
        <v>3</v>
      </c>
      <c r="Y164" s="345">
        <v>123.2</v>
      </c>
      <c r="Z164" s="345">
        <v>1767.5</v>
      </c>
      <c r="AA164">
        <f t="shared" si="2"/>
        <v>4</v>
      </c>
    </row>
    <row r="165" spans="1:27" ht="28.8" x14ac:dyDescent="0.3">
      <c r="A165" s="345" t="s">
        <v>1840</v>
      </c>
      <c r="B165" s="805"/>
      <c r="C165" s="802"/>
      <c r="D165" s="802"/>
      <c r="E165" s="803"/>
      <c r="F165" s="805">
        <v>154.5</v>
      </c>
      <c r="G165" s="803"/>
      <c r="H165" s="345">
        <v>2003.7</v>
      </c>
      <c r="I165" s="345">
        <v>8</v>
      </c>
      <c r="J165" s="345">
        <v>131.5</v>
      </c>
      <c r="K165" s="345">
        <v>1904.1</v>
      </c>
      <c r="L165" s="346"/>
      <c r="M165" s="346"/>
      <c r="N165" s="346"/>
      <c r="O165" s="345"/>
      <c r="P165" s="345"/>
      <c r="Q165" s="345"/>
      <c r="R165" s="345">
        <v>21</v>
      </c>
      <c r="S165" s="345">
        <v>154</v>
      </c>
      <c r="T165" s="345">
        <v>1778.6</v>
      </c>
      <c r="U165" s="345">
        <v>23.5</v>
      </c>
      <c r="V165" s="345">
        <v>126.4</v>
      </c>
      <c r="W165" s="345">
        <v>1724.4</v>
      </c>
      <c r="X165" s="345">
        <v>29.5</v>
      </c>
      <c r="Y165" s="345">
        <v>152.69999999999999</v>
      </c>
      <c r="Z165" s="345">
        <v>1797</v>
      </c>
      <c r="AA165">
        <f t="shared" si="2"/>
        <v>8</v>
      </c>
    </row>
    <row r="166" spans="1:27" ht="28.8" x14ac:dyDescent="0.3">
      <c r="A166" s="345" t="s">
        <v>1841</v>
      </c>
      <c r="B166" s="805"/>
      <c r="C166" s="802"/>
      <c r="D166" s="802"/>
      <c r="E166" s="803"/>
      <c r="F166" s="805">
        <v>155</v>
      </c>
      <c r="G166" s="803"/>
      <c r="H166" s="345">
        <v>2004.2</v>
      </c>
      <c r="I166" s="345">
        <v>0.5</v>
      </c>
      <c r="J166" s="345">
        <v>132</v>
      </c>
      <c r="K166" s="345">
        <v>1904.6</v>
      </c>
      <c r="L166" s="346"/>
      <c r="M166" s="346"/>
      <c r="N166" s="346"/>
      <c r="O166" s="345"/>
      <c r="P166" s="345"/>
      <c r="Q166" s="345"/>
      <c r="R166" s="345">
        <v>0.2</v>
      </c>
      <c r="S166" s="345">
        <v>154.19999999999999</v>
      </c>
      <c r="T166" s="345">
        <v>1778.8</v>
      </c>
      <c r="U166" s="345">
        <v>0.5</v>
      </c>
      <c r="V166" s="345">
        <v>126.9</v>
      </c>
      <c r="W166" s="345">
        <v>1724.9</v>
      </c>
      <c r="X166" s="345">
        <v>0</v>
      </c>
      <c r="Y166" s="345">
        <v>152.69999999999999</v>
      </c>
      <c r="Z166" s="345">
        <v>1797</v>
      </c>
      <c r="AA166">
        <f t="shared" si="2"/>
        <v>0.5</v>
      </c>
    </row>
    <row r="167" spans="1:27" ht="28.8" x14ac:dyDescent="0.3">
      <c r="A167" s="345" t="s">
        <v>1842</v>
      </c>
      <c r="B167" s="805"/>
      <c r="C167" s="802"/>
      <c r="D167" s="802"/>
      <c r="E167" s="803"/>
      <c r="F167" s="805">
        <v>155</v>
      </c>
      <c r="G167" s="803"/>
      <c r="H167" s="345">
        <v>2004.2</v>
      </c>
      <c r="I167" s="345">
        <v>0</v>
      </c>
      <c r="J167" s="345">
        <v>132</v>
      </c>
      <c r="K167" s="345">
        <v>1904.6</v>
      </c>
      <c r="L167" s="346"/>
      <c r="M167" s="346"/>
      <c r="N167" s="346"/>
      <c r="O167" s="345"/>
      <c r="P167" s="345"/>
      <c r="Q167" s="345"/>
      <c r="R167" s="345">
        <v>0</v>
      </c>
      <c r="S167" s="345">
        <v>154.19999999999999</v>
      </c>
      <c r="T167" s="345">
        <v>1778.8</v>
      </c>
      <c r="U167" s="345">
        <v>0</v>
      </c>
      <c r="V167" s="345">
        <v>126.9</v>
      </c>
      <c r="W167" s="345">
        <v>1724.9</v>
      </c>
      <c r="X167" s="345">
        <v>0</v>
      </c>
      <c r="Y167" s="345">
        <v>152.69999999999999</v>
      </c>
      <c r="Z167" s="345">
        <v>1797</v>
      </c>
      <c r="AA167">
        <f t="shared" si="2"/>
        <v>0</v>
      </c>
    </row>
    <row r="168" spans="1:27" ht="28.8" x14ac:dyDescent="0.3">
      <c r="A168" s="345" t="s">
        <v>1843</v>
      </c>
      <c r="B168" s="805"/>
      <c r="C168" s="802"/>
      <c r="D168" s="802"/>
      <c r="E168" s="803"/>
      <c r="F168" s="805">
        <v>156</v>
      </c>
      <c r="G168" s="803"/>
      <c r="H168" s="345">
        <v>2005.2</v>
      </c>
      <c r="I168" s="345">
        <v>1.5</v>
      </c>
      <c r="J168" s="345">
        <v>133.5</v>
      </c>
      <c r="K168" s="345">
        <v>1906.1</v>
      </c>
      <c r="L168" s="346"/>
      <c r="M168" s="346"/>
      <c r="N168" s="346"/>
      <c r="O168" s="345"/>
      <c r="P168" s="345"/>
      <c r="Q168" s="345"/>
      <c r="R168" s="345">
        <v>1.5</v>
      </c>
      <c r="S168" s="345">
        <v>155.69999999999999</v>
      </c>
      <c r="T168" s="345">
        <v>1780.3</v>
      </c>
      <c r="U168" s="345">
        <v>1.5</v>
      </c>
      <c r="V168" s="345">
        <v>128.4</v>
      </c>
      <c r="W168" s="345">
        <v>1726.4</v>
      </c>
      <c r="X168" s="345">
        <v>2</v>
      </c>
      <c r="Y168" s="345">
        <v>154.69999999999999</v>
      </c>
      <c r="Z168" s="345">
        <v>1799</v>
      </c>
      <c r="AA168">
        <f t="shared" si="2"/>
        <v>1.5</v>
      </c>
    </row>
    <row r="169" spans="1:27" ht="28.8" x14ac:dyDescent="0.3">
      <c r="A169" s="345" t="s">
        <v>1844</v>
      </c>
      <c r="B169" s="805"/>
      <c r="C169" s="802"/>
      <c r="D169" s="802"/>
      <c r="E169" s="803"/>
      <c r="F169" s="805">
        <v>158.5</v>
      </c>
      <c r="G169" s="803"/>
      <c r="H169" s="345">
        <v>2007.7</v>
      </c>
      <c r="I169" s="345">
        <v>3</v>
      </c>
      <c r="J169" s="345">
        <v>136.5</v>
      </c>
      <c r="K169" s="345">
        <v>1909.1</v>
      </c>
      <c r="L169" s="346"/>
      <c r="M169" s="346"/>
      <c r="N169" s="346"/>
      <c r="O169" s="345"/>
      <c r="P169" s="345"/>
      <c r="Q169" s="345"/>
      <c r="R169" s="345">
        <v>2</v>
      </c>
      <c r="S169" s="345">
        <v>157.69999999999999</v>
      </c>
      <c r="T169" s="345">
        <v>1782.3</v>
      </c>
      <c r="U169" s="345">
        <v>2</v>
      </c>
      <c r="V169" s="345">
        <v>130.4</v>
      </c>
      <c r="W169" s="345">
        <v>1728.4</v>
      </c>
      <c r="X169" s="345">
        <v>1.5</v>
      </c>
      <c r="Y169" s="345">
        <v>156.19999999999999</v>
      </c>
      <c r="Z169" s="345">
        <v>1800.5</v>
      </c>
      <c r="AA169">
        <f t="shared" si="2"/>
        <v>3</v>
      </c>
    </row>
    <row r="170" spans="1:27" ht="28.8" x14ac:dyDescent="0.3">
      <c r="A170" s="345" t="s">
        <v>1845</v>
      </c>
      <c r="B170" s="805"/>
      <c r="C170" s="802"/>
      <c r="D170" s="802"/>
      <c r="E170" s="803"/>
      <c r="F170" s="805">
        <v>158.5</v>
      </c>
      <c r="G170" s="803"/>
      <c r="H170" s="345">
        <v>2007.7</v>
      </c>
      <c r="I170" s="345">
        <v>0</v>
      </c>
      <c r="J170" s="345">
        <v>136.5</v>
      </c>
      <c r="K170" s="345">
        <v>1909.1</v>
      </c>
      <c r="L170" s="346"/>
      <c r="M170" s="346"/>
      <c r="N170" s="346"/>
      <c r="O170" s="345"/>
      <c r="P170" s="345"/>
      <c r="Q170" s="345"/>
      <c r="R170" s="345">
        <v>0</v>
      </c>
      <c r="S170" s="345">
        <v>157.69999999999999</v>
      </c>
      <c r="T170" s="345">
        <v>1782.3</v>
      </c>
      <c r="U170" s="345">
        <v>0</v>
      </c>
      <c r="V170" s="345">
        <v>130.4</v>
      </c>
      <c r="W170" s="345">
        <v>1728.4</v>
      </c>
      <c r="X170" s="345">
        <v>0</v>
      </c>
      <c r="Y170" s="345">
        <v>156.19999999999999</v>
      </c>
      <c r="Z170" s="345">
        <v>1800.5</v>
      </c>
      <c r="AA170">
        <f t="shared" si="2"/>
        <v>0</v>
      </c>
    </row>
    <row r="171" spans="1:27" ht="28.8" x14ac:dyDescent="0.3">
      <c r="A171" s="345" t="s">
        <v>1846</v>
      </c>
      <c r="B171" s="805"/>
      <c r="C171" s="802"/>
      <c r="D171" s="802"/>
      <c r="E171" s="803"/>
      <c r="F171" s="805">
        <v>158.5</v>
      </c>
      <c r="G171" s="803"/>
      <c r="H171" s="345">
        <v>2007.7</v>
      </c>
      <c r="I171" s="345">
        <v>0</v>
      </c>
      <c r="J171" s="345">
        <v>136.5</v>
      </c>
      <c r="K171" s="345">
        <v>1909.1</v>
      </c>
      <c r="L171" s="346"/>
      <c r="M171" s="346"/>
      <c r="N171" s="346"/>
      <c r="O171" s="345"/>
      <c r="P171" s="345"/>
      <c r="Q171" s="345"/>
      <c r="R171" s="345">
        <v>0</v>
      </c>
      <c r="S171" s="345">
        <v>157.69999999999999</v>
      </c>
      <c r="T171" s="345">
        <v>1782.3</v>
      </c>
      <c r="U171" s="345">
        <v>0</v>
      </c>
      <c r="V171" s="345">
        <v>130.4</v>
      </c>
      <c r="W171" s="345">
        <v>1728.4</v>
      </c>
      <c r="X171" s="345">
        <v>0</v>
      </c>
      <c r="Y171" s="345">
        <v>156.19999999999999</v>
      </c>
      <c r="Z171" s="345">
        <v>1800.5</v>
      </c>
      <c r="AA171">
        <f t="shared" si="2"/>
        <v>0</v>
      </c>
    </row>
    <row r="172" spans="1:27" ht="28.8" x14ac:dyDescent="0.3">
      <c r="A172" s="345" t="s">
        <v>1847</v>
      </c>
      <c r="B172" s="805"/>
      <c r="C172" s="802"/>
      <c r="D172" s="802"/>
      <c r="E172" s="803"/>
      <c r="F172" s="805">
        <v>166</v>
      </c>
      <c r="G172" s="803"/>
      <c r="H172" s="345">
        <v>2015.2</v>
      </c>
      <c r="I172" s="345">
        <v>5.5</v>
      </c>
      <c r="J172" s="345">
        <v>142</v>
      </c>
      <c r="K172" s="345">
        <v>1914.6</v>
      </c>
      <c r="L172" s="346"/>
      <c r="M172" s="346"/>
      <c r="N172" s="346"/>
      <c r="O172" s="345"/>
      <c r="P172" s="345"/>
      <c r="Q172" s="345"/>
      <c r="R172" s="345">
        <v>8</v>
      </c>
      <c r="S172" s="345">
        <v>165.7</v>
      </c>
      <c r="T172" s="345">
        <v>1790.3</v>
      </c>
      <c r="U172" s="345">
        <v>8</v>
      </c>
      <c r="V172" s="345">
        <v>138.4</v>
      </c>
      <c r="W172" s="345">
        <v>1736.4</v>
      </c>
      <c r="X172" s="345">
        <v>8</v>
      </c>
      <c r="Y172" s="345">
        <v>164.2</v>
      </c>
      <c r="Z172" s="345">
        <v>1808.5</v>
      </c>
      <c r="AA172">
        <f t="shared" si="2"/>
        <v>5.5</v>
      </c>
    </row>
    <row r="173" spans="1:27" ht="28.8" x14ac:dyDescent="0.3">
      <c r="A173" s="345" t="s">
        <v>1848</v>
      </c>
      <c r="B173" s="805"/>
      <c r="C173" s="802"/>
      <c r="D173" s="802"/>
      <c r="E173" s="803"/>
      <c r="F173" s="805">
        <v>193.5</v>
      </c>
      <c r="G173" s="803"/>
      <c r="H173" s="345">
        <v>2042.7</v>
      </c>
      <c r="I173" s="345">
        <v>56</v>
      </c>
      <c r="J173" s="345">
        <v>198</v>
      </c>
      <c r="K173" s="345">
        <v>1970.6</v>
      </c>
      <c r="L173" s="346"/>
      <c r="M173" s="346"/>
      <c r="N173" s="346"/>
      <c r="O173" s="345"/>
      <c r="P173" s="345"/>
      <c r="Q173" s="345"/>
      <c r="R173" s="345">
        <v>27</v>
      </c>
      <c r="S173" s="345">
        <v>192.7</v>
      </c>
      <c r="T173" s="345">
        <v>1817.3</v>
      </c>
      <c r="U173" s="345">
        <v>27</v>
      </c>
      <c r="V173" s="345">
        <v>165.4</v>
      </c>
      <c r="W173" s="345">
        <v>1763.4</v>
      </c>
      <c r="X173" s="345">
        <v>25</v>
      </c>
      <c r="Y173" s="345">
        <v>189.2</v>
      </c>
      <c r="Z173" s="345">
        <v>1833.5</v>
      </c>
      <c r="AA173">
        <f t="shared" si="2"/>
        <v>56</v>
      </c>
    </row>
    <row r="174" spans="1:27" ht="28.8" x14ac:dyDescent="0.3">
      <c r="A174" s="345" t="s">
        <v>1849</v>
      </c>
      <c r="B174" s="805"/>
      <c r="C174" s="802"/>
      <c r="D174" s="802"/>
      <c r="E174" s="803"/>
      <c r="F174" s="805">
        <v>194</v>
      </c>
      <c r="G174" s="803"/>
      <c r="H174" s="345">
        <v>2043.2</v>
      </c>
      <c r="I174" s="345">
        <v>2.5</v>
      </c>
      <c r="J174" s="345">
        <v>200.5</v>
      </c>
      <c r="K174" s="345">
        <v>1973.1</v>
      </c>
      <c r="L174" s="346"/>
      <c r="M174" s="346"/>
      <c r="N174" s="346"/>
      <c r="O174" s="345"/>
      <c r="P174" s="345"/>
      <c r="Q174" s="345"/>
      <c r="R174" s="345">
        <v>0.5</v>
      </c>
      <c r="S174" s="345">
        <v>193.2</v>
      </c>
      <c r="T174" s="345">
        <v>1817.8</v>
      </c>
      <c r="U174" s="345">
        <v>0.5</v>
      </c>
      <c r="V174" s="345">
        <v>165.9</v>
      </c>
      <c r="W174" s="345">
        <v>1763.9</v>
      </c>
      <c r="X174" s="345">
        <v>0.5</v>
      </c>
      <c r="Y174" s="345">
        <v>189.7</v>
      </c>
      <c r="Z174" s="345">
        <v>1834</v>
      </c>
      <c r="AA174">
        <f t="shared" si="2"/>
        <v>2.5</v>
      </c>
    </row>
    <row r="175" spans="1:27" ht="28.8" x14ac:dyDescent="0.3">
      <c r="A175" s="345" t="s">
        <v>1850</v>
      </c>
      <c r="B175" s="805"/>
      <c r="C175" s="802"/>
      <c r="D175" s="802"/>
      <c r="E175" s="803"/>
      <c r="F175" s="805">
        <v>194</v>
      </c>
      <c r="G175" s="803"/>
      <c r="H175" s="345">
        <v>2043.2</v>
      </c>
      <c r="I175" s="345">
        <v>0</v>
      </c>
      <c r="J175" s="345">
        <v>200.5</v>
      </c>
      <c r="K175" s="345">
        <v>1973.1</v>
      </c>
      <c r="L175" s="346"/>
      <c r="M175" s="346"/>
      <c r="N175" s="346"/>
      <c r="O175" s="345"/>
      <c r="P175" s="345"/>
      <c r="Q175" s="345"/>
      <c r="R175" s="345">
        <v>0</v>
      </c>
      <c r="S175" s="345">
        <v>193.2</v>
      </c>
      <c r="T175" s="345">
        <v>1817.8</v>
      </c>
      <c r="U175" s="345">
        <v>0</v>
      </c>
      <c r="V175" s="345">
        <v>165.9</v>
      </c>
      <c r="W175" s="345">
        <v>1763.9</v>
      </c>
      <c r="X175" s="345">
        <v>0</v>
      </c>
      <c r="Y175" s="345">
        <v>189.7</v>
      </c>
      <c r="Z175" s="345">
        <v>1834</v>
      </c>
      <c r="AA175">
        <f t="shared" si="2"/>
        <v>0</v>
      </c>
    </row>
    <row r="176" spans="1:27" ht="28.8" x14ac:dyDescent="0.3">
      <c r="A176" s="345" t="s">
        <v>1851</v>
      </c>
      <c r="B176" s="805"/>
      <c r="C176" s="802"/>
      <c r="D176" s="802"/>
      <c r="E176" s="803"/>
      <c r="F176" s="805">
        <v>194</v>
      </c>
      <c r="G176" s="803"/>
      <c r="H176" s="345">
        <v>2043.2</v>
      </c>
      <c r="I176" s="345">
        <v>0</v>
      </c>
      <c r="J176" s="345">
        <v>200.5</v>
      </c>
      <c r="K176" s="345">
        <v>1973.1</v>
      </c>
      <c r="L176" s="346"/>
      <c r="M176" s="346"/>
      <c r="N176" s="346"/>
      <c r="O176" s="345"/>
      <c r="P176" s="345"/>
      <c r="Q176" s="345"/>
      <c r="R176" s="345">
        <v>0</v>
      </c>
      <c r="S176" s="345">
        <v>193.2</v>
      </c>
      <c r="T176" s="345">
        <v>1817.8</v>
      </c>
      <c r="U176" s="345">
        <v>0</v>
      </c>
      <c r="V176" s="345">
        <v>165.9</v>
      </c>
      <c r="W176" s="345">
        <v>1763.9</v>
      </c>
      <c r="X176" s="345">
        <v>0</v>
      </c>
      <c r="Y176" s="345">
        <v>189.7</v>
      </c>
      <c r="Z176" s="345">
        <v>1834</v>
      </c>
      <c r="AA176">
        <f t="shared" si="2"/>
        <v>0</v>
      </c>
    </row>
    <row r="177" spans="1:27" ht="28.8" x14ac:dyDescent="0.3">
      <c r="A177" s="345" t="s">
        <v>1852</v>
      </c>
      <c r="B177" s="805"/>
      <c r="C177" s="802"/>
      <c r="D177" s="802"/>
      <c r="E177" s="803"/>
      <c r="F177" s="805">
        <v>196.5</v>
      </c>
      <c r="G177" s="803"/>
      <c r="H177" s="345">
        <v>2045.7</v>
      </c>
      <c r="I177" s="345">
        <v>2.5</v>
      </c>
      <c r="J177" s="345">
        <v>203</v>
      </c>
      <c r="K177" s="345">
        <v>1975.6</v>
      </c>
      <c r="L177" s="346"/>
      <c r="M177" s="346"/>
      <c r="N177" s="346"/>
      <c r="O177" s="345"/>
      <c r="P177" s="345"/>
      <c r="Q177" s="345"/>
      <c r="R177" s="345">
        <v>0</v>
      </c>
      <c r="S177" s="345">
        <v>193.2</v>
      </c>
      <c r="T177" s="345">
        <v>1817.8</v>
      </c>
      <c r="U177" s="345">
        <v>3</v>
      </c>
      <c r="V177" s="345">
        <v>168.9</v>
      </c>
      <c r="W177" s="345">
        <v>1766.9</v>
      </c>
      <c r="X177" s="345">
        <v>1</v>
      </c>
      <c r="Y177" s="345">
        <v>190.7</v>
      </c>
      <c r="Z177" s="345">
        <v>1835</v>
      </c>
      <c r="AA177">
        <f t="shared" si="2"/>
        <v>2.5</v>
      </c>
    </row>
    <row r="178" spans="1:27" ht="28.8" x14ac:dyDescent="0.3">
      <c r="A178" s="345" t="s">
        <v>1853</v>
      </c>
      <c r="B178" s="805"/>
      <c r="C178" s="802"/>
      <c r="D178" s="802"/>
      <c r="E178" s="803"/>
      <c r="F178" s="805">
        <v>198.5</v>
      </c>
      <c r="G178" s="803"/>
      <c r="H178" s="345">
        <v>2047.7</v>
      </c>
      <c r="I178" s="345">
        <v>1.5</v>
      </c>
      <c r="J178" s="345">
        <v>204.5</v>
      </c>
      <c r="K178" s="345">
        <v>1977.1</v>
      </c>
      <c r="L178" s="346"/>
      <c r="M178" s="346"/>
      <c r="N178" s="346"/>
      <c r="O178" s="345"/>
      <c r="P178" s="345"/>
      <c r="Q178" s="345"/>
      <c r="R178" s="345">
        <v>2.5</v>
      </c>
      <c r="S178" s="345">
        <v>195.7</v>
      </c>
      <c r="T178" s="345">
        <v>1820.3</v>
      </c>
      <c r="U178" s="345">
        <v>2.5</v>
      </c>
      <c r="V178" s="345">
        <v>171.4</v>
      </c>
      <c r="W178" s="345">
        <v>1769.4</v>
      </c>
      <c r="X178" s="345">
        <v>2</v>
      </c>
      <c r="Y178" s="345">
        <v>192.7</v>
      </c>
      <c r="Z178" s="345">
        <v>1837</v>
      </c>
      <c r="AA178">
        <f t="shared" si="2"/>
        <v>1.5</v>
      </c>
    </row>
    <row r="179" spans="1:27" ht="28.8" x14ac:dyDescent="0.3">
      <c r="A179" s="345" t="s">
        <v>1854</v>
      </c>
      <c r="B179" s="805"/>
      <c r="C179" s="802"/>
      <c r="D179" s="802"/>
      <c r="E179" s="803"/>
      <c r="F179" s="805">
        <v>204.5</v>
      </c>
      <c r="G179" s="803"/>
      <c r="H179" s="345">
        <v>2053.6999999999998</v>
      </c>
      <c r="I179" s="345">
        <v>3</v>
      </c>
      <c r="J179" s="345">
        <v>207.5</v>
      </c>
      <c r="K179" s="345">
        <v>1980.1</v>
      </c>
      <c r="L179" s="346"/>
      <c r="M179" s="346"/>
      <c r="N179" s="346"/>
      <c r="O179" s="345"/>
      <c r="P179" s="345"/>
      <c r="Q179" s="345"/>
      <c r="R179" s="345">
        <v>6.5</v>
      </c>
      <c r="S179" s="345">
        <v>202.2</v>
      </c>
      <c r="T179" s="345">
        <v>1826.8</v>
      </c>
      <c r="U179" s="345">
        <v>6.5</v>
      </c>
      <c r="V179" s="345">
        <v>177.9</v>
      </c>
      <c r="W179" s="345">
        <v>1775.9</v>
      </c>
      <c r="X179" s="345">
        <v>5.5</v>
      </c>
      <c r="Y179" s="345">
        <v>198.2</v>
      </c>
      <c r="Z179" s="345">
        <v>1842.5</v>
      </c>
      <c r="AA179">
        <f t="shared" si="2"/>
        <v>3</v>
      </c>
    </row>
    <row r="180" spans="1:27" ht="28.8" x14ac:dyDescent="0.3">
      <c r="A180" s="345" t="s">
        <v>1855</v>
      </c>
      <c r="B180" s="805"/>
      <c r="C180" s="802"/>
      <c r="D180" s="802"/>
      <c r="E180" s="803"/>
      <c r="F180" s="805">
        <v>207.5</v>
      </c>
      <c r="G180" s="803"/>
      <c r="H180" s="345">
        <v>2056.6999999999998</v>
      </c>
      <c r="I180" s="345">
        <v>4</v>
      </c>
      <c r="J180" s="345">
        <v>211.5</v>
      </c>
      <c r="K180" s="345">
        <v>1984.1</v>
      </c>
      <c r="L180" s="346"/>
      <c r="M180" s="346"/>
      <c r="N180" s="346"/>
      <c r="O180" s="345"/>
      <c r="P180" s="345"/>
      <c r="Q180" s="345"/>
      <c r="R180" s="345">
        <v>0</v>
      </c>
      <c r="S180" s="345">
        <v>202.2</v>
      </c>
      <c r="T180" s="345">
        <v>1826.8</v>
      </c>
      <c r="U180" s="345">
        <v>3.5</v>
      </c>
      <c r="V180" s="345">
        <v>181.4</v>
      </c>
      <c r="W180" s="345">
        <v>1779.4</v>
      </c>
      <c r="X180" s="345">
        <v>4</v>
      </c>
      <c r="Y180" s="345">
        <v>202.2</v>
      </c>
      <c r="Z180" s="345">
        <v>1846.5</v>
      </c>
      <c r="AA180">
        <f t="shared" si="2"/>
        <v>4</v>
      </c>
    </row>
    <row r="181" spans="1:27" ht="28.8" x14ac:dyDescent="0.3">
      <c r="A181" s="345" t="s">
        <v>1856</v>
      </c>
      <c r="B181" s="805"/>
      <c r="C181" s="802"/>
      <c r="D181" s="802"/>
      <c r="E181" s="803"/>
      <c r="F181" s="805">
        <v>220</v>
      </c>
      <c r="G181" s="803"/>
      <c r="H181" s="345">
        <v>2069.1999999999998</v>
      </c>
      <c r="I181" s="345">
        <v>14</v>
      </c>
      <c r="J181" s="345">
        <v>225.5</v>
      </c>
      <c r="K181" s="345">
        <v>1998.1</v>
      </c>
      <c r="L181" s="346"/>
      <c r="M181" s="346"/>
      <c r="N181" s="346"/>
      <c r="O181" s="345"/>
      <c r="P181" s="345"/>
      <c r="Q181" s="345"/>
      <c r="R181" s="345">
        <v>11.5</v>
      </c>
      <c r="S181" s="345">
        <v>213.7</v>
      </c>
      <c r="T181" s="345">
        <v>1838.3</v>
      </c>
      <c r="U181" s="345">
        <v>11.5</v>
      </c>
      <c r="V181" s="345">
        <v>192.9</v>
      </c>
      <c r="W181" s="345">
        <v>1790.9</v>
      </c>
      <c r="X181" s="345">
        <v>10.5</v>
      </c>
      <c r="Y181" s="345">
        <v>212.7</v>
      </c>
      <c r="Z181" s="345">
        <v>1857</v>
      </c>
      <c r="AA181">
        <f t="shared" si="2"/>
        <v>14</v>
      </c>
    </row>
    <row r="182" spans="1:27" ht="28.8" x14ac:dyDescent="0.3">
      <c r="A182" s="345" t="s">
        <v>1857</v>
      </c>
      <c r="B182" s="805"/>
      <c r="C182" s="802"/>
      <c r="D182" s="802"/>
      <c r="E182" s="803"/>
      <c r="F182" s="805">
        <v>220.1</v>
      </c>
      <c r="G182" s="803"/>
      <c r="H182" s="345">
        <v>2069.3000000000002</v>
      </c>
      <c r="I182" s="345">
        <v>0.1</v>
      </c>
      <c r="J182" s="345">
        <v>225.6</v>
      </c>
      <c r="K182" s="345">
        <v>1998.2</v>
      </c>
      <c r="L182" s="346"/>
      <c r="M182" s="346"/>
      <c r="N182" s="346"/>
      <c r="O182" s="345"/>
      <c r="P182" s="345"/>
      <c r="Q182" s="345"/>
      <c r="R182" s="345">
        <v>0.5</v>
      </c>
      <c r="S182" s="345">
        <v>214.2</v>
      </c>
      <c r="T182" s="345">
        <v>1838.8</v>
      </c>
      <c r="U182" s="345">
        <v>0.5</v>
      </c>
      <c r="V182" s="345">
        <v>193.4</v>
      </c>
      <c r="W182" s="345">
        <v>1791.4</v>
      </c>
      <c r="X182" s="345">
        <v>0.1</v>
      </c>
      <c r="Y182" s="345">
        <v>212.8</v>
      </c>
      <c r="Z182" s="345">
        <v>1857.1</v>
      </c>
      <c r="AA182">
        <f t="shared" si="2"/>
        <v>0.1</v>
      </c>
    </row>
    <row r="183" spans="1:27" s="362" customFormat="1" ht="28.8" x14ac:dyDescent="0.3">
      <c r="A183" s="359" t="s">
        <v>1858</v>
      </c>
      <c r="B183" s="811"/>
      <c r="C183" s="812"/>
      <c r="D183" s="812"/>
      <c r="E183" s="813"/>
      <c r="F183" s="811">
        <v>223.1</v>
      </c>
      <c r="G183" s="813"/>
      <c r="H183" s="359">
        <v>2072.3000000000002</v>
      </c>
      <c r="I183" s="359">
        <v>3.5</v>
      </c>
      <c r="J183" s="359">
        <v>229.1</v>
      </c>
      <c r="K183" s="359">
        <v>2001.7</v>
      </c>
      <c r="L183" s="359"/>
      <c r="M183" s="359"/>
      <c r="N183" s="359"/>
      <c r="O183" s="359"/>
      <c r="P183" s="359"/>
      <c r="Q183" s="359"/>
      <c r="R183" s="359">
        <v>2.8</v>
      </c>
      <c r="S183" s="359">
        <v>217</v>
      </c>
      <c r="T183" s="359">
        <v>1841.6</v>
      </c>
      <c r="U183" s="359">
        <v>3</v>
      </c>
      <c r="V183" s="359">
        <v>196.4</v>
      </c>
      <c r="W183" s="359">
        <v>1794.4</v>
      </c>
      <c r="X183" s="359">
        <v>3</v>
      </c>
      <c r="Y183" s="359">
        <v>215.8</v>
      </c>
      <c r="Z183" s="359">
        <v>1860.1</v>
      </c>
      <c r="AA183" s="362">
        <f t="shared" si="2"/>
        <v>3.5</v>
      </c>
    </row>
    <row r="184" spans="1:27" x14ac:dyDescent="0.3">
      <c r="A184" s="345" t="s">
        <v>1859</v>
      </c>
      <c r="B184" s="805"/>
      <c r="C184" s="802"/>
      <c r="D184" s="802"/>
      <c r="E184" s="803"/>
      <c r="F184" s="805">
        <v>4</v>
      </c>
      <c r="G184" s="803"/>
      <c r="H184" s="345">
        <v>2076.3000000000002</v>
      </c>
      <c r="I184" s="345">
        <v>2.5</v>
      </c>
      <c r="J184" s="345">
        <v>2.5</v>
      </c>
      <c r="K184" s="345">
        <v>2004.2</v>
      </c>
      <c r="L184" s="346"/>
      <c r="M184" s="346"/>
      <c r="N184" s="346"/>
      <c r="O184" s="345"/>
      <c r="P184" s="345"/>
      <c r="Q184" s="345"/>
      <c r="R184" s="345">
        <v>3.8</v>
      </c>
      <c r="S184" s="345">
        <v>3.8</v>
      </c>
      <c r="T184" s="345">
        <v>1845.4</v>
      </c>
      <c r="U184" s="345">
        <v>4</v>
      </c>
      <c r="V184" s="345">
        <v>4</v>
      </c>
      <c r="W184" s="345">
        <v>1798.4</v>
      </c>
      <c r="X184" s="345">
        <v>5</v>
      </c>
      <c r="Y184" s="345">
        <v>5</v>
      </c>
      <c r="Z184" s="345">
        <v>1865.1</v>
      </c>
      <c r="AA184">
        <f t="shared" si="2"/>
        <v>2.5</v>
      </c>
    </row>
    <row r="185" spans="1:27" x14ac:dyDescent="0.3">
      <c r="A185" s="345" t="s">
        <v>1860</v>
      </c>
      <c r="B185" s="805"/>
      <c r="C185" s="802"/>
      <c r="D185" s="802"/>
      <c r="E185" s="803"/>
      <c r="F185" s="805">
        <v>8</v>
      </c>
      <c r="G185" s="803"/>
      <c r="H185" s="345">
        <v>2080.3000000000002</v>
      </c>
      <c r="I185" s="345">
        <v>5.5</v>
      </c>
      <c r="J185" s="345">
        <v>8</v>
      </c>
      <c r="K185" s="345">
        <v>2009.7</v>
      </c>
      <c r="L185" s="346"/>
      <c r="M185" s="346"/>
      <c r="N185" s="346"/>
      <c r="O185" s="345"/>
      <c r="P185" s="345"/>
      <c r="Q185" s="345"/>
      <c r="R185" s="345"/>
      <c r="S185" s="345"/>
      <c r="T185" s="345"/>
      <c r="U185" s="345">
        <v>4</v>
      </c>
      <c r="V185" s="345">
        <v>8</v>
      </c>
      <c r="W185" s="345">
        <v>1802.4</v>
      </c>
      <c r="X185" s="345">
        <v>5</v>
      </c>
      <c r="Y185" s="345">
        <v>10</v>
      </c>
      <c r="Z185" s="345">
        <v>1870.1</v>
      </c>
      <c r="AA185">
        <f t="shared" si="2"/>
        <v>5.5</v>
      </c>
    </row>
    <row r="186" spans="1:27" x14ac:dyDescent="0.3">
      <c r="A186" s="345" t="s">
        <v>1861</v>
      </c>
      <c r="B186" s="805"/>
      <c r="C186" s="802"/>
      <c r="D186" s="802"/>
      <c r="E186" s="803"/>
      <c r="F186" s="805">
        <v>26.5</v>
      </c>
      <c r="G186" s="803"/>
      <c r="H186" s="345">
        <v>2098.8000000000002</v>
      </c>
      <c r="I186" s="345">
        <v>21.5</v>
      </c>
      <c r="J186" s="345">
        <v>29.5</v>
      </c>
      <c r="K186" s="345">
        <v>2031.2</v>
      </c>
      <c r="L186" s="346"/>
      <c r="M186" s="346"/>
      <c r="N186" s="346"/>
      <c r="O186" s="345"/>
      <c r="P186" s="345"/>
      <c r="Q186" s="345"/>
      <c r="R186" s="345">
        <v>13.4</v>
      </c>
      <c r="S186" s="345">
        <v>17.2</v>
      </c>
      <c r="T186" s="345">
        <v>1858.8</v>
      </c>
      <c r="U186" s="345">
        <v>14.5</v>
      </c>
      <c r="V186" s="345">
        <v>22.5</v>
      </c>
      <c r="W186" s="345">
        <v>1816.9</v>
      </c>
      <c r="X186" s="345">
        <v>15.5</v>
      </c>
      <c r="Y186" s="345">
        <v>25.5</v>
      </c>
      <c r="Z186" s="345">
        <v>1885.6</v>
      </c>
      <c r="AA186">
        <f t="shared" si="2"/>
        <v>21.5</v>
      </c>
    </row>
    <row r="187" spans="1:27" x14ac:dyDescent="0.3">
      <c r="A187" s="345" t="s">
        <v>1862</v>
      </c>
      <c r="B187" s="805"/>
      <c r="C187" s="802"/>
      <c r="D187" s="802"/>
      <c r="E187" s="803"/>
      <c r="F187" s="805">
        <v>29</v>
      </c>
      <c r="G187" s="803"/>
      <c r="H187" s="345">
        <v>2101.3000000000002</v>
      </c>
      <c r="I187" s="345">
        <v>1.5</v>
      </c>
      <c r="J187" s="345">
        <v>31</v>
      </c>
      <c r="K187" s="345">
        <v>2032.7</v>
      </c>
      <c r="L187" s="346"/>
      <c r="M187" s="346"/>
      <c r="N187" s="346"/>
      <c r="O187" s="345"/>
      <c r="P187" s="345"/>
      <c r="Q187" s="345"/>
      <c r="R187" s="345">
        <v>1</v>
      </c>
      <c r="S187" s="345">
        <v>18.2</v>
      </c>
      <c r="T187" s="345">
        <v>1859.8</v>
      </c>
      <c r="U187" s="345">
        <v>2</v>
      </c>
      <c r="V187" s="345">
        <v>24.5</v>
      </c>
      <c r="W187" s="345">
        <v>1818.9</v>
      </c>
      <c r="X187" s="345">
        <v>2</v>
      </c>
      <c r="Y187" s="345">
        <v>27.5</v>
      </c>
      <c r="Z187" s="345">
        <v>1887.6</v>
      </c>
      <c r="AA187">
        <f t="shared" si="2"/>
        <v>1.5</v>
      </c>
    </row>
    <row r="188" spans="1:27" x14ac:dyDescent="0.3">
      <c r="A188" s="345" t="s">
        <v>1863</v>
      </c>
      <c r="B188" s="805"/>
      <c r="C188" s="802"/>
      <c r="D188" s="802"/>
      <c r="E188" s="803"/>
      <c r="F188" s="805">
        <v>30.5</v>
      </c>
      <c r="G188" s="803"/>
      <c r="H188" s="345">
        <v>2102.8000000000002</v>
      </c>
      <c r="I188" s="345">
        <v>1</v>
      </c>
      <c r="J188" s="345">
        <v>32</v>
      </c>
      <c r="K188" s="345">
        <v>2033.7</v>
      </c>
      <c r="L188" s="346"/>
      <c r="M188" s="346"/>
      <c r="N188" s="346"/>
      <c r="O188" s="345"/>
      <c r="P188" s="345"/>
      <c r="Q188" s="345"/>
      <c r="R188" s="345">
        <v>2.2000000000000002</v>
      </c>
      <c r="S188" s="345">
        <v>20.399999999999999</v>
      </c>
      <c r="T188" s="345">
        <v>1862</v>
      </c>
      <c r="U188" s="345">
        <v>2</v>
      </c>
      <c r="V188" s="345">
        <v>26.5</v>
      </c>
      <c r="W188" s="345">
        <v>1820.9</v>
      </c>
      <c r="X188" s="345">
        <v>2</v>
      </c>
      <c r="Y188" s="345">
        <v>29.5</v>
      </c>
      <c r="Z188" s="345">
        <v>1889.6</v>
      </c>
      <c r="AA188">
        <f t="shared" si="2"/>
        <v>1</v>
      </c>
    </row>
    <row r="189" spans="1:27" x14ac:dyDescent="0.3">
      <c r="A189" s="345" t="s">
        <v>1864</v>
      </c>
      <c r="B189" s="805"/>
      <c r="C189" s="802"/>
      <c r="D189" s="802"/>
      <c r="E189" s="803"/>
      <c r="F189" s="805">
        <v>33</v>
      </c>
      <c r="G189" s="803"/>
      <c r="H189" s="345">
        <v>2105.3000000000002</v>
      </c>
      <c r="I189" s="345">
        <v>3.5</v>
      </c>
      <c r="J189" s="345">
        <v>35.5</v>
      </c>
      <c r="K189" s="345">
        <v>2037.2</v>
      </c>
      <c r="L189" s="346"/>
      <c r="M189" s="346"/>
      <c r="N189" s="346"/>
      <c r="O189" s="345"/>
      <c r="P189" s="345"/>
      <c r="Q189" s="345"/>
      <c r="R189" s="345">
        <v>1.8</v>
      </c>
      <c r="S189" s="345">
        <v>22.2</v>
      </c>
      <c r="T189" s="345">
        <v>1863.8</v>
      </c>
      <c r="U189" s="345">
        <v>1</v>
      </c>
      <c r="V189" s="345">
        <v>27.5</v>
      </c>
      <c r="W189" s="345">
        <v>1821.9</v>
      </c>
      <c r="X189" s="345">
        <v>2.5</v>
      </c>
      <c r="Y189" s="345">
        <v>32</v>
      </c>
      <c r="Z189" s="345">
        <v>1892.1</v>
      </c>
      <c r="AA189">
        <f t="shared" si="2"/>
        <v>3.5</v>
      </c>
    </row>
    <row r="190" spans="1:27" x14ac:dyDescent="0.3">
      <c r="A190" s="345" t="s">
        <v>1865</v>
      </c>
      <c r="B190" s="805"/>
      <c r="C190" s="802"/>
      <c r="D190" s="802"/>
      <c r="E190" s="803"/>
      <c r="F190" s="805">
        <v>33</v>
      </c>
      <c r="G190" s="803"/>
      <c r="H190" s="345">
        <v>2105.3000000000002</v>
      </c>
      <c r="I190" s="345">
        <v>0</v>
      </c>
      <c r="J190" s="345">
        <v>35.5</v>
      </c>
      <c r="K190" s="345">
        <v>2037.2</v>
      </c>
      <c r="L190" s="346"/>
      <c r="M190" s="346"/>
      <c r="N190" s="346"/>
      <c r="O190" s="345"/>
      <c r="P190" s="345"/>
      <c r="Q190" s="345"/>
      <c r="R190" s="345">
        <v>0</v>
      </c>
      <c r="S190" s="345">
        <v>22.2</v>
      </c>
      <c r="T190" s="345">
        <v>1863.8</v>
      </c>
      <c r="U190" s="345">
        <v>0</v>
      </c>
      <c r="V190" s="345">
        <v>27.5</v>
      </c>
      <c r="W190" s="345">
        <v>1821.9</v>
      </c>
      <c r="X190" s="345">
        <v>0</v>
      </c>
      <c r="Y190" s="345">
        <v>32</v>
      </c>
      <c r="Z190" s="345">
        <v>1892.1</v>
      </c>
      <c r="AA190">
        <f t="shared" si="2"/>
        <v>0</v>
      </c>
    </row>
    <row r="191" spans="1:27" x14ac:dyDescent="0.3">
      <c r="A191" s="345" t="s">
        <v>1866</v>
      </c>
      <c r="B191" s="805"/>
      <c r="C191" s="802"/>
      <c r="D191" s="802"/>
      <c r="E191" s="803"/>
      <c r="F191" s="805">
        <v>100</v>
      </c>
      <c r="G191" s="803"/>
      <c r="H191" s="345">
        <v>2172.3000000000002</v>
      </c>
      <c r="I191" s="345">
        <v>75</v>
      </c>
      <c r="J191" s="345">
        <v>110.5</v>
      </c>
      <c r="K191" s="345">
        <v>2112.1999999999998</v>
      </c>
      <c r="L191" s="346"/>
      <c r="M191" s="346"/>
      <c r="N191" s="346"/>
      <c r="O191" s="345"/>
      <c r="P191" s="345"/>
      <c r="Q191" s="345"/>
      <c r="R191" s="345">
        <v>46.8</v>
      </c>
      <c r="S191" s="345">
        <v>69</v>
      </c>
      <c r="T191" s="345">
        <v>1910.6</v>
      </c>
      <c r="U191" s="345">
        <v>55</v>
      </c>
      <c r="V191" s="345">
        <v>82.5</v>
      </c>
      <c r="W191" s="345">
        <v>1876.9</v>
      </c>
      <c r="X191" s="345">
        <v>38</v>
      </c>
      <c r="Y191" s="345">
        <v>70</v>
      </c>
      <c r="Z191" s="345">
        <v>1930.1</v>
      </c>
      <c r="AA191">
        <f t="shared" si="2"/>
        <v>75</v>
      </c>
    </row>
    <row r="192" spans="1:27" x14ac:dyDescent="0.3">
      <c r="A192" s="345" t="s">
        <v>1867</v>
      </c>
      <c r="B192" s="805"/>
      <c r="C192" s="802"/>
      <c r="D192" s="802"/>
      <c r="E192" s="803"/>
      <c r="F192" s="805">
        <v>101.5</v>
      </c>
      <c r="G192" s="803"/>
      <c r="H192" s="345">
        <v>2173.8000000000002</v>
      </c>
      <c r="I192" s="345">
        <v>2.5</v>
      </c>
      <c r="J192" s="345">
        <v>113</v>
      </c>
      <c r="K192" s="345">
        <v>2114.6999999999998</v>
      </c>
      <c r="L192" s="346"/>
      <c r="M192" s="346"/>
      <c r="N192" s="346"/>
      <c r="O192" s="345"/>
      <c r="P192" s="345"/>
      <c r="Q192" s="345"/>
      <c r="R192" s="345">
        <v>2.5</v>
      </c>
      <c r="S192" s="345">
        <v>71.5</v>
      </c>
      <c r="T192" s="345">
        <v>1913.1</v>
      </c>
      <c r="U192" s="345">
        <v>3</v>
      </c>
      <c r="V192" s="345">
        <v>85.5</v>
      </c>
      <c r="W192" s="345">
        <v>1879.9</v>
      </c>
      <c r="X192" s="345">
        <v>3</v>
      </c>
      <c r="Y192" s="345">
        <v>73</v>
      </c>
      <c r="Z192" s="345">
        <v>1933.1</v>
      </c>
      <c r="AA192">
        <f t="shared" si="2"/>
        <v>2.5</v>
      </c>
    </row>
    <row r="193" spans="1:27" x14ac:dyDescent="0.3">
      <c r="A193" s="345" t="s">
        <v>1868</v>
      </c>
      <c r="B193" s="805"/>
      <c r="C193" s="802"/>
      <c r="D193" s="802"/>
      <c r="E193" s="803"/>
      <c r="F193" s="805">
        <v>102</v>
      </c>
      <c r="G193" s="803"/>
      <c r="H193" s="345">
        <v>2174.3000000000002</v>
      </c>
      <c r="I193" s="345">
        <v>3</v>
      </c>
      <c r="J193" s="345">
        <v>116</v>
      </c>
      <c r="K193" s="345">
        <v>2117.6999999999998</v>
      </c>
      <c r="L193" s="346"/>
      <c r="M193" s="346"/>
      <c r="N193" s="346"/>
      <c r="O193" s="345"/>
      <c r="P193" s="345"/>
      <c r="Q193" s="345"/>
      <c r="R193" s="345">
        <v>1.8</v>
      </c>
      <c r="S193" s="345">
        <v>73.3</v>
      </c>
      <c r="T193" s="345">
        <v>1914.9</v>
      </c>
      <c r="U193" s="345">
        <v>2</v>
      </c>
      <c r="V193" s="345">
        <v>87.5</v>
      </c>
      <c r="W193" s="345">
        <v>1881.9</v>
      </c>
      <c r="X193" s="345"/>
      <c r="Y193" s="345"/>
      <c r="Z193" s="345"/>
      <c r="AA193">
        <f t="shared" si="2"/>
        <v>3</v>
      </c>
    </row>
    <row r="194" spans="1:27" x14ac:dyDescent="0.3">
      <c r="A194" s="345" t="s">
        <v>1869</v>
      </c>
      <c r="B194" s="805"/>
      <c r="C194" s="802"/>
      <c r="D194" s="802"/>
      <c r="E194" s="803"/>
      <c r="F194" s="805">
        <v>103.5</v>
      </c>
      <c r="G194" s="803"/>
      <c r="H194" s="345">
        <v>2175.8000000000002</v>
      </c>
      <c r="I194" s="345">
        <v>2</v>
      </c>
      <c r="J194" s="345">
        <v>118</v>
      </c>
      <c r="K194" s="345">
        <v>2119.6999999999998</v>
      </c>
      <c r="L194" s="346"/>
      <c r="M194" s="346"/>
      <c r="N194" s="346"/>
      <c r="O194" s="345"/>
      <c r="P194" s="345"/>
      <c r="Q194" s="345"/>
      <c r="R194" s="345">
        <v>0.6</v>
      </c>
      <c r="S194" s="345">
        <v>73.900000000000006</v>
      </c>
      <c r="T194" s="345">
        <v>1915.5</v>
      </c>
      <c r="U194" s="345">
        <v>1</v>
      </c>
      <c r="V194" s="345">
        <v>88.5</v>
      </c>
      <c r="W194" s="345">
        <v>1882.9</v>
      </c>
      <c r="X194" s="345">
        <v>1</v>
      </c>
      <c r="Y194" s="345">
        <v>74</v>
      </c>
      <c r="Z194" s="345">
        <v>1934.1</v>
      </c>
      <c r="AA194">
        <f t="shared" si="2"/>
        <v>2</v>
      </c>
    </row>
    <row r="195" spans="1:27" x14ac:dyDescent="0.3">
      <c r="A195" s="345" t="s">
        <v>1870</v>
      </c>
      <c r="B195" s="805"/>
      <c r="C195" s="802"/>
      <c r="D195" s="802"/>
      <c r="E195" s="803"/>
      <c r="F195" s="805">
        <v>109</v>
      </c>
      <c r="G195" s="803"/>
      <c r="H195" s="345">
        <v>2181.3000000000002</v>
      </c>
      <c r="I195" s="345">
        <v>7</v>
      </c>
      <c r="J195" s="345">
        <v>125</v>
      </c>
      <c r="K195" s="345">
        <v>2126.6999999999998</v>
      </c>
      <c r="L195" s="346"/>
      <c r="M195" s="346"/>
      <c r="N195" s="346"/>
      <c r="O195" s="345"/>
      <c r="P195" s="345"/>
      <c r="Q195" s="345"/>
      <c r="R195" s="345">
        <v>5.2</v>
      </c>
      <c r="S195" s="345">
        <v>79.099999999999994</v>
      </c>
      <c r="T195" s="345">
        <v>1920.7</v>
      </c>
      <c r="U195" s="345">
        <v>5.5</v>
      </c>
      <c r="V195" s="345">
        <v>94</v>
      </c>
      <c r="W195" s="345">
        <v>1888.4</v>
      </c>
      <c r="X195" s="345">
        <v>5</v>
      </c>
      <c r="Y195" s="345">
        <v>79</v>
      </c>
      <c r="Z195" s="345">
        <v>1939.1</v>
      </c>
      <c r="AA195">
        <f t="shared" si="2"/>
        <v>7</v>
      </c>
    </row>
    <row r="196" spans="1:27" x14ac:dyDescent="0.3">
      <c r="A196" s="345" t="s">
        <v>1871</v>
      </c>
      <c r="B196" s="805"/>
      <c r="C196" s="802"/>
      <c r="D196" s="802"/>
      <c r="E196" s="803"/>
      <c r="F196" s="805">
        <v>109.5</v>
      </c>
      <c r="G196" s="803"/>
      <c r="H196" s="345">
        <v>2181.8000000000002</v>
      </c>
      <c r="I196" s="345">
        <v>0.5</v>
      </c>
      <c r="J196" s="345">
        <v>125.5</v>
      </c>
      <c r="K196" s="345">
        <v>2127.1999999999998</v>
      </c>
      <c r="L196" s="346"/>
      <c r="M196" s="346"/>
      <c r="N196" s="346"/>
      <c r="O196" s="345"/>
      <c r="P196" s="345"/>
      <c r="Q196" s="345"/>
      <c r="R196" s="345">
        <v>0</v>
      </c>
      <c r="S196" s="345">
        <v>79.099999999999994</v>
      </c>
      <c r="T196" s="345">
        <v>1920.7</v>
      </c>
      <c r="U196" s="345">
        <v>0.5</v>
      </c>
      <c r="V196" s="345">
        <v>94.5</v>
      </c>
      <c r="W196" s="345">
        <v>1888.9</v>
      </c>
      <c r="X196" s="345">
        <v>0.5</v>
      </c>
      <c r="Y196" s="345">
        <v>79.5</v>
      </c>
      <c r="Z196" s="345">
        <v>1939.6</v>
      </c>
      <c r="AA196">
        <f t="shared" ref="AA196:AA260" si="3">MAX(B196+I196+L196+O196)</f>
        <v>0.5</v>
      </c>
    </row>
    <row r="197" spans="1:27" x14ac:dyDescent="0.3">
      <c r="A197" s="345" t="s">
        <v>1872</v>
      </c>
      <c r="B197" s="805"/>
      <c r="C197" s="802"/>
      <c r="D197" s="802"/>
      <c r="E197" s="803"/>
      <c r="F197" s="805">
        <v>109.5</v>
      </c>
      <c r="G197" s="803"/>
      <c r="H197" s="345">
        <v>2181.8000000000002</v>
      </c>
      <c r="I197" s="345">
        <v>0</v>
      </c>
      <c r="J197" s="345">
        <v>125.5</v>
      </c>
      <c r="K197" s="345">
        <v>2127.1999999999998</v>
      </c>
      <c r="L197" s="346"/>
      <c r="M197" s="346"/>
      <c r="N197" s="346"/>
      <c r="O197" s="345"/>
      <c r="P197" s="345"/>
      <c r="Q197" s="345"/>
      <c r="R197" s="345">
        <v>0</v>
      </c>
      <c r="S197" s="345">
        <v>79.099999999999994</v>
      </c>
      <c r="T197" s="345">
        <v>1920.7</v>
      </c>
      <c r="U197" s="345">
        <v>0</v>
      </c>
      <c r="V197" s="345">
        <v>94.5</v>
      </c>
      <c r="W197" s="345">
        <v>1888.9</v>
      </c>
      <c r="X197" s="345">
        <v>0</v>
      </c>
      <c r="Y197" s="345">
        <v>79.5</v>
      </c>
      <c r="Z197" s="345">
        <v>1939.6</v>
      </c>
      <c r="AA197">
        <f t="shared" si="3"/>
        <v>0</v>
      </c>
    </row>
    <row r="198" spans="1:27" x14ac:dyDescent="0.3">
      <c r="A198" s="345" t="s">
        <v>1873</v>
      </c>
      <c r="B198" s="805"/>
      <c r="C198" s="802"/>
      <c r="D198" s="802"/>
      <c r="E198" s="803"/>
      <c r="F198" s="805">
        <v>109.5</v>
      </c>
      <c r="G198" s="803"/>
      <c r="H198" s="345">
        <v>2181.8000000000002</v>
      </c>
      <c r="I198" s="345">
        <v>0</v>
      </c>
      <c r="J198" s="345">
        <v>125.5</v>
      </c>
      <c r="K198" s="345">
        <v>2127.1999999999998</v>
      </c>
      <c r="L198" s="346"/>
      <c r="M198" s="346"/>
      <c r="N198" s="346"/>
      <c r="O198" s="345"/>
      <c r="P198" s="345"/>
      <c r="Q198" s="345"/>
      <c r="R198" s="345">
        <v>0</v>
      </c>
      <c r="S198" s="345">
        <v>79.099999999999994</v>
      </c>
      <c r="T198" s="345">
        <v>1920.7</v>
      </c>
      <c r="U198" s="345">
        <v>0</v>
      </c>
      <c r="V198" s="345">
        <v>94.5</v>
      </c>
      <c r="W198" s="345">
        <v>1888.9</v>
      </c>
      <c r="X198" s="345">
        <v>0</v>
      </c>
      <c r="Y198" s="345">
        <v>79.5</v>
      </c>
      <c r="Z198" s="345">
        <v>1939.6</v>
      </c>
      <c r="AA198">
        <f t="shared" si="3"/>
        <v>0</v>
      </c>
    </row>
    <row r="199" spans="1:27" x14ac:dyDescent="0.3">
      <c r="A199" s="345" t="s">
        <v>1874</v>
      </c>
      <c r="B199" s="805"/>
      <c r="C199" s="802"/>
      <c r="D199" s="802"/>
      <c r="E199" s="803"/>
      <c r="F199" s="805">
        <v>109.5</v>
      </c>
      <c r="G199" s="803"/>
      <c r="H199" s="345">
        <v>2181.8000000000002</v>
      </c>
      <c r="I199" s="345">
        <v>0</v>
      </c>
      <c r="J199" s="345">
        <v>125.5</v>
      </c>
      <c r="K199" s="345">
        <v>2127.1999999999998</v>
      </c>
      <c r="L199" s="346"/>
      <c r="M199" s="346"/>
      <c r="N199" s="346"/>
      <c r="O199" s="345"/>
      <c r="P199" s="345"/>
      <c r="Q199" s="345"/>
      <c r="R199" s="345">
        <v>0</v>
      </c>
      <c r="S199" s="345">
        <v>79.099999999999994</v>
      </c>
      <c r="T199" s="345">
        <v>1920.7</v>
      </c>
      <c r="U199" s="345">
        <v>0</v>
      </c>
      <c r="V199" s="345">
        <v>94.5</v>
      </c>
      <c r="W199" s="345">
        <v>1888.9</v>
      </c>
      <c r="X199" s="345">
        <v>0</v>
      </c>
      <c r="Y199" s="345">
        <v>79.5</v>
      </c>
      <c r="Z199" s="345">
        <v>1939.6</v>
      </c>
      <c r="AA199">
        <f t="shared" si="3"/>
        <v>0</v>
      </c>
    </row>
    <row r="200" spans="1:27" x14ac:dyDescent="0.3">
      <c r="A200" s="345" t="s">
        <v>1875</v>
      </c>
      <c r="B200" s="805"/>
      <c r="C200" s="802"/>
      <c r="D200" s="802"/>
      <c r="E200" s="803"/>
      <c r="F200" s="805">
        <v>109.5</v>
      </c>
      <c r="G200" s="803"/>
      <c r="H200" s="345">
        <v>2181.8000000000002</v>
      </c>
      <c r="I200" s="345">
        <v>0</v>
      </c>
      <c r="J200" s="345">
        <v>125.5</v>
      </c>
      <c r="K200" s="345">
        <v>2127.1999999999998</v>
      </c>
      <c r="L200" s="346"/>
      <c r="M200" s="346"/>
      <c r="N200" s="346"/>
      <c r="O200" s="345"/>
      <c r="P200" s="345"/>
      <c r="Q200" s="345"/>
      <c r="R200" s="345">
        <v>0</v>
      </c>
      <c r="S200" s="345">
        <v>79.099999999999994</v>
      </c>
      <c r="T200" s="345">
        <v>1920.7</v>
      </c>
      <c r="U200" s="345">
        <v>0</v>
      </c>
      <c r="V200" s="345">
        <v>94.5</v>
      </c>
      <c r="W200" s="345">
        <v>1888.9</v>
      </c>
      <c r="X200" s="345">
        <v>0</v>
      </c>
      <c r="Y200" s="345">
        <v>79.5</v>
      </c>
      <c r="Z200" s="345">
        <v>1939.6</v>
      </c>
      <c r="AA200">
        <f t="shared" si="3"/>
        <v>0</v>
      </c>
    </row>
    <row r="201" spans="1:27" x14ac:dyDescent="0.3">
      <c r="A201" s="345" t="s">
        <v>1876</v>
      </c>
      <c r="B201" s="805"/>
      <c r="C201" s="802"/>
      <c r="D201" s="802"/>
      <c r="E201" s="803"/>
      <c r="F201" s="805">
        <v>109.5</v>
      </c>
      <c r="G201" s="803"/>
      <c r="H201" s="345">
        <v>2181.8000000000002</v>
      </c>
      <c r="I201" s="345">
        <v>0</v>
      </c>
      <c r="J201" s="345">
        <v>125.5</v>
      </c>
      <c r="K201" s="345">
        <v>2127.1999999999998</v>
      </c>
      <c r="L201" s="346"/>
      <c r="M201" s="346"/>
      <c r="N201" s="346"/>
      <c r="O201" s="345"/>
      <c r="P201" s="345"/>
      <c r="Q201" s="345"/>
      <c r="R201" s="345">
        <v>0</v>
      </c>
      <c r="S201" s="345">
        <v>79.099999999999994</v>
      </c>
      <c r="T201" s="345">
        <v>1920.7</v>
      </c>
      <c r="U201" s="345">
        <v>0</v>
      </c>
      <c r="V201" s="345">
        <v>94.5</v>
      </c>
      <c r="W201" s="345">
        <v>1888.9</v>
      </c>
      <c r="X201" s="345">
        <v>0</v>
      </c>
      <c r="Y201" s="345">
        <v>79.5</v>
      </c>
      <c r="Z201" s="345">
        <v>1939.6</v>
      </c>
      <c r="AA201">
        <f t="shared" si="3"/>
        <v>0</v>
      </c>
    </row>
    <row r="202" spans="1:27" x14ac:dyDescent="0.3">
      <c r="A202" s="369">
        <v>43665</v>
      </c>
      <c r="B202" s="805"/>
      <c r="C202" s="802"/>
      <c r="D202" s="802"/>
      <c r="E202" s="803"/>
      <c r="F202" s="805">
        <v>109.5</v>
      </c>
      <c r="G202" s="803"/>
      <c r="H202" s="345">
        <v>2181.8000000000002</v>
      </c>
      <c r="I202" s="345">
        <v>0</v>
      </c>
      <c r="J202" s="345">
        <v>125.5</v>
      </c>
      <c r="K202" s="345">
        <v>2127.1999999999998</v>
      </c>
      <c r="L202" s="346"/>
      <c r="M202" s="346"/>
      <c r="N202" s="346"/>
      <c r="O202" s="345"/>
      <c r="P202" s="345"/>
      <c r="Q202" s="345"/>
      <c r="R202" s="345"/>
      <c r="S202" s="345"/>
      <c r="T202" s="345"/>
      <c r="U202" s="345"/>
      <c r="V202" s="345"/>
      <c r="W202" s="345"/>
      <c r="X202" s="345"/>
      <c r="Y202" s="345"/>
      <c r="Z202" s="345"/>
    </row>
    <row r="203" spans="1:27" x14ac:dyDescent="0.3">
      <c r="A203" s="345" t="s">
        <v>1877</v>
      </c>
      <c r="B203" s="805"/>
      <c r="C203" s="802"/>
      <c r="D203" s="802"/>
      <c r="E203" s="803"/>
      <c r="F203" s="805">
        <v>111</v>
      </c>
      <c r="G203" s="803"/>
      <c r="H203" s="345">
        <v>2183.3000000000002</v>
      </c>
      <c r="I203" s="345">
        <v>2.5</v>
      </c>
      <c r="J203" s="345">
        <v>128</v>
      </c>
      <c r="K203" s="345">
        <v>2129.6999999999998</v>
      </c>
      <c r="L203" s="346"/>
      <c r="M203" s="346"/>
      <c r="N203" s="346"/>
      <c r="O203" s="345"/>
      <c r="P203" s="345"/>
      <c r="Q203" s="345"/>
      <c r="R203" s="345">
        <v>1.8</v>
      </c>
      <c r="S203" s="345">
        <v>80.900000000000006</v>
      </c>
      <c r="T203" s="345">
        <v>1922.5</v>
      </c>
      <c r="U203" s="345">
        <v>2.5</v>
      </c>
      <c r="V203" s="345">
        <v>97</v>
      </c>
      <c r="W203" s="345">
        <v>1891.4</v>
      </c>
      <c r="X203" s="345">
        <v>2</v>
      </c>
      <c r="Y203" s="345">
        <v>81.5</v>
      </c>
      <c r="Z203" s="345">
        <v>1941.6</v>
      </c>
      <c r="AA203">
        <f t="shared" si="3"/>
        <v>2.5</v>
      </c>
    </row>
    <row r="204" spans="1:27" x14ac:dyDescent="0.3">
      <c r="A204" s="345" t="s">
        <v>1878</v>
      </c>
      <c r="B204" s="805"/>
      <c r="C204" s="802"/>
      <c r="D204" s="802"/>
      <c r="E204" s="803"/>
      <c r="F204" s="805">
        <v>111</v>
      </c>
      <c r="G204" s="803"/>
      <c r="H204" s="345">
        <v>2183.3000000000002</v>
      </c>
      <c r="I204" s="345">
        <v>0</v>
      </c>
      <c r="J204" s="345">
        <v>128</v>
      </c>
      <c r="K204" s="345">
        <v>2129.6999999999998</v>
      </c>
      <c r="L204" s="346"/>
      <c r="M204" s="346"/>
      <c r="N204" s="346"/>
      <c r="O204" s="345"/>
      <c r="P204" s="345"/>
      <c r="Q204" s="345"/>
      <c r="R204" s="345">
        <v>0.4</v>
      </c>
      <c r="S204" s="345">
        <v>81.3</v>
      </c>
      <c r="T204" s="345">
        <v>1922.9</v>
      </c>
      <c r="U204" s="345">
        <v>0.1</v>
      </c>
      <c r="V204" s="345">
        <v>97.1</v>
      </c>
      <c r="W204" s="345">
        <v>1891.5</v>
      </c>
      <c r="X204" s="345">
        <v>0</v>
      </c>
      <c r="Y204" s="345">
        <v>81.5</v>
      </c>
      <c r="Z204" s="345">
        <v>1941.6</v>
      </c>
      <c r="AA204">
        <f t="shared" si="3"/>
        <v>0</v>
      </c>
    </row>
    <row r="205" spans="1:27" x14ac:dyDescent="0.3">
      <c r="A205" s="345" t="s">
        <v>1879</v>
      </c>
      <c r="B205" s="805"/>
      <c r="C205" s="802"/>
      <c r="D205" s="802"/>
      <c r="E205" s="803"/>
      <c r="F205" s="805">
        <v>112</v>
      </c>
      <c r="G205" s="803"/>
      <c r="H205" s="345">
        <v>2184.3000000000002</v>
      </c>
      <c r="I205" s="345">
        <v>1</v>
      </c>
      <c r="J205" s="345">
        <v>129</v>
      </c>
      <c r="K205" s="345">
        <v>2130.6999999999998</v>
      </c>
      <c r="L205" s="346"/>
      <c r="M205" s="346"/>
      <c r="N205" s="346"/>
      <c r="O205" s="345"/>
      <c r="P205" s="345"/>
      <c r="Q205" s="345"/>
      <c r="R205" s="345">
        <v>1</v>
      </c>
      <c r="S205" s="345">
        <v>82.3</v>
      </c>
      <c r="T205" s="345">
        <v>1923.9</v>
      </c>
      <c r="U205" s="345">
        <v>1</v>
      </c>
      <c r="V205" s="345">
        <v>98.1</v>
      </c>
      <c r="W205" s="345">
        <v>1892.5</v>
      </c>
      <c r="X205" s="345">
        <v>1</v>
      </c>
      <c r="Y205" s="345">
        <v>82.5</v>
      </c>
      <c r="Z205" s="345">
        <v>1942.6</v>
      </c>
      <c r="AA205">
        <f t="shared" si="3"/>
        <v>1</v>
      </c>
    </row>
    <row r="206" spans="1:27" x14ac:dyDescent="0.3">
      <c r="A206" s="345" t="s">
        <v>1880</v>
      </c>
      <c r="B206" s="805"/>
      <c r="C206" s="802"/>
      <c r="D206" s="802"/>
      <c r="E206" s="803"/>
      <c r="F206" s="805">
        <v>113.5</v>
      </c>
      <c r="G206" s="803"/>
      <c r="H206" s="345">
        <v>2185.8000000000002</v>
      </c>
      <c r="I206" s="345">
        <v>3</v>
      </c>
      <c r="J206" s="345">
        <v>132</v>
      </c>
      <c r="K206" s="345">
        <v>2133.6999999999998</v>
      </c>
      <c r="L206" s="346"/>
      <c r="M206" s="346"/>
      <c r="N206" s="346"/>
      <c r="O206" s="345"/>
      <c r="P206" s="345"/>
      <c r="Q206" s="345"/>
      <c r="R206" s="345">
        <v>2.6</v>
      </c>
      <c r="S206" s="345">
        <v>84.9</v>
      </c>
      <c r="T206" s="345">
        <v>1926.5</v>
      </c>
      <c r="U206" s="345">
        <v>2.5</v>
      </c>
      <c r="V206" s="345">
        <v>100.6</v>
      </c>
      <c r="W206" s="345">
        <v>1895</v>
      </c>
      <c r="X206" s="345">
        <v>2</v>
      </c>
      <c r="Y206" s="345">
        <v>84.5</v>
      </c>
      <c r="Z206" s="345">
        <v>1944.6</v>
      </c>
      <c r="AA206">
        <f t="shared" si="3"/>
        <v>3</v>
      </c>
    </row>
    <row r="207" spans="1:27" x14ac:dyDescent="0.3">
      <c r="A207" s="345" t="s">
        <v>1881</v>
      </c>
      <c r="B207" s="805"/>
      <c r="C207" s="802"/>
      <c r="D207" s="802"/>
      <c r="E207" s="803"/>
      <c r="F207" s="805">
        <v>114.5</v>
      </c>
      <c r="G207" s="803"/>
      <c r="H207" s="345">
        <v>2186.8000000000002</v>
      </c>
      <c r="I207" s="345">
        <v>1</v>
      </c>
      <c r="J207" s="345">
        <v>133</v>
      </c>
      <c r="K207" s="345">
        <v>2134.6999999999998</v>
      </c>
      <c r="L207" s="346"/>
      <c r="M207" s="346"/>
      <c r="N207" s="346"/>
      <c r="O207" s="345"/>
      <c r="P207" s="345"/>
      <c r="Q207" s="345"/>
      <c r="R207" s="345">
        <v>0.4</v>
      </c>
      <c r="S207" s="345">
        <v>85.3</v>
      </c>
      <c r="T207" s="345">
        <v>1926.9</v>
      </c>
      <c r="U207" s="345">
        <v>1</v>
      </c>
      <c r="V207" s="345">
        <v>101.6</v>
      </c>
      <c r="W207" s="345">
        <v>1896</v>
      </c>
      <c r="X207" s="345">
        <v>1</v>
      </c>
      <c r="Y207" s="345">
        <v>85.5</v>
      </c>
      <c r="Z207" s="345">
        <v>1945.6</v>
      </c>
      <c r="AA207">
        <f t="shared" si="3"/>
        <v>1</v>
      </c>
    </row>
    <row r="208" spans="1:27" x14ac:dyDescent="0.3">
      <c r="A208" s="345" t="s">
        <v>1882</v>
      </c>
      <c r="B208" s="805"/>
      <c r="C208" s="802"/>
      <c r="D208" s="802"/>
      <c r="E208" s="803"/>
      <c r="F208" s="805">
        <v>114.5</v>
      </c>
      <c r="G208" s="803"/>
      <c r="H208" s="345">
        <v>2186.8000000000002</v>
      </c>
      <c r="I208" s="345">
        <v>0</v>
      </c>
      <c r="J208" s="345">
        <v>133</v>
      </c>
      <c r="K208" s="345">
        <v>2134.6999999999998</v>
      </c>
      <c r="L208" s="346"/>
      <c r="M208" s="346"/>
      <c r="N208" s="346"/>
      <c r="O208" s="345"/>
      <c r="P208" s="345"/>
      <c r="Q208" s="345"/>
      <c r="R208" s="345">
        <v>0</v>
      </c>
      <c r="S208" s="345">
        <v>85.3</v>
      </c>
      <c r="T208" s="345">
        <v>1926.9</v>
      </c>
      <c r="U208" s="345">
        <v>0</v>
      </c>
      <c r="V208" s="345">
        <v>101.6</v>
      </c>
      <c r="W208" s="345">
        <v>1896</v>
      </c>
      <c r="X208" s="345">
        <v>0</v>
      </c>
      <c r="Y208" s="345">
        <v>85.5</v>
      </c>
      <c r="Z208" s="345">
        <v>1945.6</v>
      </c>
      <c r="AA208">
        <f t="shared" si="3"/>
        <v>0</v>
      </c>
    </row>
    <row r="209" spans="1:27" x14ac:dyDescent="0.3">
      <c r="A209" s="345" t="s">
        <v>1883</v>
      </c>
      <c r="B209" s="805"/>
      <c r="C209" s="802"/>
      <c r="D209" s="802"/>
      <c r="E209" s="803"/>
      <c r="F209" s="805">
        <v>114.5</v>
      </c>
      <c r="G209" s="803"/>
      <c r="H209" s="345">
        <v>2186.8000000000002</v>
      </c>
      <c r="I209" s="345">
        <v>0</v>
      </c>
      <c r="J209" s="345">
        <v>133</v>
      </c>
      <c r="K209" s="345">
        <v>2134.6999999999998</v>
      </c>
      <c r="L209" s="346"/>
      <c r="M209" s="346"/>
      <c r="N209" s="346"/>
      <c r="O209" s="345"/>
      <c r="P209" s="345"/>
      <c r="Q209" s="345"/>
      <c r="R209" s="345">
        <v>0</v>
      </c>
      <c r="S209" s="345">
        <v>85.3</v>
      </c>
      <c r="T209" s="345">
        <v>1926.9</v>
      </c>
      <c r="U209" s="345">
        <v>0</v>
      </c>
      <c r="V209" s="345">
        <v>101.6</v>
      </c>
      <c r="W209" s="345">
        <v>1896</v>
      </c>
      <c r="X209" s="345">
        <v>0</v>
      </c>
      <c r="Y209" s="345">
        <v>85.5</v>
      </c>
      <c r="Z209" s="345">
        <v>1945.6</v>
      </c>
      <c r="AA209">
        <f t="shared" si="3"/>
        <v>0</v>
      </c>
    </row>
    <row r="210" spans="1:27" x14ac:dyDescent="0.3">
      <c r="A210" s="345" t="s">
        <v>1884</v>
      </c>
      <c r="B210" s="805"/>
      <c r="C210" s="802"/>
      <c r="D210" s="802"/>
      <c r="E210" s="803"/>
      <c r="F210" s="805">
        <v>114.5</v>
      </c>
      <c r="G210" s="803"/>
      <c r="H210" s="345">
        <v>2186.8000000000002</v>
      </c>
      <c r="I210" s="345">
        <v>0</v>
      </c>
      <c r="J210" s="345">
        <v>133</v>
      </c>
      <c r="K210" s="345">
        <v>2134.6999999999998</v>
      </c>
      <c r="L210" s="346"/>
      <c r="M210" s="346"/>
      <c r="N210" s="346"/>
      <c r="O210" s="345"/>
      <c r="P210" s="345"/>
      <c r="Q210" s="345"/>
      <c r="R210" s="345">
        <v>0.4</v>
      </c>
      <c r="S210" s="345">
        <v>85.7</v>
      </c>
      <c r="T210" s="345">
        <v>1927.3</v>
      </c>
      <c r="U210" s="345">
        <v>0.5</v>
      </c>
      <c r="V210" s="345">
        <v>102.1</v>
      </c>
      <c r="W210" s="345">
        <v>1896.5</v>
      </c>
      <c r="X210" s="345">
        <v>0.5</v>
      </c>
      <c r="Y210" s="345">
        <v>86</v>
      </c>
      <c r="Z210" s="345">
        <v>1946.1</v>
      </c>
      <c r="AA210">
        <f t="shared" si="3"/>
        <v>0</v>
      </c>
    </row>
    <row r="211" spans="1:27" x14ac:dyDescent="0.3">
      <c r="A211" s="345" t="s">
        <v>1885</v>
      </c>
      <c r="B211" s="805"/>
      <c r="C211" s="802"/>
      <c r="D211" s="802"/>
      <c r="E211" s="803"/>
      <c r="F211" s="805">
        <v>114.5</v>
      </c>
      <c r="G211" s="803"/>
      <c r="H211" s="345">
        <v>2186.8000000000002</v>
      </c>
      <c r="I211" s="345">
        <v>0</v>
      </c>
      <c r="J211" s="345">
        <v>133</v>
      </c>
      <c r="K211" s="345">
        <v>2134.6999999999998</v>
      </c>
      <c r="L211" s="346"/>
      <c r="M211" s="346"/>
      <c r="N211" s="346"/>
      <c r="O211" s="345"/>
      <c r="P211" s="345"/>
      <c r="Q211" s="345"/>
      <c r="R211" s="345">
        <v>0.2</v>
      </c>
      <c r="S211" s="345">
        <v>85.9</v>
      </c>
      <c r="T211" s="345">
        <v>1927.5</v>
      </c>
      <c r="U211" s="345">
        <v>0.5</v>
      </c>
      <c r="V211" s="345">
        <v>102.6</v>
      </c>
      <c r="W211" s="345">
        <v>1897</v>
      </c>
      <c r="X211" s="345">
        <v>0</v>
      </c>
      <c r="Y211" s="345">
        <v>86</v>
      </c>
      <c r="Z211" s="345">
        <v>1946.1</v>
      </c>
      <c r="AA211">
        <f t="shared" si="3"/>
        <v>0</v>
      </c>
    </row>
    <row r="212" spans="1:27" x14ac:dyDescent="0.3">
      <c r="A212" s="345" t="s">
        <v>1886</v>
      </c>
      <c r="B212" s="805"/>
      <c r="C212" s="802"/>
      <c r="D212" s="802"/>
      <c r="E212" s="803"/>
      <c r="F212" s="805">
        <v>114.5</v>
      </c>
      <c r="G212" s="803"/>
      <c r="H212" s="345">
        <v>2186.8000000000002</v>
      </c>
      <c r="I212" s="345">
        <v>0</v>
      </c>
      <c r="J212" s="345">
        <v>133</v>
      </c>
      <c r="K212" s="345">
        <v>2134.6999999999998</v>
      </c>
      <c r="L212" s="346"/>
      <c r="M212" s="346"/>
      <c r="N212" s="346"/>
      <c r="O212" s="345"/>
      <c r="P212" s="345"/>
      <c r="Q212" s="345"/>
      <c r="R212" s="345">
        <v>0.2</v>
      </c>
      <c r="S212" s="345">
        <v>86.1</v>
      </c>
      <c r="T212" s="345">
        <v>1927.7</v>
      </c>
      <c r="U212" s="345">
        <v>0</v>
      </c>
      <c r="V212" s="345">
        <v>102.6</v>
      </c>
      <c r="W212" s="345">
        <v>1897</v>
      </c>
      <c r="X212" s="345">
        <v>0</v>
      </c>
      <c r="Y212" s="345">
        <v>86</v>
      </c>
      <c r="Z212" s="345">
        <v>1946.1</v>
      </c>
      <c r="AA212">
        <f t="shared" si="3"/>
        <v>0</v>
      </c>
    </row>
    <row r="213" spans="1:27" x14ac:dyDescent="0.3">
      <c r="A213" s="345" t="s">
        <v>1887</v>
      </c>
      <c r="B213" s="805"/>
      <c r="C213" s="802"/>
      <c r="D213" s="802"/>
      <c r="E213" s="803"/>
      <c r="F213" s="805">
        <v>117</v>
      </c>
      <c r="G213" s="803"/>
      <c r="H213" s="345">
        <v>2189.3000000000002</v>
      </c>
      <c r="I213" s="345">
        <v>4</v>
      </c>
      <c r="J213" s="345">
        <v>137</v>
      </c>
      <c r="K213" s="345">
        <v>2138.6999999999998</v>
      </c>
      <c r="L213" s="346"/>
      <c r="M213" s="346"/>
      <c r="N213" s="346"/>
      <c r="O213" s="345"/>
      <c r="P213" s="345"/>
      <c r="Q213" s="345"/>
      <c r="R213" s="345">
        <v>2.8</v>
      </c>
      <c r="S213" s="345">
        <v>88.9</v>
      </c>
      <c r="T213" s="345">
        <v>1930.5</v>
      </c>
      <c r="U213" s="345">
        <v>3.5</v>
      </c>
      <c r="V213" s="345">
        <v>106.1</v>
      </c>
      <c r="W213" s="345">
        <v>1900.5</v>
      </c>
      <c r="X213" s="345">
        <v>3.5</v>
      </c>
      <c r="Y213" s="345">
        <v>89.5</v>
      </c>
      <c r="Z213" s="345">
        <v>1949.6</v>
      </c>
      <c r="AA213">
        <f t="shared" si="3"/>
        <v>4</v>
      </c>
    </row>
    <row r="214" spans="1:27" s="362" customFormat="1" x14ac:dyDescent="0.3">
      <c r="A214" s="359" t="s">
        <v>1888</v>
      </c>
      <c r="B214" s="811"/>
      <c r="C214" s="812"/>
      <c r="D214" s="812"/>
      <c r="E214" s="813"/>
      <c r="F214" s="811">
        <v>117.5</v>
      </c>
      <c r="G214" s="813"/>
      <c r="H214" s="359">
        <v>2189.8000000000002</v>
      </c>
      <c r="I214" s="359">
        <v>0.5</v>
      </c>
      <c r="J214" s="359">
        <v>137.5</v>
      </c>
      <c r="K214" s="359">
        <v>2139.1999999999998</v>
      </c>
      <c r="L214" s="359"/>
      <c r="M214" s="359"/>
      <c r="N214" s="359"/>
      <c r="O214" s="359"/>
      <c r="P214" s="359"/>
      <c r="Q214" s="359"/>
      <c r="R214" s="359">
        <v>0.4</v>
      </c>
      <c r="S214" s="359">
        <v>89.3</v>
      </c>
      <c r="T214" s="359">
        <v>1930.9</v>
      </c>
      <c r="U214" s="359">
        <v>0.5</v>
      </c>
      <c r="V214" s="359">
        <v>106.6</v>
      </c>
      <c r="W214" s="359">
        <v>1901</v>
      </c>
      <c r="X214" s="359">
        <v>0.5</v>
      </c>
      <c r="Y214" s="359">
        <v>90</v>
      </c>
      <c r="Z214" s="359">
        <v>1950.1</v>
      </c>
      <c r="AA214" s="362">
        <f t="shared" si="3"/>
        <v>0.5</v>
      </c>
    </row>
    <row r="215" spans="1:27" ht="28.8" x14ac:dyDescent="0.3">
      <c r="A215" s="345" t="s">
        <v>1889</v>
      </c>
      <c r="B215" s="805"/>
      <c r="C215" s="802"/>
      <c r="D215" s="802"/>
      <c r="E215" s="803"/>
      <c r="F215" s="805">
        <v>5</v>
      </c>
      <c r="G215" s="803"/>
      <c r="H215" s="345">
        <v>2194.8000000000002</v>
      </c>
      <c r="I215" s="345">
        <v>5.5</v>
      </c>
      <c r="J215" s="345">
        <v>5.5</v>
      </c>
      <c r="K215" s="345">
        <v>2144.6999999999998</v>
      </c>
      <c r="L215" s="346"/>
      <c r="M215" s="346"/>
      <c r="N215" s="346"/>
      <c r="O215" s="345"/>
      <c r="P215" s="345"/>
      <c r="Q215" s="345"/>
      <c r="R215" s="345">
        <v>3.4</v>
      </c>
      <c r="S215" s="345">
        <v>3.4</v>
      </c>
      <c r="T215" s="345">
        <v>1934.3</v>
      </c>
      <c r="U215" s="345">
        <v>4</v>
      </c>
      <c r="V215" s="345">
        <v>4</v>
      </c>
      <c r="W215" s="345">
        <v>1905</v>
      </c>
      <c r="X215" s="345">
        <v>4</v>
      </c>
      <c r="Y215" s="345">
        <v>4</v>
      </c>
      <c r="Z215" s="345">
        <v>1954.1</v>
      </c>
      <c r="AA215">
        <f t="shared" si="3"/>
        <v>5.5</v>
      </c>
    </row>
    <row r="216" spans="1:27" ht="28.8" x14ac:dyDescent="0.3">
      <c r="A216" s="345" t="s">
        <v>1890</v>
      </c>
      <c r="B216" s="805"/>
      <c r="C216" s="802"/>
      <c r="D216" s="802"/>
      <c r="E216" s="803"/>
      <c r="F216" s="805">
        <v>5</v>
      </c>
      <c r="G216" s="803"/>
      <c r="H216" s="345">
        <v>2194.8000000000002</v>
      </c>
      <c r="I216" s="345">
        <v>0</v>
      </c>
      <c r="J216" s="345">
        <v>5.5</v>
      </c>
      <c r="K216" s="345">
        <v>2144.6999999999998</v>
      </c>
      <c r="L216" s="346"/>
      <c r="M216" s="346"/>
      <c r="N216" s="346"/>
      <c r="O216" s="345"/>
      <c r="P216" s="345"/>
      <c r="Q216" s="345"/>
      <c r="R216" s="345">
        <v>0.2</v>
      </c>
      <c r="S216" s="345">
        <v>3.6</v>
      </c>
      <c r="T216" s="345">
        <v>1934.5</v>
      </c>
      <c r="U216" s="345">
        <v>0</v>
      </c>
      <c r="V216" s="345">
        <v>4</v>
      </c>
      <c r="W216" s="345">
        <v>1905</v>
      </c>
      <c r="X216" s="345">
        <v>0</v>
      </c>
      <c r="Y216" s="345">
        <v>4</v>
      </c>
      <c r="Z216" s="345">
        <v>1954.1</v>
      </c>
      <c r="AA216">
        <f t="shared" si="3"/>
        <v>0</v>
      </c>
    </row>
    <row r="217" spans="1:27" ht="28.8" x14ac:dyDescent="0.3">
      <c r="A217" s="345" t="s">
        <v>1891</v>
      </c>
      <c r="B217" s="805"/>
      <c r="C217" s="802"/>
      <c r="D217" s="802"/>
      <c r="E217" s="803"/>
      <c r="F217" s="805">
        <v>5</v>
      </c>
      <c r="G217" s="803"/>
      <c r="H217" s="345">
        <v>2194.8000000000002</v>
      </c>
      <c r="I217" s="345">
        <v>0</v>
      </c>
      <c r="J217" s="345">
        <v>5.5</v>
      </c>
      <c r="K217" s="345">
        <v>2144.6999999999998</v>
      </c>
      <c r="L217" s="346"/>
      <c r="M217" s="346"/>
      <c r="N217" s="346"/>
      <c r="O217" s="345"/>
      <c r="P217" s="345"/>
      <c r="Q217" s="345"/>
      <c r="R217" s="345">
        <v>0</v>
      </c>
      <c r="S217" s="345">
        <v>3.6</v>
      </c>
      <c r="T217" s="345">
        <v>1934.5</v>
      </c>
      <c r="U217" s="345">
        <v>0</v>
      </c>
      <c r="V217" s="345">
        <v>4</v>
      </c>
      <c r="W217" s="345">
        <v>1905</v>
      </c>
      <c r="X217" s="345">
        <v>0</v>
      </c>
      <c r="Y217" s="345">
        <v>4</v>
      </c>
      <c r="Z217" s="345">
        <v>1954.1</v>
      </c>
      <c r="AA217">
        <f t="shared" si="3"/>
        <v>0</v>
      </c>
    </row>
    <row r="218" spans="1:27" ht="28.8" x14ac:dyDescent="0.3">
      <c r="A218" s="345" t="s">
        <v>1892</v>
      </c>
      <c r="B218" s="805"/>
      <c r="C218" s="802"/>
      <c r="D218" s="802"/>
      <c r="E218" s="803"/>
      <c r="F218" s="805">
        <v>5</v>
      </c>
      <c r="G218" s="803"/>
      <c r="H218" s="345">
        <v>2194.8000000000002</v>
      </c>
      <c r="I218" s="345">
        <v>0</v>
      </c>
      <c r="J218" s="345">
        <v>5.5</v>
      </c>
      <c r="K218" s="345">
        <v>2144.6999999999998</v>
      </c>
      <c r="L218" s="346"/>
      <c r="M218" s="346"/>
      <c r="N218" s="346"/>
      <c r="O218" s="345"/>
      <c r="P218" s="345"/>
      <c r="Q218" s="345"/>
      <c r="R218" s="345">
        <v>0</v>
      </c>
      <c r="S218" s="345">
        <v>3.6</v>
      </c>
      <c r="T218" s="345">
        <v>1934.5</v>
      </c>
      <c r="U218" s="345">
        <v>0</v>
      </c>
      <c r="V218" s="345">
        <v>4</v>
      </c>
      <c r="W218" s="345">
        <v>1905</v>
      </c>
      <c r="X218" s="345">
        <v>0</v>
      </c>
      <c r="Y218" s="345">
        <v>4</v>
      </c>
      <c r="Z218" s="345">
        <v>1954.1</v>
      </c>
      <c r="AA218">
        <f t="shared" si="3"/>
        <v>0</v>
      </c>
    </row>
    <row r="219" spans="1:27" ht="28.8" x14ac:dyDescent="0.3">
      <c r="A219" s="345" t="s">
        <v>1893</v>
      </c>
      <c r="B219" s="805"/>
      <c r="C219" s="802"/>
      <c r="D219" s="802"/>
      <c r="E219" s="803"/>
      <c r="F219" s="805">
        <v>5</v>
      </c>
      <c r="G219" s="803"/>
      <c r="H219" s="345">
        <v>2194.8000000000002</v>
      </c>
      <c r="I219" s="345">
        <v>0</v>
      </c>
      <c r="J219" s="345">
        <v>5.5</v>
      </c>
      <c r="K219" s="345">
        <v>2144.6999999999998</v>
      </c>
      <c r="L219" s="346"/>
      <c r="M219" s="346"/>
      <c r="N219" s="346"/>
      <c r="O219" s="345"/>
      <c r="P219" s="345"/>
      <c r="Q219" s="345"/>
      <c r="R219" s="345">
        <v>0</v>
      </c>
      <c r="S219" s="345">
        <v>3.6</v>
      </c>
      <c r="T219" s="345">
        <v>1934.5</v>
      </c>
      <c r="U219" s="345">
        <v>0</v>
      </c>
      <c r="V219" s="345">
        <v>4</v>
      </c>
      <c r="W219" s="345">
        <v>1905</v>
      </c>
      <c r="X219" s="345">
        <v>0</v>
      </c>
      <c r="Y219" s="345">
        <v>4</v>
      </c>
      <c r="Z219" s="345">
        <v>1954.1</v>
      </c>
      <c r="AA219">
        <f t="shared" si="3"/>
        <v>0</v>
      </c>
    </row>
    <row r="220" spans="1:27" ht="28.8" x14ac:dyDescent="0.3">
      <c r="A220" s="345" t="s">
        <v>1894</v>
      </c>
      <c r="B220" s="805"/>
      <c r="C220" s="802"/>
      <c r="D220" s="802"/>
      <c r="E220" s="803"/>
      <c r="F220" s="805">
        <v>5</v>
      </c>
      <c r="G220" s="803"/>
      <c r="H220" s="345">
        <v>2194.8000000000002</v>
      </c>
      <c r="I220" s="345">
        <v>0</v>
      </c>
      <c r="J220" s="345">
        <v>5.5</v>
      </c>
      <c r="K220" s="345">
        <v>2144.6999999999998</v>
      </c>
      <c r="L220" s="346"/>
      <c r="M220" s="346"/>
      <c r="N220" s="346"/>
      <c r="O220" s="345"/>
      <c r="P220" s="345"/>
      <c r="Q220" s="345"/>
      <c r="R220" s="345">
        <v>0</v>
      </c>
      <c r="S220" s="345">
        <v>3.6</v>
      </c>
      <c r="T220" s="345">
        <v>1934.5</v>
      </c>
      <c r="U220" s="345">
        <v>0</v>
      </c>
      <c r="V220" s="345">
        <v>4</v>
      </c>
      <c r="W220" s="345">
        <v>1905</v>
      </c>
      <c r="X220" s="345">
        <v>0</v>
      </c>
      <c r="Y220" s="345">
        <v>4</v>
      </c>
      <c r="Z220" s="345">
        <v>1954.1</v>
      </c>
      <c r="AA220">
        <f t="shared" si="3"/>
        <v>0</v>
      </c>
    </row>
    <row r="221" spans="1:27" ht="28.8" x14ac:dyDescent="0.3">
      <c r="A221" s="345" t="s">
        <v>1895</v>
      </c>
      <c r="B221" s="805"/>
      <c r="C221" s="802"/>
      <c r="D221" s="802"/>
      <c r="E221" s="803"/>
      <c r="F221" s="805">
        <v>5</v>
      </c>
      <c r="G221" s="803"/>
      <c r="H221" s="345">
        <v>2194.8000000000002</v>
      </c>
      <c r="I221" s="345">
        <v>0</v>
      </c>
      <c r="J221" s="345">
        <v>5.5</v>
      </c>
      <c r="K221" s="345">
        <v>2144.6999999999998</v>
      </c>
      <c r="L221" s="346"/>
      <c r="M221" s="346"/>
      <c r="N221" s="346"/>
      <c r="O221" s="345"/>
      <c r="P221" s="345"/>
      <c r="Q221" s="345"/>
      <c r="R221" s="345">
        <v>0</v>
      </c>
      <c r="S221" s="345">
        <v>3.6</v>
      </c>
      <c r="T221" s="345">
        <v>1934.5</v>
      </c>
      <c r="U221" s="345">
        <v>0</v>
      </c>
      <c r="V221" s="345">
        <v>4</v>
      </c>
      <c r="W221" s="345">
        <v>1905</v>
      </c>
      <c r="X221" s="345">
        <v>0</v>
      </c>
      <c r="Y221" s="345">
        <v>4</v>
      </c>
      <c r="Z221" s="345">
        <v>1954.1</v>
      </c>
      <c r="AA221">
        <f t="shared" si="3"/>
        <v>0</v>
      </c>
    </row>
    <row r="222" spans="1:27" ht="28.8" x14ac:dyDescent="0.3">
      <c r="A222" s="345" t="s">
        <v>1896</v>
      </c>
      <c r="B222" s="805"/>
      <c r="C222" s="802"/>
      <c r="D222" s="802"/>
      <c r="E222" s="803"/>
      <c r="F222" s="805">
        <v>5</v>
      </c>
      <c r="G222" s="803"/>
      <c r="H222" s="345">
        <v>2194.8000000000002</v>
      </c>
      <c r="I222" s="345">
        <v>0</v>
      </c>
      <c r="J222" s="345">
        <v>5.5</v>
      </c>
      <c r="K222" s="345">
        <v>2144.6999999999998</v>
      </c>
      <c r="L222" s="346"/>
      <c r="M222" s="346"/>
      <c r="N222" s="346"/>
      <c r="O222" s="345"/>
      <c r="P222" s="345"/>
      <c r="Q222" s="345"/>
      <c r="R222" s="345">
        <v>0</v>
      </c>
      <c r="S222" s="345">
        <v>3.6</v>
      </c>
      <c r="T222" s="345">
        <v>1934.5</v>
      </c>
      <c r="U222" s="345">
        <v>0</v>
      </c>
      <c r="V222" s="345">
        <v>4</v>
      </c>
      <c r="W222" s="345">
        <v>1905</v>
      </c>
      <c r="X222" s="345">
        <v>0</v>
      </c>
      <c r="Y222" s="345">
        <v>4</v>
      </c>
      <c r="Z222" s="345">
        <v>1954.1</v>
      </c>
      <c r="AA222">
        <f t="shared" si="3"/>
        <v>0</v>
      </c>
    </row>
    <row r="223" spans="1:27" ht="28.8" x14ac:dyDescent="0.3">
      <c r="A223" s="345" t="s">
        <v>1897</v>
      </c>
      <c r="B223" s="805"/>
      <c r="C223" s="802"/>
      <c r="D223" s="802"/>
      <c r="E223" s="803"/>
      <c r="F223" s="805">
        <v>5</v>
      </c>
      <c r="G223" s="803"/>
      <c r="H223" s="345">
        <v>2194.8000000000002</v>
      </c>
      <c r="I223" s="345">
        <v>0</v>
      </c>
      <c r="J223" s="345">
        <v>5.5</v>
      </c>
      <c r="K223" s="345">
        <v>2144.6999999999998</v>
      </c>
      <c r="L223" s="346"/>
      <c r="M223" s="346"/>
      <c r="N223" s="346"/>
      <c r="O223" s="345"/>
      <c r="P223" s="345"/>
      <c r="Q223" s="345"/>
      <c r="R223" s="345">
        <v>0</v>
      </c>
      <c r="S223" s="345">
        <v>3.6</v>
      </c>
      <c r="T223" s="345">
        <v>1934.5</v>
      </c>
      <c r="U223" s="345">
        <v>0</v>
      </c>
      <c r="V223" s="345">
        <v>4</v>
      </c>
      <c r="W223" s="345">
        <v>1905</v>
      </c>
      <c r="X223" s="345">
        <v>0</v>
      </c>
      <c r="Y223" s="345">
        <v>4</v>
      </c>
      <c r="Z223" s="345">
        <v>1954.1</v>
      </c>
      <c r="AA223">
        <f t="shared" si="3"/>
        <v>0</v>
      </c>
    </row>
    <row r="224" spans="1:27" ht="28.8" x14ac:dyDescent="0.3">
      <c r="A224" s="345" t="s">
        <v>1898</v>
      </c>
      <c r="B224" s="805"/>
      <c r="C224" s="802"/>
      <c r="D224" s="802"/>
      <c r="E224" s="803"/>
      <c r="F224" s="805">
        <v>5.0999999999999996</v>
      </c>
      <c r="G224" s="803"/>
      <c r="H224" s="345">
        <v>2194.9</v>
      </c>
      <c r="I224" s="345">
        <v>0.1</v>
      </c>
      <c r="J224" s="345">
        <v>5.6</v>
      </c>
      <c r="K224" s="345">
        <v>2144.8000000000002</v>
      </c>
      <c r="L224" s="346"/>
      <c r="M224" s="346"/>
      <c r="N224" s="346"/>
      <c r="O224" s="345"/>
      <c r="P224" s="345"/>
      <c r="Q224" s="345"/>
      <c r="R224" s="345">
        <v>0.1</v>
      </c>
      <c r="S224" s="345">
        <v>3.7</v>
      </c>
      <c r="T224" s="345">
        <v>1934.6</v>
      </c>
      <c r="U224" s="345">
        <v>0.1</v>
      </c>
      <c r="V224" s="345">
        <v>4.0999999999999996</v>
      </c>
      <c r="W224" s="345">
        <v>1905.1</v>
      </c>
      <c r="X224" s="345">
        <v>0.1</v>
      </c>
      <c r="Y224" s="345">
        <v>4.0999999999999996</v>
      </c>
      <c r="Z224" s="345">
        <v>1954.2</v>
      </c>
      <c r="AA224">
        <f t="shared" si="3"/>
        <v>0.1</v>
      </c>
    </row>
    <row r="225" spans="1:27" ht="28.8" x14ac:dyDescent="0.3">
      <c r="A225" s="345" t="s">
        <v>1899</v>
      </c>
      <c r="B225" s="805"/>
      <c r="C225" s="802"/>
      <c r="D225" s="802"/>
      <c r="E225" s="803"/>
      <c r="F225" s="805">
        <v>44.1</v>
      </c>
      <c r="G225" s="803"/>
      <c r="H225" s="345">
        <v>2233.9</v>
      </c>
      <c r="I225" s="345">
        <v>41</v>
      </c>
      <c r="J225" s="345">
        <v>46.6</v>
      </c>
      <c r="K225" s="345">
        <v>2185.8000000000002</v>
      </c>
      <c r="L225" s="346"/>
      <c r="M225" s="346"/>
      <c r="N225" s="346"/>
      <c r="O225" s="345"/>
      <c r="P225" s="345"/>
      <c r="Q225" s="345"/>
      <c r="R225" s="345">
        <v>40</v>
      </c>
      <c r="S225" s="345">
        <v>43.7</v>
      </c>
      <c r="T225" s="345">
        <v>1974.6</v>
      </c>
      <c r="U225" s="345">
        <v>40.5</v>
      </c>
      <c r="V225" s="345">
        <v>44.6</v>
      </c>
      <c r="W225" s="345">
        <v>1945.6</v>
      </c>
      <c r="X225" s="345">
        <v>38</v>
      </c>
      <c r="Y225" s="345">
        <v>42.1</v>
      </c>
      <c r="Z225" s="345">
        <v>1992.2</v>
      </c>
      <c r="AA225">
        <f t="shared" si="3"/>
        <v>41</v>
      </c>
    </row>
    <row r="226" spans="1:27" ht="28.8" x14ac:dyDescent="0.3">
      <c r="A226" s="345" t="s">
        <v>1900</v>
      </c>
      <c r="B226" s="805"/>
      <c r="C226" s="802"/>
      <c r="D226" s="802"/>
      <c r="E226" s="803"/>
      <c r="F226" s="805">
        <v>64.099999999999994</v>
      </c>
      <c r="G226" s="803"/>
      <c r="H226" s="345">
        <v>2253.9</v>
      </c>
      <c r="I226" s="345">
        <v>20.5</v>
      </c>
      <c r="J226" s="345">
        <v>67.099999999999994</v>
      </c>
      <c r="K226" s="345">
        <v>2206.3000000000002</v>
      </c>
      <c r="L226" s="346"/>
      <c r="M226" s="346"/>
      <c r="N226" s="346"/>
      <c r="O226" s="345"/>
      <c r="P226" s="345"/>
      <c r="Q226" s="345"/>
      <c r="R226" s="345">
        <v>19</v>
      </c>
      <c r="S226" s="345">
        <v>62.7</v>
      </c>
      <c r="T226" s="345">
        <v>1993.6</v>
      </c>
      <c r="U226" s="345">
        <v>19.5</v>
      </c>
      <c r="V226" s="345">
        <v>64.099999999999994</v>
      </c>
      <c r="W226" s="345">
        <v>1965.1</v>
      </c>
      <c r="X226" s="345">
        <v>19.5</v>
      </c>
      <c r="Y226" s="345">
        <v>61.6</v>
      </c>
      <c r="Z226" s="345">
        <v>2011.7</v>
      </c>
      <c r="AA226">
        <f t="shared" si="3"/>
        <v>20.5</v>
      </c>
    </row>
    <row r="227" spans="1:27" ht="28.8" x14ac:dyDescent="0.3">
      <c r="A227" s="345" t="s">
        <v>1901</v>
      </c>
      <c r="B227" s="805"/>
      <c r="C227" s="802"/>
      <c r="D227" s="802"/>
      <c r="E227" s="803"/>
      <c r="F227" s="805">
        <v>64.599999999999994</v>
      </c>
      <c r="G227" s="803"/>
      <c r="H227" s="345">
        <v>2254.4</v>
      </c>
      <c r="I227" s="345">
        <v>0.5</v>
      </c>
      <c r="J227" s="345">
        <v>67.599999999999994</v>
      </c>
      <c r="K227" s="345">
        <v>2206.8000000000002</v>
      </c>
      <c r="L227" s="346"/>
      <c r="M227" s="346"/>
      <c r="N227" s="346"/>
      <c r="O227" s="345"/>
      <c r="P227" s="345"/>
      <c r="Q227" s="345"/>
      <c r="R227" s="345">
        <v>0.5</v>
      </c>
      <c r="S227" s="345">
        <v>63.2</v>
      </c>
      <c r="T227" s="345">
        <v>1994.1</v>
      </c>
      <c r="U227" s="345">
        <v>0.5</v>
      </c>
      <c r="V227" s="345">
        <v>64.599999999999994</v>
      </c>
      <c r="W227" s="345">
        <v>1965.6</v>
      </c>
      <c r="X227" s="345">
        <v>0.5</v>
      </c>
      <c r="Y227" s="345">
        <v>62.1</v>
      </c>
      <c r="Z227" s="345">
        <v>2012.2</v>
      </c>
      <c r="AA227">
        <f t="shared" si="3"/>
        <v>0.5</v>
      </c>
    </row>
    <row r="228" spans="1:27" ht="28.8" x14ac:dyDescent="0.3">
      <c r="A228" s="345" t="s">
        <v>1902</v>
      </c>
      <c r="B228" s="805"/>
      <c r="C228" s="802"/>
      <c r="D228" s="802"/>
      <c r="E228" s="803"/>
      <c r="F228" s="805">
        <v>64.599999999999994</v>
      </c>
      <c r="G228" s="803"/>
      <c r="H228" s="345">
        <v>2254.4</v>
      </c>
      <c r="I228" s="345">
        <v>0</v>
      </c>
      <c r="J228" s="345">
        <v>67.599999999999994</v>
      </c>
      <c r="K228" s="345">
        <v>2206.8000000000002</v>
      </c>
      <c r="L228" s="346"/>
      <c r="M228" s="346"/>
      <c r="N228" s="346"/>
      <c r="O228" s="345"/>
      <c r="P228" s="345"/>
      <c r="Q228" s="345"/>
      <c r="R228" s="345"/>
      <c r="S228" s="345"/>
      <c r="T228" s="345"/>
      <c r="U228" s="345">
        <v>0</v>
      </c>
      <c r="V228" s="345">
        <v>64.599999999999994</v>
      </c>
      <c r="W228" s="345">
        <v>1965.6</v>
      </c>
      <c r="X228" s="345">
        <v>0</v>
      </c>
      <c r="Y228" s="345">
        <v>62.1</v>
      </c>
      <c r="Z228" s="345">
        <v>2012.2</v>
      </c>
      <c r="AA228">
        <f t="shared" si="3"/>
        <v>0</v>
      </c>
    </row>
    <row r="229" spans="1:27" ht="28.8" x14ac:dyDescent="0.3">
      <c r="A229" s="345" t="s">
        <v>1903</v>
      </c>
      <c r="B229" s="805"/>
      <c r="C229" s="802"/>
      <c r="D229" s="802"/>
      <c r="E229" s="803"/>
      <c r="F229" s="805">
        <v>64.599999999999994</v>
      </c>
      <c r="G229" s="803"/>
      <c r="H229" s="345">
        <v>2254.4</v>
      </c>
      <c r="I229" s="345">
        <v>0</v>
      </c>
      <c r="J229" s="345">
        <v>67.599999999999994</v>
      </c>
      <c r="K229" s="345">
        <v>2206.8000000000002</v>
      </c>
      <c r="L229" s="346"/>
      <c r="M229" s="346"/>
      <c r="N229" s="346"/>
      <c r="O229" s="345"/>
      <c r="P229" s="345"/>
      <c r="Q229" s="345"/>
      <c r="R229" s="345">
        <v>0</v>
      </c>
      <c r="S229" s="345">
        <v>63.2</v>
      </c>
      <c r="T229" s="345">
        <v>1994.1</v>
      </c>
      <c r="U229" s="345">
        <v>0</v>
      </c>
      <c r="V229" s="345">
        <v>64.599999999999994</v>
      </c>
      <c r="W229" s="345">
        <v>1965.6</v>
      </c>
      <c r="X229" s="345">
        <v>0</v>
      </c>
      <c r="Y229" s="345">
        <v>62.1</v>
      </c>
      <c r="Z229" s="345">
        <v>2012.2</v>
      </c>
      <c r="AA229">
        <f t="shared" si="3"/>
        <v>0</v>
      </c>
    </row>
    <row r="230" spans="1:27" ht="28.8" x14ac:dyDescent="0.3">
      <c r="A230" s="345" t="s">
        <v>1904</v>
      </c>
      <c r="B230" s="805"/>
      <c r="C230" s="802"/>
      <c r="D230" s="802"/>
      <c r="E230" s="803"/>
      <c r="F230" s="805">
        <v>65.099999999999994</v>
      </c>
      <c r="G230" s="803"/>
      <c r="H230" s="345">
        <v>2254.9</v>
      </c>
      <c r="I230" s="345">
        <v>1.5</v>
      </c>
      <c r="J230" s="345">
        <v>69.099999999999994</v>
      </c>
      <c r="K230" s="345">
        <v>2208.3000000000002</v>
      </c>
      <c r="L230" s="346"/>
      <c r="M230" s="346"/>
      <c r="N230" s="346"/>
      <c r="O230" s="345"/>
      <c r="P230" s="345"/>
      <c r="Q230" s="345"/>
      <c r="R230" s="345">
        <v>0</v>
      </c>
      <c r="S230" s="345">
        <v>63.2</v>
      </c>
      <c r="T230" s="345">
        <v>1994.1</v>
      </c>
      <c r="U230" s="345">
        <v>0</v>
      </c>
      <c r="V230" s="345">
        <v>64.599999999999994</v>
      </c>
      <c r="W230" s="345">
        <v>1965.6</v>
      </c>
      <c r="X230" s="345">
        <v>2</v>
      </c>
      <c r="Y230" s="345">
        <v>64.099999999999994</v>
      </c>
      <c r="Z230" s="345">
        <v>2014.2</v>
      </c>
      <c r="AA230">
        <f t="shared" si="3"/>
        <v>1.5</v>
      </c>
    </row>
    <row r="231" spans="1:27" ht="28.8" x14ac:dyDescent="0.3">
      <c r="A231" s="345" t="s">
        <v>1905</v>
      </c>
      <c r="B231" s="805"/>
      <c r="C231" s="802"/>
      <c r="D231" s="802"/>
      <c r="E231" s="803"/>
      <c r="F231" s="805">
        <v>66.099999999999994</v>
      </c>
      <c r="G231" s="803"/>
      <c r="H231" s="345">
        <v>2255.9</v>
      </c>
      <c r="I231" s="345">
        <v>1</v>
      </c>
      <c r="J231" s="345">
        <v>70.099999999999994</v>
      </c>
      <c r="K231" s="345">
        <v>2209.3000000000002</v>
      </c>
      <c r="L231" s="346"/>
      <c r="M231" s="346"/>
      <c r="N231" s="346"/>
      <c r="O231" s="345"/>
      <c r="P231" s="345"/>
      <c r="Q231" s="345"/>
      <c r="R231" s="345">
        <v>0</v>
      </c>
      <c r="S231" s="345">
        <v>63.2</v>
      </c>
      <c r="T231" s="345">
        <v>1994.1</v>
      </c>
      <c r="U231" s="345">
        <v>1</v>
      </c>
      <c r="V231" s="345">
        <v>65.599999999999994</v>
      </c>
      <c r="W231" s="345">
        <v>1966.6</v>
      </c>
      <c r="X231" s="345">
        <v>1</v>
      </c>
      <c r="Y231" s="345">
        <v>65.099999999999994</v>
      </c>
      <c r="Z231" s="345">
        <v>2015.2</v>
      </c>
      <c r="AA231">
        <f t="shared" si="3"/>
        <v>1</v>
      </c>
    </row>
    <row r="232" spans="1:27" ht="28.8" x14ac:dyDescent="0.3">
      <c r="A232" s="345" t="s">
        <v>1906</v>
      </c>
      <c r="B232" s="805"/>
      <c r="C232" s="802"/>
      <c r="D232" s="802"/>
      <c r="E232" s="803"/>
      <c r="F232" s="805">
        <v>66.599999999999994</v>
      </c>
      <c r="G232" s="803"/>
      <c r="H232" s="345">
        <v>2256.4</v>
      </c>
      <c r="I232" s="345">
        <v>0.4</v>
      </c>
      <c r="J232" s="345">
        <v>70.5</v>
      </c>
      <c r="K232" s="345">
        <v>2209.6999999999998</v>
      </c>
      <c r="L232" s="346"/>
      <c r="M232" s="346"/>
      <c r="N232" s="346"/>
      <c r="O232" s="345"/>
      <c r="P232" s="345"/>
      <c r="Q232" s="345"/>
      <c r="R232" s="345">
        <v>0</v>
      </c>
      <c r="S232" s="345">
        <v>63.2</v>
      </c>
      <c r="T232" s="345">
        <v>1994.1</v>
      </c>
      <c r="U232" s="345">
        <v>0</v>
      </c>
      <c r="V232" s="345">
        <v>65.599999999999994</v>
      </c>
      <c r="W232" s="345">
        <v>1966.6</v>
      </c>
      <c r="X232" s="345">
        <v>0</v>
      </c>
      <c r="Y232" s="345">
        <v>65.099999999999994</v>
      </c>
      <c r="Z232" s="345">
        <v>2015.2</v>
      </c>
      <c r="AA232">
        <f t="shared" si="3"/>
        <v>0.4</v>
      </c>
    </row>
    <row r="233" spans="1:27" ht="28.8" x14ac:dyDescent="0.3">
      <c r="A233" s="345" t="s">
        <v>1907</v>
      </c>
      <c r="B233" s="805"/>
      <c r="C233" s="802"/>
      <c r="D233" s="802"/>
      <c r="E233" s="803"/>
      <c r="F233" s="805">
        <v>68.099999999999994</v>
      </c>
      <c r="G233" s="803"/>
      <c r="H233" s="345">
        <v>2257.9</v>
      </c>
      <c r="I233" s="345">
        <v>3</v>
      </c>
      <c r="J233" s="345">
        <v>73.5</v>
      </c>
      <c r="K233" s="345">
        <v>2212.6999999999998</v>
      </c>
      <c r="L233" s="346"/>
      <c r="M233" s="346"/>
      <c r="N233" s="346"/>
      <c r="O233" s="345"/>
      <c r="P233" s="345"/>
      <c r="Q233" s="345"/>
      <c r="R233" s="345">
        <v>0</v>
      </c>
      <c r="S233" s="345">
        <v>63.2</v>
      </c>
      <c r="T233" s="345">
        <v>1994.1</v>
      </c>
      <c r="U233" s="345">
        <v>2</v>
      </c>
      <c r="V233" s="345">
        <v>67.599999999999994</v>
      </c>
      <c r="W233" s="345">
        <v>1968.6</v>
      </c>
      <c r="X233" s="345">
        <v>2.5</v>
      </c>
      <c r="Y233" s="345">
        <v>67.599999999999994</v>
      </c>
      <c r="Z233" s="345">
        <v>2017.7</v>
      </c>
      <c r="AA233">
        <f t="shared" si="3"/>
        <v>3</v>
      </c>
    </row>
    <row r="234" spans="1:27" ht="28.8" x14ac:dyDescent="0.3">
      <c r="A234" s="345" t="s">
        <v>1908</v>
      </c>
      <c r="B234" s="805"/>
      <c r="C234" s="802"/>
      <c r="D234" s="802"/>
      <c r="E234" s="803"/>
      <c r="F234" s="805">
        <v>68.3</v>
      </c>
      <c r="G234" s="803"/>
      <c r="H234" s="345">
        <v>2258.1</v>
      </c>
      <c r="I234" s="345">
        <v>0.5</v>
      </c>
      <c r="J234" s="345">
        <v>74</v>
      </c>
      <c r="K234" s="345">
        <v>2213.1999999999998</v>
      </c>
      <c r="L234" s="346"/>
      <c r="M234" s="346"/>
      <c r="N234" s="346"/>
      <c r="O234" s="345"/>
      <c r="P234" s="345"/>
      <c r="Q234" s="345"/>
      <c r="R234" s="345">
        <v>0.2</v>
      </c>
      <c r="S234" s="345">
        <v>63.4</v>
      </c>
      <c r="T234" s="345">
        <v>1994.3</v>
      </c>
      <c r="U234" s="345">
        <v>0.5</v>
      </c>
      <c r="V234" s="345">
        <v>68.099999999999994</v>
      </c>
      <c r="W234" s="345">
        <v>1969.1</v>
      </c>
      <c r="X234" s="345">
        <v>0.5</v>
      </c>
      <c r="Y234" s="345">
        <v>68.099999999999994</v>
      </c>
      <c r="Z234" s="345">
        <v>2018.2</v>
      </c>
      <c r="AA234">
        <f t="shared" si="3"/>
        <v>0.5</v>
      </c>
    </row>
    <row r="235" spans="1:27" ht="28.8" x14ac:dyDescent="0.3">
      <c r="A235" s="345" t="s">
        <v>1909</v>
      </c>
      <c r="B235" s="805"/>
      <c r="C235" s="802"/>
      <c r="D235" s="802"/>
      <c r="E235" s="803"/>
      <c r="F235" s="805">
        <v>68.3</v>
      </c>
      <c r="G235" s="803"/>
      <c r="H235" s="345">
        <v>2258.1</v>
      </c>
      <c r="I235" s="345">
        <v>0</v>
      </c>
      <c r="J235" s="345">
        <v>74</v>
      </c>
      <c r="K235" s="345">
        <v>2213.1999999999998</v>
      </c>
      <c r="L235" s="346"/>
      <c r="M235" s="346"/>
      <c r="N235" s="346"/>
      <c r="O235" s="345"/>
      <c r="P235" s="345"/>
      <c r="Q235" s="345"/>
      <c r="R235" s="345">
        <v>0</v>
      </c>
      <c r="S235" s="345">
        <v>63.4</v>
      </c>
      <c r="T235" s="345">
        <v>1994.3</v>
      </c>
      <c r="U235" s="345">
        <v>0</v>
      </c>
      <c r="V235" s="345">
        <v>68.099999999999994</v>
      </c>
      <c r="W235" s="345">
        <v>1969.1</v>
      </c>
      <c r="X235" s="345">
        <v>0</v>
      </c>
      <c r="Y235" s="345">
        <v>68.099999999999994</v>
      </c>
      <c r="Z235" s="345">
        <v>2018.2</v>
      </c>
      <c r="AA235">
        <f t="shared" si="3"/>
        <v>0</v>
      </c>
    </row>
    <row r="236" spans="1:27" ht="28.8" x14ac:dyDescent="0.3">
      <c r="A236" s="345" t="s">
        <v>1910</v>
      </c>
      <c r="B236" s="805"/>
      <c r="C236" s="802"/>
      <c r="D236" s="802"/>
      <c r="E236" s="803"/>
      <c r="F236" s="805">
        <v>68.3</v>
      </c>
      <c r="G236" s="803"/>
      <c r="H236" s="345">
        <v>2258.1</v>
      </c>
      <c r="I236" s="345">
        <v>0</v>
      </c>
      <c r="J236" s="345">
        <v>74</v>
      </c>
      <c r="K236" s="345">
        <v>2213.1999999999998</v>
      </c>
      <c r="L236" s="346"/>
      <c r="M236" s="346"/>
      <c r="N236" s="346"/>
      <c r="O236" s="345"/>
      <c r="P236" s="345"/>
      <c r="Q236" s="345"/>
      <c r="R236" s="345">
        <v>0</v>
      </c>
      <c r="S236" s="345">
        <v>63.4</v>
      </c>
      <c r="T236" s="345">
        <v>1994.3</v>
      </c>
      <c r="U236" s="345">
        <v>0</v>
      </c>
      <c r="V236" s="345">
        <v>68.099999999999994</v>
      </c>
      <c r="W236" s="345">
        <v>1969.1</v>
      </c>
      <c r="X236" s="345">
        <v>0</v>
      </c>
      <c r="Y236" s="345">
        <v>68.099999999999994</v>
      </c>
      <c r="Z236" s="345">
        <v>2018.2</v>
      </c>
      <c r="AA236">
        <f t="shared" si="3"/>
        <v>0</v>
      </c>
    </row>
    <row r="237" spans="1:27" ht="28.8" x14ac:dyDescent="0.3">
      <c r="A237" s="345" t="s">
        <v>1911</v>
      </c>
      <c r="B237" s="805"/>
      <c r="C237" s="802"/>
      <c r="D237" s="802"/>
      <c r="E237" s="803"/>
      <c r="F237" s="805">
        <v>68.3</v>
      </c>
      <c r="G237" s="803"/>
      <c r="H237" s="345">
        <v>2258.1</v>
      </c>
      <c r="I237" s="345">
        <v>0</v>
      </c>
      <c r="J237" s="345">
        <v>74</v>
      </c>
      <c r="K237" s="345">
        <v>2213.1999999999998</v>
      </c>
      <c r="L237" s="346"/>
      <c r="M237" s="346"/>
      <c r="N237" s="346"/>
      <c r="O237" s="345"/>
      <c r="P237" s="345"/>
      <c r="Q237" s="345"/>
      <c r="R237" s="345">
        <v>0</v>
      </c>
      <c r="S237" s="345">
        <v>63.4</v>
      </c>
      <c r="T237" s="345">
        <v>1994.3</v>
      </c>
      <c r="U237" s="345">
        <v>0</v>
      </c>
      <c r="V237" s="345">
        <v>68.099999999999994</v>
      </c>
      <c r="W237" s="345">
        <v>1969.1</v>
      </c>
      <c r="X237" s="345">
        <v>0</v>
      </c>
      <c r="Y237" s="345">
        <v>68.099999999999994</v>
      </c>
      <c r="Z237" s="345">
        <v>2018.2</v>
      </c>
      <c r="AA237">
        <f t="shared" si="3"/>
        <v>0</v>
      </c>
    </row>
    <row r="238" spans="1:27" ht="28.8" x14ac:dyDescent="0.3">
      <c r="A238" s="345" t="s">
        <v>1912</v>
      </c>
      <c r="B238" s="805"/>
      <c r="C238" s="802"/>
      <c r="D238" s="802"/>
      <c r="E238" s="803"/>
      <c r="F238" s="805">
        <v>68.3</v>
      </c>
      <c r="G238" s="803"/>
      <c r="H238" s="345">
        <v>2258.1</v>
      </c>
      <c r="I238" s="345">
        <v>0</v>
      </c>
      <c r="J238" s="345">
        <v>74</v>
      </c>
      <c r="K238" s="345">
        <v>2213.1999999999998</v>
      </c>
      <c r="L238" s="346"/>
      <c r="M238" s="346"/>
      <c r="N238" s="346"/>
      <c r="O238" s="345"/>
      <c r="P238" s="345"/>
      <c r="Q238" s="345"/>
      <c r="R238" s="345">
        <v>0</v>
      </c>
      <c r="S238" s="345">
        <v>63.4</v>
      </c>
      <c r="T238" s="345">
        <v>1994.3</v>
      </c>
      <c r="U238" s="345">
        <v>0</v>
      </c>
      <c r="V238" s="345">
        <v>68.099999999999994</v>
      </c>
      <c r="W238" s="345">
        <v>1969.1</v>
      </c>
      <c r="X238" s="345">
        <v>0</v>
      </c>
      <c r="Y238" s="345">
        <v>68.099999999999994</v>
      </c>
      <c r="Z238" s="345">
        <v>2018.2</v>
      </c>
      <c r="AA238">
        <f t="shared" si="3"/>
        <v>0</v>
      </c>
    </row>
    <row r="239" spans="1:27" ht="28.8" x14ac:dyDescent="0.3">
      <c r="A239" s="345" t="s">
        <v>1913</v>
      </c>
      <c r="B239" s="805"/>
      <c r="C239" s="802"/>
      <c r="D239" s="802"/>
      <c r="E239" s="803"/>
      <c r="F239" s="805">
        <v>90.3</v>
      </c>
      <c r="G239" s="803"/>
      <c r="H239" s="345">
        <v>2280.1</v>
      </c>
      <c r="I239" s="345">
        <v>26</v>
      </c>
      <c r="J239" s="345">
        <v>100</v>
      </c>
      <c r="K239" s="345">
        <v>2239.1999999999998</v>
      </c>
      <c r="L239" s="346"/>
      <c r="M239" s="346"/>
      <c r="N239" s="346"/>
      <c r="O239" s="345"/>
      <c r="P239" s="345"/>
      <c r="Q239" s="345"/>
      <c r="R239" s="345">
        <v>0</v>
      </c>
      <c r="S239" s="345">
        <v>63.4</v>
      </c>
      <c r="T239" s="345">
        <v>1994.3</v>
      </c>
      <c r="U239" s="345">
        <v>19</v>
      </c>
      <c r="V239" s="345">
        <v>87.1</v>
      </c>
      <c r="W239" s="345">
        <v>1988.1</v>
      </c>
      <c r="X239" s="345">
        <v>16.5</v>
      </c>
      <c r="Y239" s="345">
        <v>84.6</v>
      </c>
      <c r="Z239" s="345">
        <v>2034.7</v>
      </c>
      <c r="AA239">
        <f t="shared" si="3"/>
        <v>26</v>
      </c>
    </row>
    <row r="240" spans="1:27" ht="28.8" x14ac:dyDescent="0.3">
      <c r="A240" s="345" t="s">
        <v>1914</v>
      </c>
      <c r="B240" s="805"/>
      <c r="C240" s="802"/>
      <c r="D240" s="802"/>
      <c r="E240" s="803"/>
      <c r="F240" s="805">
        <v>93.3</v>
      </c>
      <c r="G240" s="803"/>
      <c r="H240" s="345">
        <v>2283.1</v>
      </c>
      <c r="I240" s="345">
        <v>4.5</v>
      </c>
      <c r="J240" s="345">
        <v>104.5</v>
      </c>
      <c r="K240" s="345">
        <v>2243.6999999999998</v>
      </c>
      <c r="L240" s="346"/>
      <c r="M240" s="346"/>
      <c r="N240" s="346"/>
      <c r="O240" s="345"/>
      <c r="P240" s="345"/>
      <c r="Q240" s="345"/>
      <c r="R240" s="345">
        <v>2.4</v>
      </c>
      <c r="S240" s="345">
        <v>65.8</v>
      </c>
      <c r="T240" s="345">
        <v>1996.7</v>
      </c>
      <c r="U240" s="345">
        <v>3</v>
      </c>
      <c r="V240" s="345">
        <v>90.1</v>
      </c>
      <c r="W240" s="345">
        <v>1991.1</v>
      </c>
      <c r="X240" s="345">
        <v>3.5</v>
      </c>
      <c r="Y240" s="345">
        <v>88.1</v>
      </c>
      <c r="Z240" s="345">
        <v>2038.2</v>
      </c>
      <c r="AA240">
        <f t="shared" si="3"/>
        <v>4.5</v>
      </c>
    </row>
    <row r="241" spans="1:27" ht="28.8" x14ac:dyDescent="0.3">
      <c r="A241" s="345" t="s">
        <v>1915</v>
      </c>
      <c r="B241" s="805"/>
      <c r="C241" s="802"/>
      <c r="D241" s="802"/>
      <c r="E241" s="803"/>
      <c r="F241" s="805">
        <v>94.3</v>
      </c>
      <c r="G241" s="803"/>
      <c r="H241" s="345">
        <v>2284.1</v>
      </c>
      <c r="I241" s="345">
        <v>1</v>
      </c>
      <c r="J241" s="345">
        <v>105.5</v>
      </c>
      <c r="K241" s="345">
        <v>2244.6999999999998</v>
      </c>
      <c r="L241" s="346"/>
      <c r="M241" s="346"/>
      <c r="N241" s="346"/>
      <c r="O241" s="345"/>
      <c r="P241" s="345"/>
      <c r="Q241" s="345"/>
      <c r="R241" s="345">
        <v>2</v>
      </c>
      <c r="S241" s="345">
        <v>67.8</v>
      </c>
      <c r="T241" s="345">
        <v>1998.7</v>
      </c>
      <c r="U241" s="345">
        <v>2.5</v>
      </c>
      <c r="V241" s="345">
        <v>92.6</v>
      </c>
      <c r="W241" s="345">
        <v>1993.6</v>
      </c>
      <c r="X241" s="345">
        <v>2</v>
      </c>
      <c r="Y241" s="345">
        <v>90.1</v>
      </c>
      <c r="Z241" s="345">
        <v>2040.2</v>
      </c>
      <c r="AA241">
        <f t="shared" si="3"/>
        <v>1</v>
      </c>
    </row>
    <row r="242" spans="1:27" ht="28.8" x14ac:dyDescent="0.3">
      <c r="A242" s="345" t="s">
        <v>1916</v>
      </c>
      <c r="B242" s="805"/>
      <c r="C242" s="802"/>
      <c r="D242" s="802"/>
      <c r="E242" s="803"/>
      <c r="F242" s="805">
        <v>94.3</v>
      </c>
      <c r="G242" s="803"/>
      <c r="H242" s="345">
        <v>2284.1</v>
      </c>
      <c r="I242" s="345">
        <v>0</v>
      </c>
      <c r="J242" s="345">
        <v>105.5</v>
      </c>
      <c r="K242" s="345">
        <v>2244.6999999999998</v>
      </c>
      <c r="L242" s="346"/>
      <c r="M242" s="346"/>
      <c r="N242" s="346"/>
      <c r="O242" s="345"/>
      <c r="P242" s="345"/>
      <c r="Q242" s="345"/>
      <c r="R242" s="345">
        <v>0</v>
      </c>
      <c r="S242" s="345">
        <v>67.8</v>
      </c>
      <c r="T242" s="345">
        <v>1998.7</v>
      </c>
      <c r="U242" s="345"/>
      <c r="V242" s="345"/>
      <c r="W242" s="345"/>
      <c r="X242" s="345"/>
      <c r="Y242" s="345"/>
      <c r="Z242" s="345"/>
      <c r="AA242">
        <f t="shared" si="3"/>
        <v>0</v>
      </c>
    </row>
    <row r="243" spans="1:27" ht="28.8" x14ac:dyDescent="0.3">
      <c r="A243" s="345" t="s">
        <v>1917</v>
      </c>
      <c r="B243" s="805"/>
      <c r="C243" s="802"/>
      <c r="D243" s="802"/>
      <c r="E243" s="803"/>
      <c r="F243" s="805">
        <v>94.3</v>
      </c>
      <c r="G243" s="803"/>
      <c r="H243" s="345">
        <v>2284.1</v>
      </c>
      <c r="I243" s="345">
        <v>0</v>
      </c>
      <c r="J243" s="345">
        <v>105.5</v>
      </c>
      <c r="K243" s="345">
        <v>2244.6999999999998</v>
      </c>
      <c r="L243" s="346"/>
      <c r="M243" s="346"/>
      <c r="N243" s="346"/>
      <c r="O243" s="345"/>
      <c r="P243" s="345"/>
      <c r="Q243" s="345"/>
      <c r="R243" s="345">
        <v>0</v>
      </c>
      <c r="S243" s="345">
        <v>67.8</v>
      </c>
      <c r="T243" s="345">
        <v>1998.7</v>
      </c>
      <c r="U243" s="345">
        <v>0</v>
      </c>
      <c r="V243" s="345">
        <v>92.6</v>
      </c>
      <c r="W243" s="345">
        <v>1993.6</v>
      </c>
      <c r="X243" s="345">
        <v>0</v>
      </c>
      <c r="Y243" s="345">
        <v>90.1</v>
      </c>
      <c r="Z243" s="345">
        <v>2040.2</v>
      </c>
      <c r="AA243">
        <f t="shared" si="3"/>
        <v>0</v>
      </c>
    </row>
    <row r="244" spans="1:27" ht="28.8" x14ac:dyDescent="0.3">
      <c r="A244" s="345" t="s">
        <v>1918</v>
      </c>
      <c r="B244" s="805"/>
      <c r="C244" s="802"/>
      <c r="D244" s="802"/>
      <c r="E244" s="803"/>
      <c r="F244" s="805">
        <v>94.3</v>
      </c>
      <c r="G244" s="803"/>
      <c r="H244" s="345">
        <v>2284.1</v>
      </c>
      <c r="I244" s="345">
        <v>0</v>
      </c>
      <c r="J244" s="345">
        <v>105.5</v>
      </c>
      <c r="K244" s="345">
        <v>2244.6999999999998</v>
      </c>
      <c r="L244" s="346"/>
      <c r="M244" s="346"/>
      <c r="N244" s="346"/>
      <c r="O244" s="345"/>
      <c r="P244" s="345"/>
      <c r="Q244" s="345"/>
      <c r="R244" s="345">
        <v>0</v>
      </c>
      <c r="S244" s="345">
        <v>67.8</v>
      </c>
      <c r="T244" s="345">
        <v>1998.7</v>
      </c>
      <c r="U244" s="345">
        <v>0.5</v>
      </c>
      <c r="V244" s="345">
        <v>93.1</v>
      </c>
      <c r="W244" s="345">
        <v>1994.1</v>
      </c>
      <c r="X244" s="345">
        <v>0.5</v>
      </c>
      <c r="Y244" s="345">
        <v>90.6</v>
      </c>
      <c r="Z244" s="345">
        <v>2040.7</v>
      </c>
      <c r="AA244">
        <f t="shared" si="3"/>
        <v>0</v>
      </c>
    </row>
    <row r="245" spans="1:27" s="362" customFormat="1" ht="28.8" x14ac:dyDescent="0.3">
      <c r="A245" s="359" t="s">
        <v>1919</v>
      </c>
      <c r="B245" s="811"/>
      <c r="C245" s="812"/>
      <c r="D245" s="812"/>
      <c r="E245" s="813"/>
      <c r="F245" s="811">
        <v>94.3</v>
      </c>
      <c r="G245" s="813"/>
      <c r="H245" s="359">
        <v>2284.1</v>
      </c>
      <c r="I245" s="359">
        <v>0.1</v>
      </c>
      <c r="J245" s="359">
        <v>105.6</v>
      </c>
      <c r="K245" s="359">
        <v>2244.8000000000002</v>
      </c>
      <c r="L245" s="359"/>
      <c r="M245" s="359"/>
      <c r="N245" s="359"/>
      <c r="O245" s="359"/>
      <c r="P245" s="359"/>
      <c r="Q245" s="359"/>
      <c r="R245" s="359">
        <v>0.2</v>
      </c>
      <c r="S245" s="359">
        <v>68</v>
      </c>
      <c r="T245" s="359">
        <v>1998.9</v>
      </c>
      <c r="U245" s="359">
        <v>0.1</v>
      </c>
      <c r="V245" s="359">
        <v>93.2</v>
      </c>
      <c r="W245" s="359">
        <v>1994.2</v>
      </c>
      <c r="X245" s="359">
        <v>0</v>
      </c>
      <c r="Y245" s="359">
        <v>90.6</v>
      </c>
      <c r="Z245" s="359">
        <v>2040.7</v>
      </c>
      <c r="AA245" s="362">
        <f t="shared" si="3"/>
        <v>0.1</v>
      </c>
    </row>
    <row r="246" spans="1:27" ht="28.8" x14ac:dyDescent="0.3">
      <c r="A246" s="345" t="s">
        <v>1920</v>
      </c>
      <c r="B246" s="805"/>
      <c r="C246" s="802"/>
      <c r="D246" s="802"/>
      <c r="E246" s="803"/>
      <c r="F246" s="805">
        <v>0</v>
      </c>
      <c r="G246" s="803"/>
      <c r="H246" s="345">
        <v>2284.1</v>
      </c>
      <c r="I246" s="345">
        <v>0</v>
      </c>
      <c r="J246" s="345">
        <v>0</v>
      </c>
      <c r="K246" s="345">
        <v>2244.8000000000002</v>
      </c>
      <c r="L246" s="346"/>
      <c r="M246" s="346"/>
      <c r="N246" s="346"/>
      <c r="O246" s="345"/>
      <c r="P246" s="345"/>
      <c r="Q246" s="345"/>
      <c r="R246" s="345">
        <v>0</v>
      </c>
      <c r="S246" s="345">
        <v>0</v>
      </c>
      <c r="T246" s="345">
        <v>1998.9</v>
      </c>
      <c r="U246" s="345">
        <v>0</v>
      </c>
      <c r="V246" s="345">
        <v>0</v>
      </c>
      <c r="W246" s="345">
        <v>1994.2</v>
      </c>
      <c r="X246" s="345">
        <v>0</v>
      </c>
      <c r="Y246" s="345">
        <v>0</v>
      </c>
      <c r="Z246" s="345">
        <v>2040.7</v>
      </c>
      <c r="AA246">
        <f t="shared" si="3"/>
        <v>0</v>
      </c>
    </row>
    <row r="247" spans="1:27" ht="28.8" x14ac:dyDescent="0.3">
      <c r="A247" s="345" t="s">
        <v>1921</v>
      </c>
      <c r="B247" s="805"/>
      <c r="C247" s="802"/>
      <c r="D247" s="802"/>
      <c r="E247" s="803"/>
      <c r="F247" s="805">
        <v>0.5</v>
      </c>
      <c r="G247" s="803"/>
      <c r="H247" s="345">
        <v>2284.6</v>
      </c>
      <c r="I247" s="345">
        <v>1</v>
      </c>
      <c r="J247" s="345">
        <v>1</v>
      </c>
      <c r="K247" s="345">
        <v>2245.8000000000002</v>
      </c>
      <c r="L247" s="346"/>
      <c r="M247" s="346"/>
      <c r="N247" s="346"/>
      <c r="O247" s="345"/>
      <c r="P247" s="345"/>
      <c r="Q247" s="345"/>
      <c r="R247" s="345">
        <v>0.6</v>
      </c>
      <c r="S247" s="345">
        <v>0.6</v>
      </c>
      <c r="T247" s="345">
        <v>1999.5</v>
      </c>
      <c r="U247" s="345">
        <v>1</v>
      </c>
      <c r="V247" s="345">
        <v>1</v>
      </c>
      <c r="W247" s="345">
        <v>1995.2</v>
      </c>
      <c r="X247" s="345">
        <v>1.5</v>
      </c>
      <c r="Y247" s="345">
        <v>1.5</v>
      </c>
      <c r="Z247" s="345">
        <v>2042.2</v>
      </c>
      <c r="AA247">
        <f t="shared" si="3"/>
        <v>1</v>
      </c>
    </row>
    <row r="248" spans="1:27" ht="28.8" x14ac:dyDescent="0.3">
      <c r="A248" s="345" t="s">
        <v>1922</v>
      </c>
      <c r="B248" s="805"/>
      <c r="C248" s="802"/>
      <c r="D248" s="802"/>
      <c r="E248" s="803"/>
      <c r="F248" s="805">
        <v>0.8</v>
      </c>
      <c r="G248" s="803"/>
      <c r="H248" s="345">
        <v>2284.9</v>
      </c>
      <c r="I248" s="345">
        <v>0.5</v>
      </c>
      <c r="J248" s="345">
        <v>1.5</v>
      </c>
      <c r="K248" s="345">
        <v>2246.3000000000002</v>
      </c>
      <c r="L248" s="346"/>
      <c r="M248" s="346"/>
      <c r="N248" s="346"/>
      <c r="O248" s="345"/>
      <c r="P248" s="345"/>
      <c r="Q248" s="345"/>
      <c r="R248" s="345">
        <v>0.2</v>
      </c>
      <c r="S248" s="345">
        <v>0.8</v>
      </c>
      <c r="T248" s="345">
        <v>1999.7</v>
      </c>
      <c r="U248" s="345">
        <v>0</v>
      </c>
      <c r="V248" s="345">
        <v>1</v>
      </c>
      <c r="W248" s="345">
        <v>1995.2</v>
      </c>
      <c r="X248" s="345">
        <v>0.5</v>
      </c>
      <c r="Y248" s="345">
        <v>2</v>
      </c>
      <c r="Z248" s="345">
        <v>2042.7</v>
      </c>
      <c r="AA248">
        <f t="shared" si="3"/>
        <v>0.5</v>
      </c>
    </row>
    <row r="249" spans="1:27" ht="28.8" x14ac:dyDescent="0.3">
      <c r="A249" s="345" t="s">
        <v>1923</v>
      </c>
      <c r="B249" s="805"/>
      <c r="C249" s="802"/>
      <c r="D249" s="802"/>
      <c r="E249" s="803"/>
      <c r="F249" s="805">
        <v>0.8</v>
      </c>
      <c r="G249" s="803"/>
      <c r="H249" s="345">
        <v>2284.9</v>
      </c>
      <c r="I249" s="345">
        <v>0</v>
      </c>
      <c r="J249" s="345">
        <v>1.5</v>
      </c>
      <c r="K249" s="345">
        <v>2246.3000000000002</v>
      </c>
      <c r="L249" s="346"/>
      <c r="M249" s="346"/>
      <c r="N249" s="346"/>
      <c r="O249" s="345"/>
      <c r="P249" s="345"/>
      <c r="Q249" s="345"/>
      <c r="R249" s="345">
        <v>0</v>
      </c>
      <c r="S249" s="345">
        <v>0.8</v>
      </c>
      <c r="T249" s="345">
        <v>1999.7</v>
      </c>
      <c r="U249" s="345">
        <v>0</v>
      </c>
      <c r="V249" s="345">
        <v>1</v>
      </c>
      <c r="W249" s="345">
        <v>1995.2</v>
      </c>
      <c r="X249" s="345">
        <v>0</v>
      </c>
      <c r="Y249" s="345">
        <v>2</v>
      </c>
      <c r="Z249" s="345">
        <v>2042.7</v>
      </c>
      <c r="AA249">
        <f t="shared" si="3"/>
        <v>0</v>
      </c>
    </row>
    <row r="250" spans="1:27" ht="28.8" x14ac:dyDescent="0.3">
      <c r="A250" s="345" t="s">
        <v>1924</v>
      </c>
      <c r="B250" s="805"/>
      <c r="C250" s="802"/>
      <c r="D250" s="802"/>
      <c r="E250" s="803"/>
      <c r="F250" s="805">
        <v>16.8</v>
      </c>
      <c r="G250" s="803"/>
      <c r="H250" s="345">
        <v>2300.9</v>
      </c>
      <c r="I250" s="345">
        <v>10.5</v>
      </c>
      <c r="J250" s="345">
        <v>12</v>
      </c>
      <c r="K250" s="345">
        <v>2256.8000000000002</v>
      </c>
      <c r="L250" s="346"/>
      <c r="M250" s="346"/>
      <c r="N250" s="346"/>
      <c r="O250" s="345"/>
      <c r="P250" s="345"/>
      <c r="Q250" s="345"/>
      <c r="R250" s="345">
        <v>10.199999999999999</v>
      </c>
      <c r="S250" s="345">
        <v>11</v>
      </c>
      <c r="T250" s="345">
        <v>2009.9</v>
      </c>
      <c r="U250" s="345">
        <v>12</v>
      </c>
      <c r="V250" s="345">
        <v>13</v>
      </c>
      <c r="W250" s="345">
        <v>2007.2</v>
      </c>
      <c r="X250" s="345">
        <v>14.5</v>
      </c>
      <c r="Y250" s="345">
        <v>16.5</v>
      </c>
      <c r="Z250" s="345">
        <v>2057.1999999999998</v>
      </c>
      <c r="AA250">
        <f t="shared" si="3"/>
        <v>10.5</v>
      </c>
    </row>
    <row r="251" spans="1:27" ht="28.8" x14ac:dyDescent="0.3">
      <c r="A251" s="345" t="s">
        <v>1925</v>
      </c>
      <c r="B251" s="805"/>
      <c r="C251" s="802"/>
      <c r="D251" s="802"/>
      <c r="E251" s="803"/>
      <c r="F251" s="805">
        <v>29.3</v>
      </c>
      <c r="G251" s="803"/>
      <c r="H251" s="345">
        <v>2313.4</v>
      </c>
      <c r="I251" s="345">
        <v>11</v>
      </c>
      <c r="J251" s="345">
        <v>23</v>
      </c>
      <c r="K251" s="345">
        <v>2267.8000000000002</v>
      </c>
      <c r="L251" s="346"/>
      <c r="M251" s="346"/>
      <c r="N251" s="346"/>
      <c r="O251" s="345"/>
      <c r="P251" s="345"/>
      <c r="Q251" s="345"/>
      <c r="R251" s="345">
        <v>9.6</v>
      </c>
      <c r="S251" s="345">
        <v>20.6</v>
      </c>
      <c r="T251" s="345">
        <v>2019.5</v>
      </c>
      <c r="U251" s="345">
        <v>12</v>
      </c>
      <c r="V251" s="345">
        <v>25</v>
      </c>
      <c r="W251" s="345">
        <v>2019.2</v>
      </c>
      <c r="X251" s="345">
        <v>11.5</v>
      </c>
      <c r="Y251" s="345">
        <v>28</v>
      </c>
      <c r="Z251" s="345">
        <v>2068.6999999999998</v>
      </c>
      <c r="AA251">
        <f t="shared" si="3"/>
        <v>11</v>
      </c>
    </row>
    <row r="252" spans="1:27" ht="28.8" x14ac:dyDescent="0.3">
      <c r="A252" s="345" t="s">
        <v>1926</v>
      </c>
      <c r="B252" s="805"/>
      <c r="C252" s="802"/>
      <c r="D252" s="802"/>
      <c r="E252" s="803"/>
      <c r="F252" s="805">
        <v>29.3</v>
      </c>
      <c r="G252" s="803"/>
      <c r="H252" s="345">
        <v>2313.4</v>
      </c>
      <c r="I252" s="345">
        <v>0.1</v>
      </c>
      <c r="J252" s="345">
        <v>23.1</v>
      </c>
      <c r="K252" s="345">
        <v>2267.9</v>
      </c>
      <c r="L252" s="346"/>
      <c r="M252" s="346"/>
      <c r="N252" s="346"/>
      <c r="O252" s="345"/>
      <c r="P252" s="345"/>
      <c r="Q252" s="345"/>
      <c r="R252" s="345">
        <v>0.2</v>
      </c>
      <c r="S252" s="345">
        <v>20.8</v>
      </c>
      <c r="T252" s="345">
        <v>2019.7</v>
      </c>
      <c r="U252" s="345">
        <v>0</v>
      </c>
      <c r="V252" s="345">
        <v>25</v>
      </c>
      <c r="W252" s="345">
        <v>2019.2</v>
      </c>
      <c r="X252" s="345">
        <v>0.1</v>
      </c>
      <c r="Y252" s="345">
        <v>28.1</v>
      </c>
      <c r="Z252" s="345">
        <v>2068.8000000000002</v>
      </c>
      <c r="AA252">
        <f t="shared" si="3"/>
        <v>0.1</v>
      </c>
    </row>
    <row r="253" spans="1:27" ht="28.8" x14ac:dyDescent="0.3">
      <c r="A253" s="345" t="s">
        <v>1927</v>
      </c>
      <c r="B253" s="805"/>
      <c r="C253" s="802"/>
      <c r="D253" s="802"/>
      <c r="E253" s="803"/>
      <c r="F253" s="805">
        <v>29.3</v>
      </c>
      <c r="G253" s="803"/>
      <c r="H253" s="345">
        <v>2313.4</v>
      </c>
      <c r="I253" s="345">
        <v>0</v>
      </c>
      <c r="J253" s="345">
        <v>23.1</v>
      </c>
      <c r="K253" s="345">
        <v>2267.9</v>
      </c>
      <c r="L253" s="346"/>
      <c r="M253" s="346"/>
      <c r="N253" s="346"/>
      <c r="O253" s="345"/>
      <c r="P253" s="345"/>
      <c r="Q253" s="345"/>
      <c r="R253" s="345">
        <v>0</v>
      </c>
      <c r="S253" s="345">
        <v>20.8</v>
      </c>
      <c r="T253" s="345">
        <v>2019.7</v>
      </c>
      <c r="U253" s="345">
        <v>0</v>
      </c>
      <c r="V253" s="345">
        <v>25</v>
      </c>
      <c r="W253" s="345">
        <v>2019.2</v>
      </c>
      <c r="X253" s="345">
        <v>0</v>
      </c>
      <c r="Y253" s="345">
        <v>28.1</v>
      </c>
      <c r="Z253" s="345">
        <v>2068.8000000000002</v>
      </c>
      <c r="AA253">
        <f t="shared" si="3"/>
        <v>0</v>
      </c>
    </row>
    <row r="254" spans="1:27" ht="28.8" x14ac:dyDescent="0.3">
      <c r="A254" s="345" t="s">
        <v>1928</v>
      </c>
      <c r="B254" s="805"/>
      <c r="C254" s="802"/>
      <c r="D254" s="802"/>
      <c r="E254" s="803"/>
      <c r="F254" s="805">
        <v>33.799999999999997</v>
      </c>
      <c r="G254" s="803"/>
      <c r="H254" s="345">
        <v>2317.9</v>
      </c>
      <c r="I254" s="345">
        <v>3.5</v>
      </c>
      <c r="J254" s="345">
        <v>26.6</v>
      </c>
      <c r="K254" s="345">
        <v>2271.4</v>
      </c>
      <c r="L254" s="346"/>
      <c r="M254" s="346"/>
      <c r="N254" s="346"/>
      <c r="O254" s="345"/>
      <c r="P254" s="345"/>
      <c r="Q254" s="345"/>
      <c r="R254" s="345">
        <v>4.5999999999999996</v>
      </c>
      <c r="S254" s="345">
        <v>25.4</v>
      </c>
      <c r="T254" s="345">
        <v>2024.3</v>
      </c>
      <c r="U254" s="345">
        <v>3.5</v>
      </c>
      <c r="V254" s="345">
        <v>28.5</v>
      </c>
      <c r="W254" s="345">
        <v>2022.7</v>
      </c>
      <c r="X254" s="345">
        <v>4.5</v>
      </c>
      <c r="Y254" s="345">
        <v>32.6</v>
      </c>
      <c r="Z254" s="345">
        <v>2073.3000000000002</v>
      </c>
      <c r="AA254">
        <f t="shared" si="3"/>
        <v>3.5</v>
      </c>
    </row>
    <row r="255" spans="1:27" ht="28.8" x14ac:dyDescent="0.3">
      <c r="A255" s="345" t="s">
        <v>1929</v>
      </c>
      <c r="B255" s="805"/>
      <c r="C255" s="802"/>
      <c r="D255" s="802"/>
      <c r="E255" s="803"/>
      <c r="F255" s="805">
        <v>33.799999999999997</v>
      </c>
      <c r="G255" s="803"/>
      <c r="H255" s="345">
        <v>2317.9</v>
      </c>
      <c r="I255" s="345">
        <v>0.5</v>
      </c>
      <c r="J255" s="345">
        <v>27.1</v>
      </c>
      <c r="K255" s="345">
        <v>2271.9</v>
      </c>
      <c r="L255" s="346"/>
      <c r="M255" s="346"/>
      <c r="N255" s="346"/>
      <c r="O255" s="345"/>
      <c r="P255" s="345"/>
      <c r="Q255" s="345"/>
      <c r="R255" s="345">
        <v>1.4</v>
      </c>
      <c r="S255" s="345">
        <v>26.8</v>
      </c>
      <c r="T255" s="345">
        <v>2025.7</v>
      </c>
      <c r="U255" s="345">
        <v>0</v>
      </c>
      <c r="V255" s="345">
        <v>28.5</v>
      </c>
      <c r="W255" s="345">
        <v>2022.7</v>
      </c>
      <c r="X255" s="345">
        <v>0</v>
      </c>
      <c r="Y255" s="345">
        <v>32.6</v>
      </c>
      <c r="Z255" s="345">
        <v>2073.3000000000002</v>
      </c>
      <c r="AA255">
        <f t="shared" si="3"/>
        <v>0.5</v>
      </c>
    </row>
    <row r="256" spans="1:27" ht="28.8" x14ac:dyDescent="0.3">
      <c r="A256" s="345" t="s">
        <v>1930</v>
      </c>
      <c r="B256" s="805"/>
      <c r="C256" s="802"/>
      <c r="D256" s="802"/>
      <c r="E256" s="803"/>
      <c r="F256" s="805">
        <v>33.799999999999997</v>
      </c>
      <c r="G256" s="803"/>
      <c r="H256" s="345">
        <v>2317.9</v>
      </c>
      <c r="I256" s="345">
        <v>0</v>
      </c>
      <c r="J256" s="345">
        <v>27.1</v>
      </c>
      <c r="K256" s="345">
        <v>2271.9</v>
      </c>
      <c r="L256" s="346"/>
      <c r="M256" s="346"/>
      <c r="N256" s="346"/>
      <c r="O256" s="345"/>
      <c r="P256" s="345"/>
      <c r="Q256" s="345"/>
      <c r="R256" s="345">
        <v>0</v>
      </c>
      <c r="S256" s="345">
        <v>26.8</v>
      </c>
      <c r="T256" s="345">
        <v>2025.7</v>
      </c>
      <c r="U256" s="345">
        <v>0</v>
      </c>
      <c r="V256" s="345">
        <v>28.5</v>
      </c>
      <c r="W256" s="345">
        <v>2022.7</v>
      </c>
      <c r="X256" s="345">
        <v>0</v>
      </c>
      <c r="Y256" s="345">
        <v>32.6</v>
      </c>
      <c r="Z256" s="345">
        <v>2073.3000000000002</v>
      </c>
      <c r="AA256">
        <f t="shared" si="3"/>
        <v>0</v>
      </c>
    </row>
    <row r="257" spans="1:27" ht="28.8" x14ac:dyDescent="0.3">
      <c r="A257" s="345" t="s">
        <v>1931</v>
      </c>
      <c r="B257" s="805"/>
      <c r="C257" s="802"/>
      <c r="D257" s="802"/>
      <c r="E257" s="803"/>
      <c r="F257" s="805">
        <v>33.799999999999997</v>
      </c>
      <c r="G257" s="803"/>
      <c r="H257" s="345">
        <v>2317.9</v>
      </c>
      <c r="I257" s="345">
        <v>0</v>
      </c>
      <c r="J257" s="345">
        <v>27.1</v>
      </c>
      <c r="K257" s="345">
        <v>2271.9</v>
      </c>
      <c r="L257" s="346"/>
      <c r="M257" s="346"/>
      <c r="N257" s="346"/>
      <c r="O257" s="345"/>
      <c r="P257" s="345"/>
      <c r="Q257" s="345"/>
      <c r="R257" s="345">
        <v>0</v>
      </c>
      <c r="S257" s="345">
        <v>26.8</v>
      </c>
      <c r="T257" s="345">
        <v>2025.7</v>
      </c>
      <c r="U257" s="345">
        <v>0</v>
      </c>
      <c r="V257" s="345">
        <v>28.5</v>
      </c>
      <c r="W257" s="345">
        <v>2022.7</v>
      </c>
      <c r="X257" s="345">
        <v>0</v>
      </c>
      <c r="Y257" s="345">
        <v>32.6</v>
      </c>
      <c r="Z257" s="345">
        <v>2073.3000000000002</v>
      </c>
      <c r="AA257">
        <f t="shared" si="3"/>
        <v>0</v>
      </c>
    </row>
    <row r="258" spans="1:27" ht="28.8" x14ac:dyDescent="0.3">
      <c r="A258" s="345" t="s">
        <v>1932</v>
      </c>
      <c r="B258" s="805"/>
      <c r="C258" s="802"/>
      <c r="D258" s="802"/>
      <c r="E258" s="803"/>
      <c r="F258" s="805">
        <v>33.799999999999997</v>
      </c>
      <c r="G258" s="803"/>
      <c r="H258" s="345">
        <v>2317.9</v>
      </c>
      <c r="I258" s="345">
        <v>0</v>
      </c>
      <c r="J258" s="345">
        <v>27.1</v>
      </c>
      <c r="K258" s="345">
        <v>2271.9</v>
      </c>
      <c r="L258" s="346"/>
      <c r="M258" s="346"/>
      <c r="N258" s="346"/>
      <c r="O258" s="345"/>
      <c r="P258" s="345"/>
      <c r="Q258" s="345"/>
      <c r="R258" s="345">
        <v>0</v>
      </c>
      <c r="S258" s="345">
        <v>26.8</v>
      </c>
      <c r="T258" s="345">
        <v>2025.7</v>
      </c>
      <c r="U258" s="345">
        <v>0</v>
      </c>
      <c r="V258" s="345">
        <v>28.5</v>
      </c>
      <c r="W258" s="345">
        <v>2022.7</v>
      </c>
      <c r="X258" s="345">
        <v>0</v>
      </c>
      <c r="Y258" s="345">
        <v>32.6</v>
      </c>
      <c r="Z258" s="345">
        <v>2073.3000000000002</v>
      </c>
      <c r="AA258">
        <f t="shared" si="3"/>
        <v>0</v>
      </c>
    </row>
    <row r="259" spans="1:27" ht="28.8" x14ac:dyDescent="0.3">
      <c r="A259" s="345" t="s">
        <v>1933</v>
      </c>
      <c r="B259" s="805"/>
      <c r="C259" s="802"/>
      <c r="D259" s="802"/>
      <c r="E259" s="803"/>
      <c r="F259" s="805">
        <v>33.799999999999997</v>
      </c>
      <c r="G259" s="803"/>
      <c r="H259" s="345">
        <v>2317.9</v>
      </c>
      <c r="I259" s="345">
        <v>0</v>
      </c>
      <c r="J259" s="345">
        <v>27.1</v>
      </c>
      <c r="K259" s="345">
        <v>2271.9</v>
      </c>
      <c r="L259" s="346"/>
      <c r="M259" s="346"/>
      <c r="N259" s="346"/>
      <c r="O259" s="345"/>
      <c r="P259" s="345"/>
      <c r="Q259" s="345"/>
      <c r="R259" s="345">
        <v>0</v>
      </c>
      <c r="S259" s="345">
        <v>26.8</v>
      </c>
      <c r="T259" s="345">
        <v>2025.7</v>
      </c>
      <c r="U259" s="345">
        <v>0</v>
      </c>
      <c r="V259" s="345">
        <v>28.5</v>
      </c>
      <c r="W259" s="345">
        <v>2022.7</v>
      </c>
      <c r="X259" s="345">
        <v>0</v>
      </c>
      <c r="Y259" s="345">
        <v>32.6</v>
      </c>
      <c r="Z259" s="345">
        <v>2073.3000000000002</v>
      </c>
      <c r="AA259">
        <f t="shared" si="3"/>
        <v>0</v>
      </c>
    </row>
    <row r="260" spans="1:27" ht="28.8" x14ac:dyDescent="0.3">
      <c r="A260" s="345" t="s">
        <v>1934</v>
      </c>
      <c r="B260" s="805"/>
      <c r="C260" s="802"/>
      <c r="D260" s="802"/>
      <c r="E260" s="803"/>
      <c r="F260" s="805">
        <v>33.799999999999997</v>
      </c>
      <c r="G260" s="803"/>
      <c r="H260" s="345">
        <v>2317.9</v>
      </c>
      <c r="I260" s="345">
        <v>0</v>
      </c>
      <c r="J260" s="345">
        <v>27.1</v>
      </c>
      <c r="K260" s="345">
        <v>2271.9</v>
      </c>
      <c r="L260" s="346"/>
      <c r="M260" s="346"/>
      <c r="N260" s="346"/>
      <c r="O260" s="345"/>
      <c r="P260" s="345"/>
      <c r="Q260" s="345"/>
      <c r="R260" s="345">
        <v>0</v>
      </c>
      <c r="S260" s="345">
        <v>26.8</v>
      </c>
      <c r="T260" s="345">
        <v>2025.7</v>
      </c>
      <c r="U260" s="345">
        <v>0</v>
      </c>
      <c r="V260" s="345">
        <v>28.5</v>
      </c>
      <c r="W260" s="345">
        <v>2022.7</v>
      </c>
      <c r="X260" s="345">
        <v>0</v>
      </c>
      <c r="Y260" s="345">
        <v>32.6</v>
      </c>
      <c r="Z260" s="345">
        <v>2073.3000000000002</v>
      </c>
      <c r="AA260">
        <f t="shared" si="3"/>
        <v>0</v>
      </c>
    </row>
    <row r="261" spans="1:27" ht="28.8" x14ac:dyDescent="0.3">
      <c r="A261" s="345" t="s">
        <v>1935</v>
      </c>
      <c r="B261" s="805"/>
      <c r="C261" s="802"/>
      <c r="D261" s="802"/>
      <c r="E261" s="803"/>
      <c r="F261" s="805">
        <v>33.799999999999997</v>
      </c>
      <c r="G261" s="803"/>
      <c r="H261" s="345">
        <v>2317.9</v>
      </c>
      <c r="I261" s="345">
        <v>0</v>
      </c>
      <c r="J261" s="345">
        <v>27.1</v>
      </c>
      <c r="K261" s="345">
        <v>2271.9</v>
      </c>
      <c r="L261" s="346"/>
      <c r="M261" s="346"/>
      <c r="N261" s="346"/>
      <c r="O261" s="345"/>
      <c r="P261" s="345"/>
      <c r="Q261" s="345"/>
      <c r="R261" s="345">
        <v>0.2</v>
      </c>
      <c r="S261" s="345">
        <v>27</v>
      </c>
      <c r="T261" s="345">
        <v>2025.9</v>
      </c>
      <c r="U261" s="345">
        <v>0</v>
      </c>
      <c r="V261" s="345">
        <v>28.5</v>
      </c>
      <c r="W261" s="345">
        <v>2022.7</v>
      </c>
      <c r="X261" s="345">
        <v>0</v>
      </c>
      <c r="Y261" s="345">
        <v>32.6</v>
      </c>
      <c r="Z261" s="345">
        <v>2073.3000000000002</v>
      </c>
      <c r="AA261">
        <f t="shared" ref="AA261:AA325" si="4">MAX(B261+I261+L261+O261)</f>
        <v>0</v>
      </c>
    </row>
    <row r="262" spans="1:27" ht="28.8" x14ac:dyDescent="0.3">
      <c r="A262" s="345" t="s">
        <v>1936</v>
      </c>
      <c r="B262" s="805"/>
      <c r="C262" s="802"/>
      <c r="D262" s="802"/>
      <c r="E262" s="803"/>
      <c r="F262" s="805">
        <v>55.8</v>
      </c>
      <c r="G262" s="803"/>
      <c r="H262" s="345">
        <v>2339.9</v>
      </c>
      <c r="I262" s="345">
        <v>13</v>
      </c>
      <c r="J262" s="345">
        <v>40.1</v>
      </c>
      <c r="K262" s="345">
        <v>2284.9</v>
      </c>
      <c r="L262" s="346"/>
      <c r="M262" s="346"/>
      <c r="N262" s="346"/>
      <c r="O262" s="345"/>
      <c r="P262" s="345"/>
      <c r="Q262" s="345"/>
      <c r="R262" s="345">
        <v>15</v>
      </c>
      <c r="S262" s="345">
        <v>42</v>
      </c>
      <c r="T262" s="345">
        <v>2040.9</v>
      </c>
      <c r="U262" s="345">
        <v>17</v>
      </c>
      <c r="V262" s="345">
        <v>45.5</v>
      </c>
      <c r="W262" s="345">
        <v>2039.7</v>
      </c>
      <c r="X262" s="345">
        <v>16</v>
      </c>
      <c r="Y262" s="345">
        <v>48.6</v>
      </c>
      <c r="Z262" s="345">
        <v>2089.3000000000002</v>
      </c>
      <c r="AA262">
        <f t="shared" si="4"/>
        <v>13</v>
      </c>
    </row>
    <row r="263" spans="1:27" ht="28.8" x14ac:dyDescent="0.3">
      <c r="A263" s="345" t="s">
        <v>1937</v>
      </c>
      <c r="B263" s="805"/>
      <c r="C263" s="802"/>
      <c r="D263" s="802"/>
      <c r="E263" s="803"/>
      <c r="F263" s="805">
        <v>55.9</v>
      </c>
      <c r="G263" s="803"/>
      <c r="H263" s="345">
        <v>2340</v>
      </c>
      <c r="I263" s="345">
        <v>0.3</v>
      </c>
      <c r="J263" s="345">
        <v>40.4</v>
      </c>
      <c r="K263" s="345">
        <v>2285.1999999999998</v>
      </c>
      <c r="L263" s="346"/>
      <c r="M263" s="346"/>
      <c r="N263" s="346"/>
      <c r="O263" s="345"/>
      <c r="P263" s="345"/>
      <c r="Q263" s="345"/>
      <c r="R263" s="345">
        <v>0.2</v>
      </c>
      <c r="S263" s="345">
        <v>42.2</v>
      </c>
      <c r="T263" s="345">
        <v>2041.1</v>
      </c>
      <c r="U263" s="345">
        <v>0.5</v>
      </c>
      <c r="V263" s="345">
        <v>46</v>
      </c>
      <c r="W263" s="345">
        <v>2040.2</v>
      </c>
      <c r="X263" s="345">
        <v>0.1</v>
      </c>
      <c r="Y263" s="345">
        <v>48.7</v>
      </c>
      <c r="Z263" s="345">
        <v>2089.4</v>
      </c>
      <c r="AA263">
        <f t="shared" si="4"/>
        <v>0.3</v>
      </c>
    </row>
    <row r="264" spans="1:27" ht="28.8" x14ac:dyDescent="0.3">
      <c r="A264" s="345" t="s">
        <v>1938</v>
      </c>
      <c r="B264" s="805"/>
      <c r="C264" s="802"/>
      <c r="D264" s="802"/>
      <c r="E264" s="803"/>
      <c r="F264" s="805">
        <v>56.2</v>
      </c>
      <c r="G264" s="803"/>
      <c r="H264" s="345">
        <v>2340.3000000000002</v>
      </c>
      <c r="I264" s="345">
        <v>0.1</v>
      </c>
      <c r="J264" s="345">
        <v>40.5</v>
      </c>
      <c r="K264" s="345">
        <v>2285.3000000000002</v>
      </c>
      <c r="L264" s="346"/>
      <c r="M264" s="346"/>
      <c r="N264" s="346"/>
      <c r="O264" s="345"/>
      <c r="P264" s="345"/>
      <c r="Q264" s="345"/>
      <c r="R264" s="345">
        <v>0</v>
      </c>
      <c r="S264" s="345">
        <v>42.2</v>
      </c>
      <c r="T264" s="345">
        <v>2041.1</v>
      </c>
      <c r="U264" s="345">
        <v>0.5</v>
      </c>
      <c r="V264" s="345">
        <v>46.5</v>
      </c>
      <c r="W264" s="345">
        <v>2040.7</v>
      </c>
      <c r="X264" s="345">
        <v>0.2</v>
      </c>
      <c r="Y264" s="345">
        <v>48.9</v>
      </c>
      <c r="Z264" s="345">
        <v>2089.6</v>
      </c>
      <c r="AA264">
        <f t="shared" si="4"/>
        <v>0.1</v>
      </c>
    </row>
    <row r="265" spans="1:27" ht="28.8" x14ac:dyDescent="0.3">
      <c r="A265" s="345" t="s">
        <v>1939</v>
      </c>
      <c r="B265" s="805"/>
      <c r="C265" s="802"/>
      <c r="D265" s="802"/>
      <c r="E265" s="803"/>
      <c r="F265" s="805">
        <v>56.2</v>
      </c>
      <c r="G265" s="803"/>
      <c r="H265" s="345">
        <v>2340.3000000000002</v>
      </c>
      <c r="I265" s="345">
        <v>0</v>
      </c>
      <c r="J265" s="345">
        <v>40.5</v>
      </c>
      <c r="K265" s="345">
        <v>2285.3000000000002</v>
      </c>
      <c r="L265" s="346"/>
      <c r="M265" s="346"/>
      <c r="N265" s="346"/>
      <c r="O265" s="345"/>
      <c r="P265" s="345"/>
      <c r="Q265" s="345"/>
      <c r="R265" s="345">
        <v>0</v>
      </c>
      <c r="S265" s="345">
        <v>42.2</v>
      </c>
      <c r="T265" s="345">
        <v>2041.1</v>
      </c>
      <c r="U265" s="345">
        <v>0</v>
      </c>
      <c r="V265" s="345">
        <v>46.5</v>
      </c>
      <c r="W265" s="345">
        <v>2040.7</v>
      </c>
      <c r="X265" s="345">
        <v>0</v>
      </c>
      <c r="Y265" s="345">
        <v>48.9</v>
      </c>
      <c r="Z265" s="345">
        <v>2089.6</v>
      </c>
      <c r="AA265">
        <f t="shared" si="4"/>
        <v>0</v>
      </c>
    </row>
    <row r="266" spans="1:27" ht="28.8" x14ac:dyDescent="0.3">
      <c r="A266" s="345" t="s">
        <v>1940</v>
      </c>
      <c r="B266" s="805"/>
      <c r="C266" s="802"/>
      <c r="D266" s="802"/>
      <c r="E266" s="803"/>
      <c r="F266" s="805">
        <v>56.2</v>
      </c>
      <c r="G266" s="803"/>
      <c r="H266" s="345">
        <v>2340.3000000000002</v>
      </c>
      <c r="I266" s="345">
        <v>0</v>
      </c>
      <c r="J266" s="345">
        <v>40.5</v>
      </c>
      <c r="K266" s="345">
        <v>2285.3000000000002</v>
      </c>
      <c r="L266" s="346"/>
      <c r="M266" s="346"/>
      <c r="N266" s="346"/>
      <c r="O266" s="345"/>
      <c r="P266" s="345"/>
      <c r="Q266" s="345"/>
      <c r="R266" s="345">
        <v>0</v>
      </c>
      <c r="S266" s="345">
        <v>42.2</v>
      </c>
      <c r="T266" s="345">
        <v>2041.1</v>
      </c>
      <c r="U266" s="345">
        <v>0</v>
      </c>
      <c r="V266" s="345">
        <v>46.5</v>
      </c>
      <c r="W266" s="345">
        <v>2040.7</v>
      </c>
      <c r="X266" s="345">
        <v>0</v>
      </c>
      <c r="Y266" s="345">
        <v>48.9</v>
      </c>
      <c r="Z266" s="345">
        <v>2089.6</v>
      </c>
      <c r="AA266">
        <f t="shared" si="4"/>
        <v>0</v>
      </c>
    </row>
    <row r="267" spans="1:27" ht="28.8" x14ac:dyDescent="0.3">
      <c r="A267" s="345" t="s">
        <v>1941</v>
      </c>
      <c r="B267" s="805"/>
      <c r="C267" s="802"/>
      <c r="D267" s="802"/>
      <c r="E267" s="803"/>
      <c r="F267" s="805">
        <v>56.2</v>
      </c>
      <c r="G267" s="803"/>
      <c r="H267" s="345">
        <v>2340.3000000000002</v>
      </c>
      <c r="I267" s="345">
        <v>0</v>
      </c>
      <c r="J267" s="345">
        <v>40.5</v>
      </c>
      <c r="K267" s="345">
        <v>2285.3000000000002</v>
      </c>
      <c r="L267" s="346"/>
      <c r="M267" s="346"/>
      <c r="N267" s="346"/>
      <c r="O267" s="345"/>
      <c r="P267" s="345"/>
      <c r="Q267" s="345"/>
      <c r="R267" s="345">
        <v>1</v>
      </c>
      <c r="S267" s="345">
        <v>43.2</v>
      </c>
      <c r="T267" s="345">
        <v>2042.1</v>
      </c>
      <c r="U267" s="345">
        <v>0</v>
      </c>
      <c r="V267" s="345">
        <v>46.5</v>
      </c>
      <c r="W267" s="345">
        <v>2040.7</v>
      </c>
      <c r="X267" s="345">
        <v>0</v>
      </c>
      <c r="Y267" s="345">
        <v>48.9</v>
      </c>
      <c r="Z267" s="345">
        <v>2089.6</v>
      </c>
      <c r="AA267">
        <f t="shared" si="4"/>
        <v>0</v>
      </c>
    </row>
    <row r="268" spans="1:27" ht="28.8" x14ac:dyDescent="0.3">
      <c r="A268" s="345" t="s">
        <v>1942</v>
      </c>
      <c r="B268" s="805"/>
      <c r="C268" s="802"/>
      <c r="D268" s="802"/>
      <c r="E268" s="803"/>
      <c r="F268" s="805">
        <v>56.3</v>
      </c>
      <c r="G268" s="803"/>
      <c r="H268" s="345">
        <v>2340.4</v>
      </c>
      <c r="I268" s="345">
        <v>0.1</v>
      </c>
      <c r="J268" s="345">
        <v>40.6</v>
      </c>
      <c r="K268" s="345">
        <v>2285.4</v>
      </c>
      <c r="L268" s="346"/>
      <c r="M268" s="346"/>
      <c r="N268" s="346"/>
      <c r="O268" s="345"/>
      <c r="P268" s="345"/>
      <c r="Q268" s="345"/>
      <c r="R268" s="345">
        <v>0.1</v>
      </c>
      <c r="S268" s="345">
        <v>43.3</v>
      </c>
      <c r="T268" s="345">
        <v>2042.2</v>
      </c>
      <c r="U268" s="345">
        <v>0.1</v>
      </c>
      <c r="V268" s="345">
        <v>46.6</v>
      </c>
      <c r="W268" s="345">
        <v>2040.8</v>
      </c>
      <c r="X268" s="345">
        <v>0.1</v>
      </c>
      <c r="Y268" s="345">
        <v>49</v>
      </c>
      <c r="Z268" s="345">
        <v>2089.6999999999998</v>
      </c>
      <c r="AA268">
        <f t="shared" si="4"/>
        <v>0.1</v>
      </c>
    </row>
    <row r="269" spans="1:27" ht="28.8" x14ac:dyDescent="0.3">
      <c r="A269" s="345" t="s">
        <v>1943</v>
      </c>
      <c r="B269" s="805"/>
      <c r="C269" s="802"/>
      <c r="D269" s="802"/>
      <c r="E269" s="803"/>
      <c r="F269" s="805">
        <v>56.3</v>
      </c>
      <c r="G269" s="803"/>
      <c r="H269" s="345">
        <v>2340.4</v>
      </c>
      <c r="I269" s="345">
        <v>0</v>
      </c>
      <c r="J269" s="345">
        <v>40.6</v>
      </c>
      <c r="K269" s="345">
        <v>2285.4</v>
      </c>
      <c r="L269" s="346"/>
      <c r="M269" s="346"/>
      <c r="N269" s="346"/>
      <c r="O269" s="345"/>
      <c r="P269" s="345"/>
      <c r="Q269" s="345"/>
      <c r="R269" s="345">
        <v>0</v>
      </c>
      <c r="S269" s="345">
        <v>43.3</v>
      </c>
      <c r="T269" s="345">
        <v>2042.2</v>
      </c>
      <c r="U269" s="345">
        <v>0</v>
      </c>
      <c r="V269" s="345">
        <v>46.6</v>
      </c>
      <c r="W269" s="345">
        <v>2040.8</v>
      </c>
      <c r="X269" s="345">
        <v>0</v>
      </c>
      <c r="Y269" s="345">
        <v>49</v>
      </c>
      <c r="Z269" s="345">
        <v>2089.6999999999998</v>
      </c>
      <c r="AA269">
        <f t="shared" si="4"/>
        <v>0</v>
      </c>
    </row>
    <row r="270" spans="1:27" ht="28.8" x14ac:dyDescent="0.3">
      <c r="A270" s="345" t="s">
        <v>1944</v>
      </c>
      <c r="B270" s="805"/>
      <c r="C270" s="802"/>
      <c r="D270" s="802"/>
      <c r="E270" s="803"/>
      <c r="F270" s="805">
        <v>66.3</v>
      </c>
      <c r="G270" s="803"/>
      <c r="H270" s="345">
        <v>2350.4</v>
      </c>
      <c r="I270" s="345">
        <v>7</v>
      </c>
      <c r="J270" s="345">
        <v>47.6</v>
      </c>
      <c r="K270" s="345">
        <v>2292.4</v>
      </c>
      <c r="L270" s="346"/>
      <c r="M270" s="346"/>
      <c r="N270" s="346"/>
      <c r="O270" s="345"/>
      <c r="P270" s="345"/>
      <c r="Q270" s="345"/>
      <c r="R270" s="345">
        <v>9</v>
      </c>
      <c r="S270" s="345">
        <v>52.3</v>
      </c>
      <c r="T270" s="345">
        <v>2051.1999999999998</v>
      </c>
      <c r="U270" s="345">
        <v>9</v>
      </c>
      <c r="V270" s="345">
        <v>55.6</v>
      </c>
      <c r="W270" s="345">
        <v>2049.8000000000002</v>
      </c>
      <c r="X270" s="345">
        <v>9.5</v>
      </c>
      <c r="Y270" s="345">
        <v>58.5</v>
      </c>
      <c r="Z270" s="345">
        <v>2099.1999999999998</v>
      </c>
      <c r="AA270">
        <f t="shared" si="4"/>
        <v>7</v>
      </c>
    </row>
    <row r="271" spans="1:27" ht="28.8" x14ac:dyDescent="0.3">
      <c r="A271" s="345" t="s">
        <v>1945</v>
      </c>
      <c r="B271" s="805"/>
      <c r="C271" s="802"/>
      <c r="D271" s="802"/>
      <c r="E271" s="803"/>
      <c r="F271" s="805">
        <v>66.3</v>
      </c>
      <c r="G271" s="803"/>
      <c r="H271" s="345">
        <v>2350.4</v>
      </c>
      <c r="I271" s="345">
        <v>0</v>
      </c>
      <c r="J271" s="345">
        <v>47.6</v>
      </c>
      <c r="K271" s="345">
        <v>2292.4</v>
      </c>
      <c r="L271" s="346"/>
      <c r="M271" s="346"/>
      <c r="N271" s="346"/>
      <c r="O271" s="345"/>
      <c r="P271" s="345"/>
      <c r="Q271" s="345"/>
      <c r="R271" s="345">
        <v>0</v>
      </c>
      <c r="S271" s="345">
        <v>52.3</v>
      </c>
      <c r="T271" s="345">
        <v>2051.1999999999998</v>
      </c>
      <c r="U271" s="345">
        <v>0</v>
      </c>
      <c r="V271" s="345">
        <v>55.6</v>
      </c>
      <c r="W271" s="345">
        <v>2049.8000000000002</v>
      </c>
      <c r="X271" s="345">
        <v>0</v>
      </c>
      <c r="Y271" s="345">
        <v>58.5</v>
      </c>
      <c r="Z271" s="345">
        <v>2099.1999999999998</v>
      </c>
      <c r="AA271">
        <f t="shared" si="4"/>
        <v>0</v>
      </c>
    </row>
    <row r="272" spans="1:27" ht="28.8" x14ac:dyDescent="0.3">
      <c r="A272" s="345" t="s">
        <v>1946</v>
      </c>
      <c r="B272" s="805"/>
      <c r="C272" s="802"/>
      <c r="D272" s="802"/>
      <c r="E272" s="803"/>
      <c r="F272" s="805">
        <v>66.3</v>
      </c>
      <c r="G272" s="803"/>
      <c r="H272" s="345">
        <v>2350.4</v>
      </c>
      <c r="I272" s="345">
        <v>0</v>
      </c>
      <c r="J272" s="345">
        <v>47.6</v>
      </c>
      <c r="K272" s="345">
        <v>2292.4</v>
      </c>
      <c r="L272" s="346"/>
      <c r="M272" s="346"/>
      <c r="N272" s="346"/>
      <c r="O272" s="345"/>
      <c r="P272" s="345"/>
      <c r="Q272" s="345"/>
      <c r="R272" s="345">
        <v>0</v>
      </c>
      <c r="S272" s="345">
        <v>52.3</v>
      </c>
      <c r="T272" s="345">
        <v>2051.1999999999998</v>
      </c>
      <c r="U272" s="345">
        <v>0</v>
      </c>
      <c r="V272" s="345">
        <v>55.6</v>
      </c>
      <c r="W272" s="345">
        <v>2049.8000000000002</v>
      </c>
      <c r="X272" s="345">
        <v>0</v>
      </c>
      <c r="Y272" s="345">
        <v>58.5</v>
      </c>
      <c r="Z272" s="345">
        <v>2099.1999999999998</v>
      </c>
      <c r="AA272">
        <f t="shared" si="4"/>
        <v>0</v>
      </c>
    </row>
    <row r="273" spans="1:27" ht="28.8" x14ac:dyDescent="0.3">
      <c r="A273" s="345" t="s">
        <v>1947</v>
      </c>
      <c r="B273" s="805"/>
      <c r="C273" s="802"/>
      <c r="D273" s="802"/>
      <c r="E273" s="803"/>
      <c r="F273" s="805">
        <v>66.3</v>
      </c>
      <c r="G273" s="803"/>
      <c r="H273" s="345">
        <v>2350.4</v>
      </c>
      <c r="I273" s="345">
        <v>0</v>
      </c>
      <c r="J273" s="345">
        <v>47.6</v>
      </c>
      <c r="K273" s="345">
        <v>2292.4</v>
      </c>
      <c r="L273" s="346"/>
      <c r="M273" s="346"/>
      <c r="N273" s="346"/>
      <c r="O273" s="345"/>
      <c r="P273" s="345"/>
      <c r="Q273" s="345"/>
      <c r="R273" s="345">
        <v>0</v>
      </c>
      <c r="S273" s="345">
        <v>52.3</v>
      </c>
      <c r="T273" s="345">
        <v>2051.1999999999998</v>
      </c>
      <c r="U273" s="345">
        <v>0</v>
      </c>
      <c r="V273" s="345">
        <v>55.6</v>
      </c>
      <c r="W273" s="345">
        <v>2049.8000000000002</v>
      </c>
      <c r="X273" s="345">
        <v>0</v>
      </c>
      <c r="Y273" s="345">
        <v>58.5</v>
      </c>
      <c r="Z273" s="345">
        <v>2099.1999999999998</v>
      </c>
      <c r="AA273">
        <f t="shared" si="4"/>
        <v>0</v>
      </c>
    </row>
    <row r="274" spans="1:27" ht="28.8" x14ac:dyDescent="0.3">
      <c r="A274" s="345" t="s">
        <v>1948</v>
      </c>
      <c r="B274" s="805"/>
      <c r="C274" s="802"/>
      <c r="D274" s="802"/>
      <c r="E274" s="803"/>
      <c r="F274" s="805">
        <v>66.3</v>
      </c>
      <c r="G274" s="803"/>
      <c r="H274" s="345">
        <v>2350.4</v>
      </c>
      <c r="I274" s="345">
        <v>0</v>
      </c>
      <c r="J274" s="345">
        <v>47.6</v>
      </c>
      <c r="K274" s="345">
        <v>2292.4</v>
      </c>
      <c r="L274" s="346"/>
      <c r="M274" s="346"/>
      <c r="N274" s="346"/>
      <c r="O274" s="345"/>
      <c r="P274" s="345"/>
      <c r="Q274" s="345"/>
      <c r="R274" s="345">
        <v>0</v>
      </c>
      <c r="S274" s="345">
        <v>52.3</v>
      </c>
      <c r="T274" s="345">
        <v>2051.1999999999998</v>
      </c>
      <c r="U274" s="345">
        <v>0</v>
      </c>
      <c r="V274" s="345">
        <v>55.6</v>
      </c>
      <c r="W274" s="345">
        <v>2049.8000000000002</v>
      </c>
      <c r="X274" s="345">
        <v>0</v>
      </c>
      <c r="Y274" s="345">
        <v>58.5</v>
      </c>
      <c r="Z274" s="345">
        <v>2099.1999999999998</v>
      </c>
      <c r="AA274">
        <f t="shared" si="4"/>
        <v>0</v>
      </c>
    </row>
    <row r="275" spans="1:27" s="362" customFormat="1" ht="28.8" x14ac:dyDescent="0.3">
      <c r="A275" s="359" t="s">
        <v>1949</v>
      </c>
      <c r="B275" s="811"/>
      <c r="C275" s="812"/>
      <c r="D275" s="812"/>
      <c r="E275" s="813"/>
      <c r="F275" s="811">
        <v>66.3</v>
      </c>
      <c r="G275" s="813"/>
      <c r="H275" s="359">
        <v>2350.4</v>
      </c>
      <c r="I275" s="359">
        <v>0</v>
      </c>
      <c r="J275" s="359">
        <v>47.6</v>
      </c>
      <c r="K275" s="359">
        <v>2292.4</v>
      </c>
      <c r="L275" s="359"/>
      <c r="M275" s="359"/>
      <c r="N275" s="359"/>
      <c r="O275" s="359"/>
      <c r="P275" s="359"/>
      <c r="Q275" s="359"/>
      <c r="R275" s="359">
        <v>0</v>
      </c>
      <c r="S275" s="359">
        <v>52.3</v>
      </c>
      <c r="T275" s="359">
        <v>2051.1999999999998</v>
      </c>
      <c r="U275" s="359">
        <v>0</v>
      </c>
      <c r="V275" s="359">
        <v>55.6</v>
      </c>
      <c r="W275" s="359">
        <v>2049.8000000000002</v>
      </c>
      <c r="X275" s="359">
        <v>0</v>
      </c>
      <c r="Y275" s="359">
        <v>58.5</v>
      </c>
      <c r="Z275" s="359">
        <v>2099.1999999999998</v>
      </c>
      <c r="AA275" s="362">
        <f t="shared" si="4"/>
        <v>0</v>
      </c>
    </row>
    <row r="276" spans="1:27" ht="28.8" x14ac:dyDescent="0.3">
      <c r="A276" s="345" t="s">
        <v>1950</v>
      </c>
      <c r="B276" s="805"/>
      <c r="C276" s="802"/>
      <c r="D276" s="802"/>
      <c r="E276" s="803"/>
      <c r="F276" s="805">
        <v>0</v>
      </c>
      <c r="G276" s="803"/>
      <c r="H276" s="345">
        <v>2350.4</v>
      </c>
      <c r="I276" s="345">
        <v>0</v>
      </c>
      <c r="J276" s="345">
        <v>0</v>
      </c>
      <c r="K276" s="345">
        <v>2292.4</v>
      </c>
      <c r="L276" s="346"/>
      <c r="M276" s="346"/>
      <c r="N276" s="346"/>
      <c r="O276" s="345"/>
      <c r="P276" s="345"/>
      <c r="Q276" s="345"/>
      <c r="R276" s="345">
        <v>0</v>
      </c>
      <c r="S276" s="345">
        <v>0</v>
      </c>
      <c r="T276" s="345">
        <v>2051.1999999999998</v>
      </c>
      <c r="U276" s="345">
        <v>0</v>
      </c>
      <c r="V276" s="345">
        <v>0</v>
      </c>
      <c r="W276" s="345">
        <v>2049.8000000000002</v>
      </c>
      <c r="X276" s="345">
        <v>0</v>
      </c>
      <c r="Y276" s="345">
        <v>0</v>
      </c>
      <c r="Z276" s="345">
        <v>2099.1999999999998</v>
      </c>
      <c r="AA276">
        <f t="shared" si="4"/>
        <v>0</v>
      </c>
    </row>
    <row r="277" spans="1:27" ht="28.8" x14ac:dyDescent="0.3">
      <c r="A277" s="345" t="s">
        <v>1951</v>
      </c>
      <c r="B277" s="805"/>
      <c r="C277" s="802"/>
      <c r="D277" s="802"/>
      <c r="E277" s="803"/>
      <c r="F277" s="805">
        <v>0</v>
      </c>
      <c r="G277" s="803"/>
      <c r="H277" s="345">
        <v>2350.4</v>
      </c>
      <c r="I277" s="345">
        <v>0.2</v>
      </c>
      <c r="J277" s="345">
        <v>0.2</v>
      </c>
      <c r="K277" s="345">
        <v>2292.6</v>
      </c>
      <c r="L277" s="346"/>
      <c r="M277" s="346"/>
      <c r="N277" s="346"/>
      <c r="O277" s="345"/>
      <c r="P277" s="345"/>
      <c r="Q277" s="345"/>
      <c r="R277" s="345">
        <v>0</v>
      </c>
      <c r="S277" s="345">
        <v>0</v>
      </c>
      <c r="T277" s="345">
        <v>2051.1999999999998</v>
      </c>
      <c r="U277" s="345">
        <v>0.2</v>
      </c>
      <c r="V277" s="345">
        <v>0.2</v>
      </c>
      <c r="W277" s="345">
        <v>2050</v>
      </c>
      <c r="X277" s="345">
        <v>0</v>
      </c>
      <c r="Y277" s="345">
        <v>0</v>
      </c>
      <c r="Z277" s="345">
        <v>2099.1999999999998</v>
      </c>
      <c r="AA277">
        <f t="shared" si="4"/>
        <v>0.2</v>
      </c>
    </row>
    <row r="278" spans="1:27" ht="28.8" x14ac:dyDescent="0.3">
      <c r="A278" s="345" t="s">
        <v>1952</v>
      </c>
      <c r="B278" s="805"/>
      <c r="C278" s="802"/>
      <c r="D278" s="802"/>
      <c r="E278" s="803"/>
      <c r="F278" s="805">
        <v>0</v>
      </c>
      <c r="G278" s="803"/>
      <c r="H278" s="345">
        <v>2350.4</v>
      </c>
      <c r="I278" s="345">
        <v>0</v>
      </c>
      <c r="J278" s="345">
        <v>0.2</v>
      </c>
      <c r="K278" s="345">
        <v>2292.6</v>
      </c>
      <c r="L278" s="346"/>
      <c r="M278" s="346"/>
      <c r="N278" s="346"/>
      <c r="O278" s="345"/>
      <c r="P278" s="345"/>
      <c r="Q278" s="345"/>
      <c r="R278" s="345">
        <v>0</v>
      </c>
      <c r="S278" s="345">
        <v>0</v>
      </c>
      <c r="T278" s="345">
        <v>2051.1999999999998</v>
      </c>
      <c r="U278" s="345">
        <v>0</v>
      </c>
      <c r="V278" s="345">
        <v>0.2</v>
      </c>
      <c r="W278" s="345">
        <v>2050</v>
      </c>
      <c r="X278" s="345">
        <v>0</v>
      </c>
      <c r="Y278" s="345">
        <v>0</v>
      </c>
      <c r="Z278" s="345">
        <v>2099.1999999999998</v>
      </c>
      <c r="AA278">
        <f t="shared" si="4"/>
        <v>0</v>
      </c>
    </row>
    <row r="279" spans="1:27" ht="28.8" x14ac:dyDescent="0.3">
      <c r="A279" s="345" t="s">
        <v>1953</v>
      </c>
      <c r="B279" s="805"/>
      <c r="C279" s="802"/>
      <c r="D279" s="802"/>
      <c r="E279" s="803"/>
      <c r="F279" s="805">
        <v>0</v>
      </c>
      <c r="G279" s="803"/>
      <c r="H279" s="345">
        <v>2350.4</v>
      </c>
      <c r="I279" s="345">
        <v>0.1</v>
      </c>
      <c r="J279" s="345">
        <v>0.3</v>
      </c>
      <c r="K279" s="345">
        <v>2292.6999999999998</v>
      </c>
      <c r="L279" s="346"/>
      <c r="M279" s="346"/>
      <c r="N279" s="346"/>
      <c r="O279" s="345"/>
      <c r="P279" s="345"/>
      <c r="Q279" s="345"/>
      <c r="R279" s="345">
        <v>0</v>
      </c>
      <c r="S279" s="345">
        <v>0</v>
      </c>
      <c r="T279" s="345">
        <v>2051.1999999999998</v>
      </c>
      <c r="U279" s="345">
        <v>0.1</v>
      </c>
      <c r="V279" s="345">
        <v>0.3</v>
      </c>
      <c r="W279" s="345">
        <v>2050.1</v>
      </c>
      <c r="X279" s="345">
        <v>0.1</v>
      </c>
      <c r="Y279" s="345">
        <v>0.1</v>
      </c>
      <c r="Z279" s="345">
        <v>2099.3000000000002</v>
      </c>
      <c r="AA279">
        <f t="shared" si="4"/>
        <v>0.1</v>
      </c>
    </row>
    <row r="280" spans="1:27" ht="28.8" x14ac:dyDescent="0.3">
      <c r="A280" s="345" t="s">
        <v>1954</v>
      </c>
      <c r="B280" s="805"/>
      <c r="C280" s="802"/>
      <c r="D280" s="802"/>
      <c r="E280" s="803"/>
      <c r="F280" s="805">
        <v>0</v>
      </c>
      <c r="G280" s="803"/>
      <c r="H280" s="345">
        <v>2350.4</v>
      </c>
      <c r="I280" s="345">
        <v>0</v>
      </c>
      <c r="J280" s="345">
        <v>0.3</v>
      </c>
      <c r="K280" s="345">
        <v>2292.6999999999998</v>
      </c>
      <c r="L280" s="346"/>
      <c r="M280" s="346"/>
      <c r="N280" s="346"/>
      <c r="O280" s="345"/>
      <c r="P280" s="345"/>
      <c r="Q280" s="345"/>
      <c r="R280" s="345">
        <v>0</v>
      </c>
      <c r="S280" s="345">
        <v>0</v>
      </c>
      <c r="T280" s="345">
        <v>2051.1999999999998</v>
      </c>
      <c r="U280" s="345">
        <v>0</v>
      </c>
      <c r="V280" s="345">
        <v>0.3</v>
      </c>
      <c r="W280" s="345">
        <v>2050.1</v>
      </c>
      <c r="X280" s="345">
        <v>0</v>
      </c>
      <c r="Y280" s="345">
        <v>0.1</v>
      </c>
      <c r="Z280" s="345">
        <v>2099.3000000000002</v>
      </c>
      <c r="AA280">
        <f t="shared" si="4"/>
        <v>0</v>
      </c>
    </row>
    <row r="281" spans="1:27" ht="28.8" x14ac:dyDescent="0.3">
      <c r="A281" s="345" t="s">
        <v>1955</v>
      </c>
      <c r="B281" s="805"/>
      <c r="C281" s="802"/>
      <c r="D281" s="802"/>
      <c r="E281" s="803"/>
      <c r="F281" s="805">
        <v>0</v>
      </c>
      <c r="G281" s="803"/>
      <c r="H281" s="345">
        <v>2350.4</v>
      </c>
      <c r="I281" s="345">
        <v>0</v>
      </c>
      <c r="J281" s="345">
        <v>0.3</v>
      </c>
      <c r="K281" s="345">
        <v>2292.6999999999998</v>
      </c>
      <c r="L281" s="346"/>
      <c r="M281" s="346"/>
      <c r="N281" s="346"/>
      <c r="O281" s="345"/>
      <c r="P281" s="345"/>
      <c r="Q281" s="345"/>
      <c r="R281" s="345">
        <v>0.1</v>
      </c>
      <c r="S281" s="345">
        <v>0.1</v>
      </c>
      <c r="T281" s="345">
        <v>2051.3000000000002</v>
      </c>
      <c r="U281" s="345">
        <v>0.1</v>
      </c>
      <c r="V281" s="345">
        <v>0.4</v>
      </c>
      <c r="W281" s="345">
        <v>2050.1999999999998</v>
      </c>
      <c r="X281" s="345">
        <v>0.2</v>
      </c>
      <c r="Y281" s="345">
        <v>0.3</v>
      </c>
      <c r="Z281" s="345">
        <v>2099.5</v>
      </c>
      <c r="AA281">
        <f t="shared" si="4"/>
        <v>0</v>
      </c>
    </row>
    <row r="282" spans="1:27" ht="28.8" x14ac:dyDescent="0.3">
      <c r="A282" s="345" t="s">
        <v>1956</v>
      </c>
      <c r="B282" s="805"/>
      <c r="C282" s="802"/>
      <c r="D282" s="802"/>
      <c r="E282" s="803"/>
      <c r="F282" s="805">
        <v>4</v>
      </c>
      <c r="G282" s="803"/>
      <c r="H282" s="345">
        <v>2354.4</v>
      </c>
      <c r="I282" s="345">
        <v>9</v>
      </c>
      <c r="J282" s="345">
        <v>9.3000000000000007</v>
      </c>
      <c r="K282" s="345">
        <v>2301.6999999999998</v>
      </c>
      <c r="L282" s="346"/>
      <c r="M282" s="346"/>
      <c r="N282" s="346"/>
      <c r="O282" s="345"/>
      <c r="P282" s="345"/>
      <c r="Q282" s="345"/>
      <c r="R282" s="345">
        <v>2.5</v>
      </c>
      <c r="S282" s="345">
        <v>2.6</v>
      </c>
      <c r="T282" s="345">
        <v>2053.8000000000002</v>
      </c>
      <c r="U282" s="345">
        <v>2.5</v>
      </c>
      <c r="V282" s="345">
        <v>2.9</v>
      </c>
      <c r="W282" s="345">
        <v>2052.6999999999998</v>
      </c>
      <c r="X282" s="345">
        <v>3</v>
      </c>
      <c r="Y282" s="345">
        <v>3.3</v>
      </c>
      <c r="Z282" s="345">
        <v>2102.5</v>
      </c>
      <c r="AA282">
        <f t="shared" si="4"/>
        <v>9</v>
      </c>
    </row>
    <row r="283" spans="1:27" ht="28.8" x14ac:dyDescent="0.3">
      <c r="A283" s="345" t="s">
        <v>1957</v>
      </c>
      <c r="B283" s="805"/>
      <c r="C283" s="802"/>
      <c r="D283" s="802"/>
      <c r="E283" s="803"/>
      <c r="F283" s="805">
        <v>4</v>
      </c>
      <c r="G283" s="803"/>
      <c r="H283" s="345">
        <v>2354.4</v>
      </c>
      <c r="I283" s="345">
        <v>0</v>
      </c>
      <c r="J283" s="345">
        <v>9.3000000000000007</v>
      </c>
      <c r="K283" s="345">
        <v>2301.6999999999998</v>
      </c>
      <c r="L283" s="346"/>
      <c r="M283" s="346"/>
      <c r="N283" s="346"/>
      <c r="O283" s="345"/>
      <c r="P283" s="345"/>
      <c r="Q283" s="345"/>
      <c r="R283" s="345">
        <v>0</v>
      </c>
      <c r="S283" s="345">
        <v>2.6</v>
      </c>
      <c r="T283" s="345">
        <v>2053.8000000000002</v>
      </c>
      <c r="U283" s="345">
        <v>0</v>
      </c>
      <c r="V283" s="345">
        <v>2.9</v>
      </c>
      <c r="W283" s="345">
        <v>2052.6999999999998</v>
      </c>
      <c r="X283" s="345">
        <v>0</v>
      </c>
      <c r="Y283" s="345">
        <v>3.3</v>
      </c>
      <c r="Z283" s="345">
        <v>2102.5</v>
      </c>
      <c r="AA283">
        <f t="shared" si="4"/>
        <v>0</v>
      </c>
    </row>
    <row r="284" spans="1:27" ht="28.8" x14ac:dyDescent="0.3">
      <c r="A284" s="345" t="s">
        <v>1958</v>
      </c>
      <c r="B284" s="805"/>
      <c r="C284" s="802"/>
      <c r="D284" s="802"/>
      <c r="E284" s="803"/>
      <c r="F284" s="805">
        <v>4</v>
      </c>
      <c r="G284" s="803"/>
      <c r="H284" s="345">
        <v>2354.4</v>
      </c>
      <c r="I284" s="345">
        <v>0</v>
      </c>
      <c r="J284" s="345">
        <v>9.3000000000000007</v>
      </c>
      <c r="K284" s="345">
        <v>2301.6999999999998</v>
      </c>
      <c r="L284" s="346"/>
      <c r="M284" s="346"/>
      <c r="N284" s="346"/>
      <c r="O284" s="345"/>
      <c r="P284" s="345"/>
      <c r="Q284" s="345"/>
      <c r="R284" s="345">
        <v>0</v>
      </c>
      <c r="S284" s="345">
        <v>2.6</v>
      </c>
      <c r="T284" s="345">
        <v>2053.8000000000002</v>
      </c>
      <c r="U284" s="345">
        <v>0</v>
      </c>
      <c r="V284" s="345">
        <v>2.9</v>
      </c>
      <c r="W284" s="345">
        <v>2052.6999999999998</v>
      </c>
      <c r="X284" s="345">
        <v>0</v>
      </c>
      <c r="Y284" s="345">
        <v>3.3</v>
      </c>
      <c r="Z284" s="345">
        <v>2102.5</v>
      </c>
      <c r="AA284">
        <f t="shared" si="4"/>
        <v>0</v>
      </c>
    </row>
    <row r="285" spans="1:27" ht="28.8" x14ac:dyDescent="0.3">
      <c r="A285" s="345" t="s">
        <v>1959</v>
      </c>
      <c r="B285" s="805"/>
      <c r="C285" s="802"/>
      <c r="D285" s="802"/>
      <c r="E285" s="803"/>
      <c r="F285" s="805">
        <v>4.5</v>
      </c>
      <c r="G285" s="803"/>
      <c r="H285" s="345">
        <v>2354.9</v>
      </c>
      <c r="I285" s="345">
        <v>1.5</v>
      </c>
      <c r="J285" s="345">
        <v>10.8</v>
      </c>
      <c r="K285" s="345">
        <v>2303.1999999999998</v>
      </c>
      <c r="L285" s="346"/>
      <c r="M285" s="346"/>
      <c r="N285" s="346"/>
      <c r="O285" s="345"/>
      <c r="P285" s="345"/>
      <c r="Q285" s="345"/>
      <c r="R285" s="345">
        <v>1.2</v>
      </c>
      <c r="S285" s="345">
        <v>3.8</v>
      </c>
      <c r="T285" s="345">
        <v>2055</v>
      </c>
      <c r="U285" s="345">
        <v>1</v>
      </c>
      <c r="V285" s="345">
        <v>3.9</v>
      </c>
      <c r="W285" s="345">
        <v>2053.6999999999998</v>
      </c>
      <c r="X285" s="345">
        <v>1</v>
      </c>
      <c r="Y285" s="345">
        <v>4.3</v>
      </c>
      <c r="Z285" s="345">
        <v>2103.5</v>
      </c>
      <c r="AA285">
        <f t="shared" si="4"/>
        <v>1.5</v>
      </c>
    </row>
    <row r="286" spans="1:27" ht="28.8" x14ac:dyDescent="0.3">
      <c r="A286" s="345" t="s">
        <v>1960</v>
      </c>
      <c r="B286" s="805"/>
      <c r="C286" s="802"/>
      <c r="D286" s="802"/>
      <c r="E286" s="803"/>
      <c r="F286" s="805">
        <v>5.5</v>
      </c>
      <c r="G286" s="803"/>
      <c r="H286" s="345">
        <v>2355.9</v>
      </c>
      <c r="I286" s="345">
        <v>3</v>
      </c>
      <c r="J286" s="345">
        <v>13.8</v>
      </c>
      <c r="K286" s="345">
        <v>2306.1999999999998</v>
      </c>
      <c r="L286" s="346"/>
      <c r="M286" s="346"/>
      <c r="N286" s="346"/>
      <c r="O286" s="345"/>
      <c r="P286" s="345"/>
      <c r="Q286" s="345"/>
      <c r="R286" s="345">
        <v>0.4</v>
      </c>
      <c r="S286" s="345">
        <v>4.2</v>
      </c>
      <c r="T286" s="345">
        <v>2055.4</v>
      </c>
      <c r="U286" s="345">
        <v>0.5</v>
      </c>
      <c r="V286" s="345">
        <v>4.4000000000000004</v>
      </c>
      <c r="W286" s="345">
        <v>2054.1999999999998</v>
      </c>
      <c r="X286" s="345">
        <v>1</v>
      </c>
      <c r="Y286" s="345">
        <v>5.3</v>
      </c>
      <c r="Z286" s="345">
        <v>2104.5</v>
      </c>
      <c r="AA286">
        <f t="shared" si="4"/>
        <v>3</v>
      </c>
    </row>
    <row r="287" spans="1:27" ht="28.8" x14ac:dyDescent="0.3">
      <c r="A287" s="345" t="s">
        <v>1961</v>
      </c>
      <c r="B287" s="805"/>
      <c r="C287" s="802"/>
      <c r="D287" s="802"/>
      <c r="E287" s="803"/>
      <c r="F287" s="805">
        <v>6</v>
      </c>
      <c r="G287" s="803"/>
      <c r="H287" s="345">
        <v>2356.4</v>
      </c>
      <c r="I287" s="345">
        <v>0.5</v>
      </c>
      <c r="J287" s="345">
        <v>14.3</v>
      </c>
      <c r="K287" s="345">
        <v>2306.6999999999998</v>
      </c>
      <c r="L287" s="346"/>
      <c r="M287" s="346"/>
      <c r="N287" s="346"/>
      <c r="O287" s="345"/>
      <c r="P287" s="345"/>
      <c r="Q287" s="345"/>
      <c r="R287" s="345">
        <v>0.2</v>
      </c>
      <c r="S287" s="345">
        <v>4.4000000000000004</v>
      </c>
      <c r="T287" s="345">
        <v>2055.6</v>
      </c>
      <c r="U287" s="345">
        <v>0.5</v>
      </c>
      <c r="V287" s="345">
        <v>4.9000000000000004</v>
      </c>
      <c r="W287" s="345">
        <v>2054.6999999999998</v>
      </c>
      <c r="X287" s="345">
        <v>0.5</v>
      </c>
      <c r="Y287" s="345">
        <v>5.8</v>
      </c>
      <c r="Z287" s="345">
        <v>2105</v>
      </c>
      <c r="AA287">
        <f t="shared" si="4"/>
        <v>0.5</v>
      </c>
    </row>
    <row r="288" spans="1:27" ht="28.8" x14ac:dyDescent="0.3">
      <c r="A288" s="345" t="s">
        <v>1962</v>
      </c>
      <c r="B288" s="805"/>
      <c r="C288" s="802"/>
      <c r="D288" s="802"/>
      <c r="E288" s="803"/>
      <c r="F288" s="805">
        <v>6</v>
      </c>
      <c r="G288" s="803"/>
      <c r="H288" s="345">
        <v>2356.4</v>
      </c>
      <c r="I288" s="345">
        <v>0</v>
      </c>
      <c r="J288" s="345">
        <v>14.3</v>
      </c>
      <c r="K288" s="345">
        <v>2306.6999999999998</v>
      </c>
      <c r="L288" s="346"/>
      <c r="M288" s="346"/>
      <c r="N288" s="346"/>
      <c r="O288" s="345"/>
      <c r="P288" s="345"/>
      <c r="Q288" s="345"/>
      <c r="R288" s="345">
        <v>0</v>
      </c>
      <c r="S288" s="345">
        <v>4.4000000000000004</v>
      </c>
      <c r="T288" s="345">
        <v>2055.6</v>
      </c>
      <c r="U288" s="345">
        <v>0</v>
      </c>
      <c r="V288" s="345">
        <v>4.9000000000000004</v>
      </c>
      <c r="W288" s="345">
        <v>2054.6999999999998</v>
      </c>
      <c r="X288" s="345">
        <v>0</v>
      </c>
      <c r="Y288" s="345">
        <v>5.8</v>
      </c>
      <c r="Z288" s="345">
        <v>2105</v>
      </c>
      <c r="AA288">
        <f t="shared" si="4"/>
        <v>0</v>
      </c>
    </row>
    <row r="289" spans="1:27" ht="28.8" x14ac:dyDescent="0.3">
      <c r="A289" s="345" t="s">
        <v>1963</v>
      </c>
      <c r="B289" s="805"/>
      <c r="C289" s="802"/>
      <c r="D289" s="802"/>
      <c r="E289" s="803"/>
      <c r="F289" s="805">
        <v>6</v>
      </c>
      <c r="G289" s="803"/>
      <c r="H289" s="345">
        <v>2356.4</v>
      </c>
      <c r="I289" s="345">
        <v>0</v>
      </c>
      <c r="J289" s="345">
        <v>14.3</v>
      </c>
      <c r="K289" s="345">
        <v>2306.6999999999998</v>
      </c>
      <c r="L289" s="346"/>
      <c r="M289" s="346"/>
      <c r="N289" s="346"/>
      <c r="O289" s="345"/>
      <c r="P289" s="345"/>
      <c r="Q289" s="345"/>
      <c r="R289" s="345">
        <v>0</v>
      </c>
      <c r="S289" s="345">
        <v>4.4000000000000004</v>
      </c>
      <c r="T289" s="345">
        <v>2055.6</v>
      </c>
      <c r="U289" s="345">
        <v>0</v>
      </c>
      <c r="V289" s="345">
        <v>4.9000000000000004</v>
      </c>
      <c r="W289" s="345">
        <v>2054.6999999999998</v>
      </c>
      <c r="X289" s="345">
        <v>0</v>
      </c>
      <c r="Y289" s="345">
        <v>5.8</v>
      </c>
      <c r="Z289" s="345">
        <v>2105</v>
      </c>
      <c r="AA289">
        <f t="shared" si="4"/>
        <v>0</v>
      </c>
    </row>
    <row r="290" spans="1:27" ht="28.8" x14ac:dyDescent="0.3">
      <c r="A290" s="345" t="s">
        <v>1964</v>
      </c>
      <c r="B290" s="805"/>
      <c r="C290" s="802"/>
      <c r="D290" s="802"/>
      <c r="E290" s="803"/>
      <c r="F290" s="805">
        <v>32.5</v>
      </c>
      <c r="G290" s="803"/>
      <c r="H290" s="345">
        <v>2382.9</v>
      </c>
      <c r="I290" s="345">
        <v>25</v>
      </c>
      <c r="J290" s="345">
        <v>39.299999999999997</v>
      </c>
      <c r="K290" s="345">
        <v>2331.6999999999998</v>
      </c>
      <c r="L290" s="346"/>
      <c r="M290" s="346"/>
      <c r="N290" s="346"/>
      <c r="O290" s="345"/>
      <c r="P290" s="345"/>
      <c r="Q290" s="345"/>
      <c r="R290" s="345">
        <v>19.8</v>
      </c>
      <c r="S290" s="345">
        <v>24.2</v>
      </c>
      <c r="T290" s="345">
        <v>2075.4</v>
      </c>
      <c r="U290" s="345">
        <v>23</v>
      </c>
      <c r="V290" s="345">
        <v>27.9</v>
      </c>
      <c r="W290" s="345">
        <v>2077.6999999999998</v>
      </c>
      <c r="X290" s="345">
        <v>23.5</v>
      </c>
      <c r="Y290" s="345">
        <v>29.3</v>
      </c>
      <c r="Z290" s="345">
        <v>2128.5</v>
      </c>
      <c r="AA290">
        <f t="shared" si="4"/>
        <v>25</v>
      </c>
    </row>
    <row r="291" spans="1:27" ht="28.8" x14ac:dyDescent="0.3">
      <c r="A291" s="345" t="s">
        <v>1965</v>
      </c>
      <c r="B291" s="805"/>
      <c r="C291" s="802"/>
      <c r="D291" s="802"/>
      <c r="E291" s="803"/>
      <c r="F291" s="805">
        <v>32.5</v>
      </c>
      <c r="G291" s="803"/>
      <c r="H291" s="345">
        <v>2382.9</v>
      </c>
      <c r="I291" s="345">
        <v>0</v>
      </c>
      <c r="J291" s="345">
        <v>39.299999999999997</v>
      </c>
      <c r="K291" s="345">
        <v>2331.6999999999998</v>
      </c>
      <c r="L291" s="346"/>
      <c r="M291" s="346"/>
      <c r="N291" s="346"/>
      <c r="O291" s="345"/>
      <c r="P291" s="345"/>
      <c r="Q291" s="345"/>
      <c r="R291" s="345">
        <v>0.2</v>
      </c>
      <c r="S291" s="345">
        <v>24.4</v>
      </c>
      <c r="T291" s="345">
        <v>2075.6</v>
      </c>
      <c r="U291" s="345">
        <v>0.1</v>
      </c>
      <c r="V291" s="345">
        <v>28</v>
      </c>
      <c r="W291" s="345">
        <v>2077.8000000000002</v>
      </c>
      <c r="X291" s="345">
        <v>0</v>
      </c>
      <c r="Y291" s="345">
        <v>29.3</v>
      </c>
      <c r="Z291" s="345">
        <v>2128.5</v>
      </c>
      <c r="AA291">
        <f t="shared" si="4"/>
        <v>0</v>
      </c>
    </row>
    <row r="292" spans="1:27" ht="28.8" x14ac:dyDescent="0.3">
      <c r="A292" s="345" t="s">
        <v>1966</v>
      </c>
      <c r="B292" s="805"/>
      <c r="C292" s="802"/>
      <c r="D292" s="802"/>
      <c r="E292" s="803"/>
      <c r="F292" s="805">
        <v>32.5</v>
      </c>
      <c r="G292" s="803"/>
      <c r="H292" s="345">
        <v>2382.9</v>
      </c>
      <c r="I292" s="345">
        <v>0</v>
      </c>
      <c r="J292" s="345">
        <v>39.299999999999997</v>
      </c>
      <c r="K292" s="345">
        <v>2331.6999999999998</v>
      </c>
      <c r="L292" s="346"/>
      <c r="M292" s="346"/>
      <c r="N292" s="346"/>
      <c r="O292" s="345"/>
      <c r="P292" s="345"/>
      <c r="Q292" s="345"/>
      <c r="R292" s="345">
        <v>0</v>
      </c>
      <c r="S292" s="345">
        <v>24.4</v>
      </c>
      <c r="T292" s="345">
        <v>2075.6</v>
      </c>
      <c r="U292" s="345">
        <v>0</v>
      </c>
      <c r="V292" s="345">
        <v>28</v>
      </c>
      <c r="W292" s="345">
        <v>2077.8000000000002</v>
      </c>
      <c r="X292" s="345">
        <v>0</v>
      </c>
      <c r="Y292" s="345">
        <v>29.3</v>
      </c>
      <c r="Z292" s="345">
        <v>2128.5</v>
      </c>
      <c r="AA292">
        <f t="shared" si="4"/>
        <v>0</v>
      </c>
    </row>
    <row r="293" spans="1:27" ht="28.8" x14ac:dyDescent="0.3">
      <c r="A293" s="345" t="s">
        <v>1967</v>
      </c>
      <c r="B293" s="805"/>
      <c r="C293" s="802"/>
      <c r="D293" s="802"/>
      <c r="E293" s="803"/>
      <c r="F293" s="805">
        <v>32.6</v>
      </c>
      <c r="G293" s="803"/>
      <c r="H293" s="345">
        <v>2383</v>
      </c>
      <c r="I293" s="345">
        <v>0.1</v>
      </c>
      <c r="J293" s="345">
        <v>39.4</v>
      </c>
      <c r="K293" s="345">
        <v>2331.8000000000002</v>
      </c>
      <c r="L293" s="346"/>
      <c r="M293" s="346"/>
      <c r="N293" s="346"/>
      <c r="O293" s="345"/>
      <c r="P293" s="345"/>
      <c r="Q293" s="345"/>
      <c r="R293" s="345">
        <v>0</v>
      </c>
      <c r="S293" s="345">
        <v>24.4</v>
      </c>
      <c r="T293" s="345">
        <v>2075.6</v>
      </c>
      <c r="U293" s="345">
        <v>0.1</v>
      </c>
      <c r="V293" s="345">
        <v>28.1</v>
      </c>
      <c r="W293" s="345">
        <v>2077.9</v>
      </c>
      <c r="X293" s="345">
        <v>0.1</v>
      </c>
      <c r="Y293" s="345">
        <v>29.4</v>
      </c>
      <c r="Z293" s="345">
        <v>2128.6</v>
      </c>
      <c r="AA293">
        <f t="shared" si="4"/>
        <v>0.1</v>
      </c>
    </row>
    <row r="294" spans="1:27" ht="28.8" x14ac:dyDescent="0.3">
      <c r="A294" s="345" t="s">
        <v>1968</v>
      </c>
      <c r="B294" s="805"/>
      <c r="C294" s="802"/>
      <c r="D294" s="802"/>
      <c r="E294" s="803"/>
      <c r="F294" s="805">
        <v>32.700000000000003</v>
      </c>
      <c r="G294" s="803"/>
      <c r="H294" s="345">
        <v>2383.1</v>
      </c>
      <c r="I294" s="345">
        <v>0.1</v>
      </c>
      <c r="J294" s="345">
        <v>39.5</v>
      </c>
      <c r="K294" s="345">
        <v>2331.9</v>
      </c>
      <c r="L294" s="346"/>
      <c r="M294" s="346"/>
      <c r="N294" s="346"/>
      <c r="O294" s="345"/>
      <c r="P294" s="345"/>
      <c r="Q294" s="345"/>
      <c r="R294" s="345">
        <v>0.2</v>
      </c>
      <c r="S294" s="345">
        <v>24.6</v>
      </c>
      <c r="T294" s="345">
        <v>2075.8000000000002</v>
      </c>
      <c r="U294" s="345">
        <v>0</v>
      </c>
      <c r="V294" s="345">
        <v>28.1</v>
      </c>
      <c r="W294" s="345">
        <v>2077.9</v>
      </c>
      <c r="X294" s="345">
        <v>0.2</v>
      </c>
      <c r="Y294" s="345">
        <v>29.6</v>
      </c>
      <c r="Z294" s="345">
        <v>2128.8000000000002</v>
      </c>
      <c r="AA294">
        <f t="shared" si="4"/>
        <v>0.1</v>
      </c>
    </row>
    <row r="295" spans="1:27" ht="28.8" x14ac:dyDescent="0.3">
      <c r="A295" s="345" t="s">
        <v>1969</v>
      </c>
      <c r="B295" s="805"/>
      <c r="C295" s="802"/>
      <c r="D295" s="802"/>
      <c r="E295" s="803"/>
      <c r="F295" s="805">
        <v>68.2</v>
      </c>
      <c r="G295" s="803"/>
      <c r="H295" s="345">
        <v>2418.6</v>
      </c>
      <c r="I295" s="345">
        <v>40.5</v>
      </c>
      <c r="J295" s="345">
        <v>80</v>
      </c>
      <c r="K295" s="345">
        <v>2372.4</v>
      </c>
      <c r="L295" s="346"/>
      <c r="M295" s="346"/>
      <c r="N295" s="346"/>
      <c r="O295" s="345"/>
      <c r="P295" s="345"/>
      <c r="Q295" s="345"/>
      <c r="R295" s="345">
        <v>31.8</v>
      </c>
      <c r="S295" s="345">
        <v>56.4</v>
      </c>
      <c r="T295" s="345">
        <v>2107.6</v>
      </c>
      <c r="U295" s="345">
        <v>36.5</v>
      </c>
      <c r="V295" s="345">
        <v>64.599999999999994</v>
      </c>
      <c r="W295" s="345">
        <v>2114.4</v>
      </c>
      <c r="X295" s="345">
        <v>41</v>
      </c>
      <c r="Y295" s="345">
        <v>70.599999999999994</v>
      </c>
      <c r="Z295" s="345">
        <v>2169.8000000000002</v>
      </c>
      <c r="AA295">
        <f t="shared" si="4"/>
        <v>40.5</v>
      </c>
    </row>
    <row r="296" spans="1:27" ht="28.8" x14ac:dyDescent="0.3">
      <c r="A296" s="345" t="s">
        <v>1970</v>
      </c>
      <c r="B296" s="805"/>
      <c r="C296" s="802"/>
      <c r="D296" s="802"/>
      <c r="E296" s="803"/>
      <c r="F296" s="805">
        <v>68.2</v>
      </c>
      <c r="G296" s="803"/>
      <c r="H296" s="345">
        <v>2418.6</v>
      </c>
      <c r="I296" s="345">
        <v>0</v>
      </c>
      <c r="J296" s="345">
        <v>80</v>
      </c>
      <c r="K296" s="345">
        <v>2372.4</v>
      </c>
      <c r="L296" s="346"/>
      <c r="M296" s="346"/>
      <c r="N296" s="346"/>
      <c r="O296" s="345"/>
      <c r="P296" s="345"/>
      <c r="Q296" s="345"/>
      <c r="R296" s="345">
        <v>0</v>
      </c>
      <c r="S296" s="345">
        <v>56.4</v>
      </c>
      <c r="T296" s="345">
        <v>2107.6</v>
      </c>
      <c r="U296" s="345">
        <v>0</v>
      </c>
      <c r="V296" s="345">
        <v>64.599999999999994</v>
      </c>
      <c r="W296" s="345">
        <v>2114.4</v>
      </c>
      <c r="X296" s="345">
        <v>0</v>
      </c>
      <c r="Y296" s="345">
        <v>70.599999999999994</v>
      </c>
      <c r="Z296" s="345">
        <v>2169.8000000000002</v>
      </c>
      <c r="AA296">
        <f t="shared" si="4"/>
        <v>0</v>
      </c>
    </row>
    <row r="297" spans="1:27" ht="28.8" x14ac:dyDescent="0.3">
      <c r="A297" s="345" t="s">
        <v>1971</v>
      </c>
      <c r="B297" s="805"/>
      <c r="C297" s="802"/>
      <c r="D297" s="802"/>
      <c r="E297" s="803"/>
      <c r="F297" s="805">
        <v>68.2</v>
      </c>
      <c r="G297" s="803"/>
      <c r="H297" s="345">
        <v>2418.6</v>
      </c>
      <c r="I297" s="345">
        <v>0</v>
      </c>
      <c r="J297" s="345">
        <v>80</v>
      </c>
      <c r="K297" s="345">
        <v>2372.4</v>
      </c>
      <c r="L297" s="346"/>
      <c r="M297" s="346"/>
      <c r="N297" s="346"/>
      <c r="O297" s="345"/>
      <c r="P297" s="345"/>
      <c r="Q297" s="345"/>
      <c r="R297" s="345">
        <v>0</v>
      </c>
      <c r="S297" s="345">
        <v>56.4</v>
      </c>
      <c r="T297" s="345">
        <v>2107.6</v>
      </c>
      <c r="U297" s="345">
        <v>0</v>
      </c>
      <c r="V297" s="345">
        <v>64.599999999999994</v>
      </c>
      <c r="W297" s="345">
        <v>2114.4</v>
      </c>
      <c r="X297" s="345">
        <v>0</v>
      </c>
      <c r="Y297" s="345">
        <v>70.599999999999994</v>
      </c>
      <c r="Z297" s="345">
        <v>2169.8000000000002</v>
      </c>
      <c r="AA297">
        <f t="shared" si="4"/>
        <v>0</v>
      </c>
    </row>
    <row r="298" spans="1:27" ht="28.8" x14ac:dyDescent="0.3">
      <c r="A298" s="345" t="s">
        <v>1972</v>
      </c>
      <c r="B298" s="805"/>
      <c r="C298" s="802"/>
      <c r="D298" s="802"/>
      <c r="E298" s="803"/>
      <c r="F298" s="805">
        <v>68.2</v>
      </c>
      <c r="G298" s="803"/>
      <c r="H298" s="345">
        <v>2418.6</v>
      </c>
      <c r="I298" s="345">
        <v>0</v>
      </c>
      <c r="J298" s="345">
        <v>80</v>
      </c>
      <c r="K298" s="345">
        <v>2372.4</v>
      </c>
      <c r="L298" s="346"/>
      <c r="M298" s="346"/>
      <c r="N298" s="346"/>
      <c r="O298" s="345"/>
      <c r="P298" s="345"/>
      <c r="Q298" s="345"/>
      <c r="R298" s="345">
        <v>0</v>
      </c>
      <c r="S298" s="345">
        <v>56.4</v>
      </c>
      <c r="T298" s="345">
        <v>2107.6</v>
      </c>
      <c r="U298" s="345">
        <v>0</v>
      </c>
      <c r="V298" s="345">
        <v>64.599999999999994</v>
      </c>
      <c r="W298" s="345">
        <v>2114.4</v>
      </c>
      <c r="X298" s="345">
        <v>0</v>
      </c>
      <c r="Y298" s="345">
        <v>70.599999999999994</v>
      </c>
      <c r="Z298" s="345">
        <v>2169.8000000000002</v>
      </c>
      <c r="AA298">
        <f t="shared" si="4"/>
        <v>0</v>
      </c>
    </row>
    <row r="299" spans="1:27" ht="28.8" x14ac:dyDescent="0.3">
      <c r="A299" s="345" t="s">
        <v>1973</v>
      </c>
      <c r="B299" s="805"/>
      <c r="C299" s="802"/>
      <c r="D299" s="802"/>
      <c r="E299" s="803"/>
      <c r="F299" s="805"/>
      <c r="G299" s="803"/>
      <c r="H299" s="345"/>
      <c r="I299" s="345">
        <v>0</v>
      </c>
      <c r="J299" s="345">
        <v>80</v>
      </c>
      <c r="K299" s="345">
        <v>2372.4</v>
      </c>
      <c r="L299" s="346"/>
      <c r="M299" s="346"/>
      <c r="N299" s="346"/>
      <c r="O299" s="345"/>
      <c r="P299" s="345"/>
      <c r="Q299" s="345"/>
      <c r="R299" s="345">
        <v>0</v>
      </c>
      <c r="S299" s="345">
        <v>56.4</v>
      </c>
      <c r="T299" s="345">
        <v>2107.6</v>
      </c>
      <c r="U299" s="345">
        <v>0</v>
      </c>
      <c r="V299" s="345">
        <v>64.599999999999994</v>
      </c>
      <c r="W299" s="345">
        <v>2114.4</v>
      </c>
      <c r="X299" s="345">
        <v>0</v>
      </c>
      <c r="Y299" s="345">
        <v>70.599999999999994</v>
      </c>
      <c r="Z299" s="345">
        <v>2169.8000000000002</v>
      </c>
      <c r="AA299">
        <f t="shared" si="4"/>
        <v>0</v>
      </c>
    </row>
    <row r="300" spans="1:27" ht="28.8" x14ac:dyDescent="0.3">
      <c r="A300" s="345" t="s">
        <v>1974</v>
      </c>
      <c r="B300" s="805"/>
      <c r="C300" s="802"/>
      <c r="D300" s="802"/>
      <c r="E300" s="803"/>
      <c r="F300" s="805">
        <v>68.2</v>
      </c>
      <c r="G300" s="803"/>
      <c r="H300" s="345">
        <v>2418.6</v>
      </c>
      <c r="I300" s="345">
        <v>0</v>
      </c>
      <c r="J300" s="345">
        <v>80</v>
      </c>
      <c r="K300" s="345">
        <v>2372.4</v>
      </c>
      <c r="L300" s="346"/>
      <c r="M300" s="346"/>
      <c r="N300" s="346"/>
      <c r="O300" s="345"/>
      <c r="P300" s="345"/>
      <c r="Q300" s="345"/>
      <c r="R300" s="345">
        <v>0.2</v>
      </c>
      <c r="S300" s="345">
        <v>56.6</v>
      </c>
      <c r="T300" s="345">
        <v>2107.8000000000002</v>
      </c>
      <c r="U300" s="345">
        <v>0</v>
      </c>
      <c r="V300" s="345">
        <v>64.599999999999994</v>
      </c>
      <c r="W300" s="345">
        <v>2114.4</v>
      </c>
      <c r="X300" s="345">
        <v>0</v>
      </c>
      <c r="Y300" s="345">
        <v>70.599999999999994</v>
      </c>
      <c r="Z300" s="345">
        <v>2169.8000000000002</v>
      </c>
      <c r="AA300">
        <f t="shared" si="4"/>
        <v>0</v>
      </c>
    </row>
    <row r="301" spans="1:27" ht="28.8" x14ac:dyDescent="0.3">
      <c r="A301" s="345" t="s">
        <v>1975</v>
      </c>
      <c r="B301" s="805"/>
      <c r="C301" s="802"/>
      <c r="D301" s="802"/>
      <c r="E301" s="803"/>
      <c r="F301" s="805">
        <v>68.2</v>
      </c>
      <c r="G301" s="803"/>
      <c r="H301" s="345">
        <v>2418.6</v>
      </c>
      <c r="I301" s="345">
        <v>0</v>
      </c>
      <c r="J301" s="345">
        <v>80</v>
      </c>
      <c r="K301" s="345">
        <v>2372.4</v>
      </c>
      <c r="L301" s="346"/>
      <c r="M301" s="346"/>
      <c r="N301" s="346"/>
      <c r="O301" s="345"/>
      <c r="P301" s="345"/>
      <c r="Q301" s="345"/>
      <c r="R301" s="345">
        <v>0</v>
      </c>
      <c r="S301" s="345">
        <v>56.6</v>
      </c>
      <c r="T301" s="345">
        <v>2107.8000000000002</v>
      </c>
      <c r="U301" s="345">
        <v>0</v>
      </c>
      <c r="V301" s="345">
        <v>64.599999999999994</v>
      </c>
      <c r="W301" s="345">
        <v>2114.4</v>
      </c>
      <c r="X301" s="345">
        <v>0</v>
      </c>
      <c r="Y301" s="345">
        <v>70.599999999999994</v>
      </c>
      <c r="Z301" s="345">
        <v>2169.8000000000002</v>
      </c>
      <c r="AA301">
        <f t="shared" si="4"/>
        <v>0</v>
      </c>
    </row>
    <row r="302" spans="1:27" ht="28.8" x14ac:dyDescent="0.3">
      <c r="A302" s="345" t="s">
        <v>1976</v>
      </c>
      <c r="B302" s="805"/>
      <c r="C302" s="802"/>
      <c r="D302" s="802"/>
      <c r="E302" s="803"/>
      <c r="F302" s="805">
        <v>68.2</v>
      </c>
      <c r="G302" s="803"/>
      <c r="H302" s="345">
        <v>2418.6</v>
      </c>
      <c r="I302" s="345">
        <v>0</v>
      </c>
      <c r="J302" s="345">
        <v>80</v>
      </c>
      <c r="K302" s="345">
        <v>2372.4</v>
      </c>
      <c r="L302" s="346"/>
      <c r="M302" s="346"/>
      <c r="N302" s="346"/>
      <c r="O302" s="345"/>
      <c r="P302" s="345"/>
      <c r="Q302" s="345"/>
      <c r="R302" s="345">
        <v>0</v>
      </c>
      <c r="S302" s="345">
        <v>56.6</v>
      </c>
      <c r="T302" s="345">
        <v>2107.8000000000002</v>
      </c>
      <c r="U302" s="345">
        <v>0</v>
      </c>
      <c r="V302" s="345">
        <v>64.599999999999994</v>
      </c>
      <c r="W302" s="345">
        <v>2114.4</v>
      </c>
      <c r="X302" s="345"/>
      <c r="Y302" s="345"/>
      <c r="Z302" s="345"/>
      <c r="AA302">
        <f t="shared" si="4"/>
        <v>0</v>
      </c>
    </row>
    <row r="303" spans="1:27" ht="28.8" x14ac:dyDescent="0.3">
      <c r="A303" s="345" t="s">
        <v>1977</v>
      </c>
      <c r="B303" s="805"/>
      <c r="C303" s="802"/>
      <c r="D303" s="802"/>
      <c r="E303" s="803"/>
      <c r="F303" s="805">
        <v>68.2</v>
      </c>
      <c r="G303" s="803"/>
      <c r="H303" s="345">
        <v>2418.6</v>
      </c>
      <c r="I303" s="345">
        <v>0</v>
      </c>
      <c r="J303" s="345">
        <v>80</v>
      </c>
      <c r="K303" s="345">
        <v>2372.4</v>
      </c>
      <c r="L303" s="346"/>
      <c r="M303" s="346"/>
      <c r="N303" s="346"/>
      <c r="O303" s="345"/>
      <c r="P303" s="345"/>
      <c r="Q303" s="345"/>
      <c r="R303" s="345">
        <v>0</v>
      </c>
      <c r="S303" s="345">
        <v>56.6</v>
      </c>
      <c r="T303" s="345">
        <v>2107.8000000000002</v>
      </c>
      <c r="U303" s="345">
        <v>0</v>
      </c>
      <c r="V303" s="345">
        <v>64.599999999999994</v>
      </c>
      <c r="W303" s="345">
        <v>2114.4</v>
      </c>
      <c r="X303" s="345">
        <v>0</v>
      </c>
      <c r="Y303" s="345">
        <v>70.599999999999994</v>
      </c>
      <c r="Z303" s="345">
        <v>2169.8000000000002</v>
      </c>
      <c r="AA303">
        <f t="shared" si="4"/>
        <v>0</v>
      </c>
    </row>
    <row r="304" spans="1:27" ht="28.8" x14ac:dyDescent="0.3">
      <c r="A304" s="345" t="s">
        <v>1978</v>
      </c>
      <c r="B304" s="805"/>
      <c r="C304" s="802"/>
      <c r="D304" s="802"/>
      <c r="E304" s="803"/>
      <c r="F304" s="805">
        <v>68.2</v>
      </c>
      <c r="G304" s="803"/>
      <c r="H304" s="345">
        <v>2418.6</v>
      </c>
      <c r="I304" s="345">
        <v>0</v>
      </c>
      <c r="J304" s="345">
        <v>80</v>
      </c>
      <c r="K304" s="345">
        <v>2372.4</v>
      </c>
      <c r="L304" s="346"/>
      <c r="M304" s="346"/>
      <c r="N304" s="346"/>
      <c r="O304" s="345"/>
      <c r="P304" s="345"/>
      <c r="Q304" s="345"/>
      <c r="R304" s="345">
        <v>0.2</v>
      </c>
      <c r="S304" s="345">
        <v>56.8</v>
      </c>
      <c r="T304" s="345">
        <v>2108</v>
      </c>
      <c r="U304" s="345">
        <v>0</v>
      </c>
      <c r="V304" s="345">
        <v>64.599999999999994</v>
      </c>
      <c r="W304" s="345">
        <v>2114.4</v>
      </c>
      <c r="X304" s="345">
        <v>0</v>
      </c>
      <c r="Y304" s="345">
        <v>70.599999999999994</v>
      </c>
      <c r="Z304" s="345">
        <v>2169.8000000000002</v>
      </c>
      <c r="AA304">
        <f t="shared" si="4"/>
        <v>0</v>
      </c>
    </row>
    <row r="305" spans="1:27" ht="28.8" x14ac:dyDescent="0.3">
      <c r="A305" s="345" t="s">
        <v>1979</v>
      </c>
      <c r="B305" s="805"/>
      <c r="C305" s="802"/>
      <c r="D305" s="802"/>
      <c r="E305" s="803"/>
      <c r="F305" s="805">
        <v>68.2</v>
      </c>
      <c r="G305" s="803"/>
      <c r="H305" s="345">
        <v>2418.6</v>
      </c>
      <c r="I305" s="345">
        <v>0</v>
      </c>
      <c r="J305" s="345">
        <v>80</v>
      </c>
      <c r="K305" s="345">
        <v>2372.4</v>
      </c>
      <c r="L305" s="346"/>
      <c r="M305" s="346"/>
      <c r="N305" s="346"/>
      <c r="O305" s="345"/>
      <c r="P305" s="345"/>
      <c r="Q305" s="345"/>
      <c r="R305" s="345">
        <v>0</v>
      </c>
      <c r="S305" s="345">
        <v>56.8</v>
      </c>
      <c r="T305" s="345">
        <v>2108</v>
      </c>
      <c r="U305" s="345">
        <v>0</v>
      </c>
      <c r="V305" s="345">
        <v>64.599999999999994</v>
      </c>
      <c r="W305" s="345">
        <v>2114.4</v>
      </c>
      <c r="X305" s="345">
        <v>0</v>
      </c>
      <c r="Y305" s="345">
        <v>70.599999999999994</v>
      </c>
      <c r="Z305" s="345">
        <v>2169.8000000000002</v>
      </c>
      <c r="AA305">
        <f t="shared" si="4"/>
        <v>0</v>
      </c>
    </row>
    <row r="306" spans="1:27" s="362" customFormat="1" ht="28.8" x14ac:dyDescent="0.3">
      <c r="A306" s="359" t="s">
        <v>1980</v>
      </c>
      <c r="B306" s="811"/>
      <c r="C306" s="812"/>
      <c r="D306" s="812"/>
      <c r="E306" s="813"/>
      <c r="F306" s="811">
        <v>68.2</v>
      </c>
      <c r="G306" s="813"/>
      <c r="H306" s="359">
        <v>2418.6</v>
      </c>
      <c r="I306" s="359">
        <v>0</v>
      </c>
      <c r="J306" s="359">
        <v>80</v>
      </c>
      <c r="K306" s="359">
        <v>2372.4</v>
      </c>
      <c r="L306" s="359"/>
      <c r="M306" s="359"/>
      <c r="N306" s="359"/>
      <c r="O306" s="359"/>
      <c r="P306" s="359"/>
      <c r="Q306" s="359"/>
      <c r="R306" s="359">
        <v>0</v>
      </c>
      <c r="S306" s="359">
        <v>56.8</v>
      </c>
      <c r="T306" s="359">
        <v>2108</v>
      </c>
      <c r="U306" s="359">
        <v>0</v>
      </c>
      <c r="V306" s="359">
        <v>64.599999999999994</v>
      </c>
      <c r="W306" s="359">
        <v>2114.4</v>
      </c>
      <c r="X306" s="359">
        <v>0</v>
      </c>
      <c r="Y306" s="359">
        <v>70.599999999999994</v>
      </c>
      <c r="Z306" s="359">
        <v>2169.8000000000002</v>
      </c>
      <c r="AA306" s="362">
        <f t="shared" si="4"/>
        <v>0</v>
      </c>
    </row>
    <row r="307" spans="1:27" ht="28.8" x14ac:dyDescent="0.3">
      <c r="A307" s="345" t="s">
        <v>1981</v>
      </c>
      <c r="B307" s="805"/>
      <c r="C307" s="802"/>
      <c r="D307" s="802"/>
      <c r="E307" s="803"/>
      <c r="F307" s="805">
        <v>0.3</v>
      </c>
      <c r="G307" s="803"/>
      <c r="H307" s="345">
        <v>2418.9</v>
      </c>
      <c r="I307" s="345">
        <v>0.1</v>
      </c>
      <c r="J307" s="345">
        <v>0.1</v>
      </c>
      <c r="K307" s="345">
        <v>2372.5</v>
      </c>
      <c r="L307" s="346"/>
      <c r="M307" s="346"/>
      <c r="N307" s="346"/>
      <c r="O307" s="345"/>
      <c r="P307" s="345"/>
      <c r="Q307" s="345"/>
      <c r="R307" s="345">
        <v>1</v>
      </c>
      <c r="S307" s="345">
        <v>1</v>
      </c>
      <c r="T307" s="345">
        <v>2109</v>
      </c>
      <c r="U307" s="345">
        <v>1</v>
      </c>
      <c r="V307" s="345">
        <v>1</v>
      </c>
      <c r="W307" s="345">
        <v>2115.4</v>
      </c>
      <c r="X307" s="345">
        <v>2</v>
      </c>
      <c r="Y307" s="345">
        <v>2</v>
      </c>
      <c r="Z307" s="345">
        <v>2171.8000000000002</v>
      </c>
      <c r="AA307">
        <f t="shared" si="4"/>
        <v>0.1</v>
      </c>
    </row>
    <row r="308" spans="1:27" x14ac:dyDescent="0.3">
      <c r="A308" s="345"/>
      <c r="B308" s="345"/>
      <c r="C308" s="341"/>
      <c r="D308" s="341"/>
      <c r="E308" s="342"/>
      <c r="F308" s="345"/>
      <c r="G308" s="342"/>
      <c r="H308" s="345"/>
      <c r="I308" s="345"/>
      <c r="J308" s="345"/>
      <c r="K308" s="345"/>
      <c r="L308" s="346"/>
      <c r="M308" s="346"/>
      <c r="N308" s="346"/>
      <c r="O308" s="345"/>
      <c r="P308" s="345"/>
      <c r="Q308" s="345"/>
      <c r="R308" s="345"/>
      <c r="S308" s="345"/>
      <c r="T308" s="345"/>
      <c r="U308" s="345"/>
      <c r="V308" s="345"/>
      <c r="W308" s="345"/>
      <c r="X308" s="345"/>
      <c r="Y308" s="345"/>
      <c r="Z308" s="345"/>
    </row>
    <row r="309" spans="1:27" ht="28.8" x14ac:dyDescent="0.3">
      <c r="A309" s="345" t="s">
        <v>1982</v>
      </c>
      <c r="B309" s="805"/>
      <c r="C309" s="802"/>
      <c r="D309" s="802"/>
      <c r="E309" s="803"/>
      <c r="F309" s="805">
        <v>0.3</v>
      </c>
      <c r="G309" s="803"/>
      <c r="H309" s="345">
        <v>2418.9</v>
      </c>
      <c r="I309" s="345">
        <v>0</v>
      </c>
      <c r="J309" s="345">
        <v>0.1</v>
      </c>
      <c r="K309" s="345">
        <v>2372.5</v>
      </c>
      <c r="L309" s="346"/>
      <c r="M309" s="346"/>
      <c r="N309" s="346"/>
      <c r="O309" s="345"/>
      <c r="P309" s="345"/>
      <c r="Q309" s="345"/>
      <c r="R309" s="345">
        <v>0</v>
      </c>
      <c r="S309" s="345">
        <v>1</v>
      </c>
      <c r="T309" s="345">
        <v>2109</v>
      </c>
      <c r="U309" s="345">
        <v>0</v>
      </c>
      <c r="V309" s="345">
        <v>1</v>
      </c>
      <c r="W309" s="345">
        <v>2115.4</v>
      </c>
      <c r="X309" s="345">
        <v>0</v>
      </c>
      <c r="Y309" s="345">
        <v>2</v>
      </c>
      <c r="Z309" s="345">
        <v>2171.8000000000002</v>
      </c>
      <c r="AA309">
        <f t="shared" si="4"/>
        <v>0</v>
      </c>
    </row>
    <row r="310" spans="1:27" ht="28.8" x14ac:dyDescent="0.3">
      <c r="A310" s="345" t="s">
        <v>1983</v>
      </c>
      <c r="B310" s="805"/>
      <c r="C310" s="802"/>
      <c r="D310" s="802"/>
      <c r="E310" s="803"/>
      <c r="F310" s="805">
        <v>9.3000000000000007</v>
      </c>
      <c r="G310" s="803"/>
      <c r="H310" s="345">
        <v>2427.9</v>
      </c>
      <c r="I310" s="345">
        <v>9</v>
      </c>
      <c r="J310" s="345">
        <v>9.1</v>
      </c>
      <c r="K310" s="345">
        <v>2381.5</v>
      </c>
      <c r="L310" s="346"/>
      <c r="M310" s="346"/>
      <c r="N310" s="346"/>
      <c r="O310" s="345"/>
      <c r="P310" s="345"/>
      <c r="Q310" s="345"/>
      <c r="R310" s="345">
        <v>3.4</v>
      </c>
      <c r="S310" s="345">
        <v>4.4000000000000004</v>
      </c>
      <c r="T310" s="345">
        <v>2112.4</v>
      </c>
      <c r="U310" s="345">
        <v>3.5</v>
      </c>
      <c r="V310" s="345">
        <v>4.5</v>
      </c>
      <c r="W310" s="345">
        <v>2118.9</v>
      </c>
      <c r="X310" s="345">
        <v>4.5</v>
      </c>
      <c r="Y310" s="345">
        <v>6.5</v>
      </c>
      <c r="Z310" s="345">
        <v>2176.3000000000002</v>
      </c>
      <c r="AA310">
        <f t="shared" si="4"/>
        <v>9</v>
      </c>
    </row>
    <row r="311" spans="1:27" ht="28.8" x14ac:dyDescent="0.3">
      <c r="A311" s="345" t="s">
        <v>1984</v>
      </c>
      <c r="B311" s="805"/>
      <c r="C311" s="802"/>
      <c r="D311" s="802"/>
      <c r="E311" s="803"/>
      <c r="F311" s="805">
        <v>9.3000000000000007</v>
      </c>
      <c r="G311" s="803"/>
      <c r="H311" s="345">
        <v>2427.9</v>
      </c>
      <c r="I311" s="345">
        <v>0</v>
      </c>
      <c r="J311" s="345">
        <v>9.1</v>
      </c>
      <c r="K311" s="345">
        <v>2381.5</v>
      </c>
      <c r="L311" s="346"/>
      <c r="M311" s="346"/>
      <c r="N311" s="346"/>
      <c r="O311" s="345"/>
      <c r="P311" s="345"/>
      <c r="Q311" s="345"/>
      <c r="R311" s="345">
        <v>0</v>
      </c>
      <c r="S311" s="345">
        <v>4.4000000000000004</v>
      </c>
      <c r="T311" s="345">
        <v>2112.4</v>
      </c>
      <c r="U311" s="345">
        <v>0</v>
      </c>
      <c r="V311" s="345">
        <v>4.5</v>
      </c>
      <c r="W311" s="345">
        <v>2118.9</v>
      </c>
      <c r="X311" s="345">
        <v>0</v>
      </c>
      <c r="Y311" s="345">
        <v>6.5</v>
      </c>
      <c r="Z311" s="345">
        <v>2176.3000000000002</v>
      </c>
      <c r="AA311">
        <f t="shared" si="4"/>
        <v>0</v>
      </c>
    </row>
    <row r="312" spans="1:27" ht="28.8" x14ac:dyDescent="0.3">
      <c r="A312" s="345" t="s">
        <v>1985</v>
      </c>
      <c r="B312" s="805"/>
      <c r="C312" s="802"/>
      <c r="D312" s="802"/>
      <c r="E312" s="803"/>
      <c r="F312" s="805">
        <v>9.3000000000000007</v>
      </c>
      <c r="G312" s="803"/>
      <c r="H312" s="345">
        <v>2427.9</v>
      </c>
      <c r="I312" s="345">
        <v>0</v>
      </c>
      <c r="J312" s="345">
        <v>9.1</v>
      </c>
      <c r="K312" s="345">
        <v>2381.5</v>
      </c>
      <c r="L312" s="346"/>
      <c r="M312" s="346"/>
      <c r="N312" s="346"/>
      <c r="O312" s="345"/>
      <c r="P312" s="345"/>
      <c r="Q312" s="345"/>
      <c r="R312" s="345">
        <v>0</v>
      </c>
      <c r="S312" s="345">
        <v>4.4000000000000004</v>
      </c>
      <c r="T312" s="345">
        <v>2112.4</v>
      </c>
      <c r="U312" s="345">
        <v>0</v>
      </c>
      <c r="V312" s="345">
        <v>4.5</v>
      </c>
      <c r="W312" s="345">
        <v>2118.9</v>
      </c>
      <c r="X312" s="345">
        <v>0</v>
      </c>
      <c r="Y312" s="345">
        <v>6.5</v>
      </c>
      <c r="Z312" s="345">
        <v>2176.3000000000002</v>
      </c>
      <c r="AA312">
        <f t="shared" si="4"/>
        <v>0</v>
      </c>
    </row>
    <row r="313" spans="1:27" ht="28.8" x14ac:dyDescent="0.3">
      <c r="A313" s="345" t="s">
        <v>1986</v>
      </c>
      <c r="B313" s="805"/>
      <c r="C313" s="802"/>
      <c r="D313" s="802"/>
      <c r="E313" s="803"/>
      <c r="F313" s="805">
        <v>9.8000000000000007</v>
      </c>
      <c r="G313" s="803"/>
      <c r="H313" s="345">
        <v>2428.4</v>
      </c>
      <c r="I313" s="345">
        <v>0.5</v>
      </c>
      <c r="J313" s="345">
        <v>9.6</v>
      </c>
      <c r="K313" s="345">
        <v>2382</v>
      </c>
      <c r="L313" s="346"/>
      <c r="M313" s="346"/>
      <c r="N313" s="346"/>
      <c r="O313" s="345"/>
      <c r="P313" s="345"/>
      <c r="Q313" s="345"/>
      <c r="R313" s="345">
        <v>0</v>
      </c>
      <c r="S313" s="345">
        <v>4.4000000000000004</v>
      </c>
      <c r="T313" s="345">
        <v>2112.4</v>
      </c>
      <c r="U313" s="345">
        <v>1</v>
      </c>
      <c r="V313" s="345">
        <v>5.5</v>
      </c>
      <c r="W313" s="345">
        <v>2119.9</v>
      </c>
      <c r="X313" s="345">
        <v>1</v>
      </c>
      <c r="Y313" s="345">
        <v>7.5</v>
      </c>
      <c r="Z313" s="345">
        <v>2177.3000000000002</v>
      </c>
      <c r="AA313">
        <f t="shared" si="4"/>
        <v>0.5</v>
      </c>
    </row>
    <row r="314" spans="1:27" ht="28.8" x14ac:dyDescent="0.3">
      <c r="A314" s="345" t="s">
        <v>1987</v>
      </c>
      <c r="B314" s="805"/>
      <c r="C314" s="802"/>
      <c r="D314" s="802"/>
      <c r="E314" s="803"/>
      <c r="F314" s="805">
        <v>15.8</v>
      </c>
      <c r="G314" s="803"/>
      <c r="H314" s="345">
        <v>2434.4</v>
      </c>
      <c r="I314" s="345">
        <v>7</v>
      </c>
      <c r="J314" s="345">
        <v>16.600000000000001</v>
      </c>
      <c r="K314" s="345">
        <v>2389</v>
      </c>
      <c r="L314" s="346"/>
      <c r="M314" s="346"/>
      <c r="N314" s="346"/>
      <c r="O314" s="345"/>
      <c r="P314" s="345"/>
      <c r="Q314" s="345"/>
      <c r="R314" s="345">
        <v>2.6</v>
      </c>
      <c r="S314" s="345">
        <v>7</v>
      </c>
      <c r="T314" s="345">
        <v>2115</v>
      </c>
      <c r="U314" s="345">
        <v>3</v>
      </c>
      <c r="V314" s="345">
        <v>8.5</v>
      </c>
      <c r="W314" s="345">
        <v>2122.9</v>
      </c>
      <c r="X314" s="345">
        <v>1</v>
      </c>
      <c r="Y314" s="345">
        <v>8.5</v>
      </c>
      <c r="Z314" s="345">
        <v>2178.3000000000002</v>
      </c>
      <c r="AA314">
        <f t="shared" si="4"/>
        <v>7</v>
      </c>
    </row>
    <row r="315" spans="1:27" ht="28.8" x14ac:dyDescent="0.3">
      <c r="A315" s="345" t="s">
        <v>1988</v>
      </c>
      <c r="B315" s="805"/>
      <c r="C315" s="802"/>
      <c r="D315" s="802"/>
      <c r="E315" s="803"/>
      <c r="F315" s="805">
        <v>15.8</v>
      </c>
      <c r="G315" s="803"/>
      <c r="H315" s="345">
        <v>2434.4</v>
      </c>
      <c r="I315" s="345">
        <v>0</v>
      </c>
      <c r="J315" s="345">
        <v>16.600000000000001</v>
      </c>
      <c r="K315" s="345">
        <v>2389</v>
      </c>
      <c r="L315" s="346"/>
      <c r="M315" s="346"/>
      <c r="N315" s="346"/>
      <c r="O315" s="345"/>
      <c r="P315" s="345"/>
      <c r="Q315" s="345"/>
      <c r="R315" s="345">
        <v>0</v>
      </c>
      <c r="S315" s="345">
        <v>7</v>
      </c>
      <c r="T315" s="345">
        <v>2115</v>
      </c>
      <c r="U315" s="345">
        <v>0</v>
      </c>
      <c r="V315" s="345">
        <v>8.5</v>
      </c>
      <c r="W315" s="345">
        <v>2122.9</v>
      </c>
      <c r="X315" s="345">
        <v>0</v>
      </c>
      <c r="Y315" s="345">
        <v>8.5</v>
      </c>
      <c r="Z315" s="345">
        <v>2178.3000000000002</v>
      </c>
      <c r="AA315">
        <f t="shared" si="4"/>
        <v>0</v>
      </c>
    </row>
    <row r="316" spans="1:27" ht="28.8" x14ac:dyDescent="0.3">
      <c r="A316" s="345" t="s">
        <v>1989</v>
      </c>
      <c r="B316" s="805"/>
      <c r="C316" s="802"/>
      <c r="D316" s="802"/>
      <c r="E316" s="803"/>
      <c r="F316" s="805">
        <v>15.8</v>
      </c>
      <c r="G316" s="803"/>
      <c r="H316" s="345">
        <v>2434.4</v>
      </c>
      <c r="I316" s="345">
        <v>0</v>
      </c>
      <c r="J316" s="345">
        <v>16.600000000000001</v>
      </c>
      <c r="K316" s="345">
        <v>2389</v>
      </c>
      <c r="L316" s="346"/>
      <c r="M316" s="346"/>
      <c r="N316" s="346"/>
      <c r="O316" s="345"/>
      <c r="P316" s="345"/>
      <c r="Q316" s="345"/>
      <c r="R316" s="345">
        <v>0</v>
      </c>
      <c r="S316" s="345">
        <v>7</v>
      </c>
      <c r="T316" s="345">
        <v>2115</v>
      </c>
      <c r="U316" s="345">
        <v>0</v>
      </c>
      <c r="V316" s="345">
        <v>8.5</v>
      </c>
      <c r="W316" s="345">
        <v>2122.9</v>
      </c>
      <c r="X316" s="345">
        <v>0</v>
      </c>
      <c r="Y316" s="345">
        <v>8.5</v>
      </c>
      <c r="Z316" s="345">
        <v>2178.3000000000002</v>
      </c>
      <c r="AA316">
        <f t="shared" si="4"/>
        <v>0</v>
      </c>
    </row>
    <row r="317" spans="1:27" ht="28.8" x14ac:dyDescent="0.3">
      <c r="A317" s="345" t="s">
        <v>1990</v>
      </c>
      <c r="B317" s="805"/>
      <c r="C317" s="802"/>
      <c r="D317" s="802"/>
      <c r="E317" s="803"/>
      <c r="F317" s="805">
        <v>34.299999999999997</v>
      </c>
      <c r="G317" s="803"/>
      <c r="H317" s="345">
        <v>2452.9</v>
      </c>
      <c r="I317" s="345">
        <v>29</v>
      </c>
      <c r="J317" s="345">
        <v>45.6</v>
      </c>
      <c r="K317" s="345">
        <v>2418</v>
      </c>
      <c r="L317" s="346"/>
      <c r="M317" s="346"/>
      <c r="N317" s="346"/>
      <c r="O317" s="345"/>
      <c r="P317" s="345"/>
      <c r="Q317" s="345"/>
      <c r="R317" s="345">
        <v>25.4</v>
      </c>
      <c r="S317" s="345">
        <v>32.4</v>
      </c>
      <c r="T317" s="345">
        <v>2140.4</v>
      </c>
      <c r="U317" s="345">
        <v>30.5</v>
      </c>
      <c r="V317" s="345">
        <v>39</v>
      </c>
      <c r="W317" s="345">
        <v>2153.4</v>
      </c>
      <c r="X317" s="345">
        <v>24.5</v>
      </c>
      <c r="Y317" s="345">
        <v>33</v>
      </c>
      <c r="Z317" s="345">
        <v>2202.8000000000002</v>
      </c>
      <c r="AA317">
        <f t="shared" si="4"/>
        <v>29</v>
      </c>
    </row>
    <row r="318" spans="1:27" ht="28.8" x14ac:dyDescent="0.3">
      <c r="A318" s="345" t="s">
        <v>1991</v>
      </c>
      <c r="B318" s="805"/>
      <c r="C318" s="802"/>
      <c r="D318" s="802"/>
      <c r="E318" s="803"/>
      <c r="F318" s="805">
        <v>34.299999999999997</v>
      </c>
      <c r="G318" s="803"/>
      <c r="H318" s="345">
        <v>2452.9</v>
      </c>
      <c r="I318" s="345">
        <v>0</v>
      </c>
      <c r="J318" s="345">
        <v>45.6</v>
      </c>
      <c r="K318" s="345">
        <v>2418</v>
      </c>
      <c r="L318" s="346"/>
      <c r="M318" s="346"/>
      <c r="N318" s="346"/>
      <c r="O318" s="345"/>
      <c r="P318" s="345"/>
      <c r="Q318" s="345"/>
      <c r="R318" s="345">
        <v>0.2</v>
      </c>
      <c r="S318" s="345">
        <v>32.6</v>
      </c>
      <c r="T318" s="345">
        <v>2140.6</v>
      </c>
      <c r="U318" s="345">
        <v>0.5</v>
      </c>
      <c r="V318" s="345">
        <v>39.5</v>
      </c>
      <c r="W318" s="345">
        <v>2153.9</v>
      </c>
      <c r="X318" s="345">
        <v>0.5</v>
      </c>
      <c r="Y318" s="345">
        <v>33.5</v>
      </c>
      <c r="Z318" s="345">
        <v>2203.3000000000002</v>
      </c>
      <c r="AA318">
        <f t="shared" si="4"/>
        <v>0</v>
      </c>
    </row>
    <row r="319" spans="1:27" ht="28.8" x14ac:dyDescent="0.3">
      <c r="A319" s="345" t="s">
        <v>1992</v>
      </c>
      <c r="B319" s="805"/>
      <c r="C319" s="802"/>
      <c r="D319" s="802"/>
      <c r="E319" s="803"/>
      <c r="F319" s="805">
        <v>34.299999999999997</v>
      </c>
      <c r="G319" s="803"/>
      <c r="H319" s="345">
        <v>2452.9</v>
      </c>
      <c r="I319" s="345">
        <v>0</v>
      </c>
      <c r="J319" s="345">
        <v>45.6</v>
      </c>
      <c r="K319" s="345">
        <v>2418</v>
      </c>
      <c r="L319" s="346"/>
      <c r="M319" s="346"/>
      <c r="N319" s="346"/>
      <c r="O319" s="345"/>
      <c r="P319" s="345"/>
      <c r="Q319" s="345"/>
      <c r="R319" s="345">
        <v>0</v>
      </c>
      <c r="S319" s="345">
        <v>32.6</v>
      </c>
      <c r="T319" s="345">
        <v>2140.6</v>
      </c>
      <c r="U319" s="345">
        <v>0</v>
      </c>
      <c r="V319" s="345">
        <v>39.5</v>
      </c>
      <c r="W319" s="345">
        <v>2153.9</v>
      </c>
      <c r="X319" s="345">
        <v>0</v>
      </c>
      <c r="Y319" s="345">
        <v>33.5</v>
      </c>
      <c r="Z319" s="345">
        <v>2203.3000000000002</v>
      </c>
      <c r="AA319">
        <f t="shared" si="4"/>
        <v>0</v>
      </c>
    </row>
    <row r="320" spans="1:27" ht="28.8" x14ac:dyDescent="0.3">
      <c r="A320" s="345" t="s">
        <v>1993</v>
      </c>
      <c r="B320" s="805"/>
      <c r="C320" s="802"/>
      <c r="D320" s="802"/>
      <c r="E320" s="803"/>
      <c r="F320" s="805">
        <v>36.299999999999997</v>
      </c>
      <c r="G320" s="803"/>
      <c r="H320" s="345">
        <v>2454.9</v>
      </c>
      <c r="I320" s="345">
        <v>1.5</v>
      </c>
      <c r="J320" s="345">
        <v>47.1</v>
      </c>
      <c r="K320" s="345">
        <v>2419.5</v>
      </c>
      <c r="L320" s="346"/>
      <c r="M320" s="346"/>
      <c r="N320" s="346"/>
      <c r="O320" s="345"/>
      <c r="P320" s="345"/>
      <c r="Q320" s="345"/>
      <c r="R320" s="345">
        <v>0.6</v>
      </c>
      <c r="S320" s="345">
        <v>33.200000000000003</v>
      </c>
      <c r="T320" s="345">
        <v>2141.1999999999998</v>
      </c>
      <c r="U320" s="345">
        <v>1</v>
      </c>
      <c r="V320" s="345">
        <v>40.5</v>
      </c>
      <c r="W320" s="345">
        <v>2154.9</v>
      </c>
      <c r="X320" s="345">
        <v>2</v>
      </c>
      <c r="Y320" s="345">
        <v>35.5</v>
      </c>
      <c r="Z320" s="345">
        <v>2205.3000000000002</v>
      </c>
      <c r="AA320">
        <f t="shared" si="4"/>
        <v>1.5</v>
      </c>
    </row>
    <row r="321" spans="1:27" ht="28.8" x14ac:dyDescent="0.3">
      <c r="A321" s="345" t="s">
        <v>1994</v>
      </c>
      <c r="B321" s="805"/>
      <c r="C321" s="802"/>
      <c r="D321" s="802"/>
      <c r="E321" s="803"/>
      <c r="F321" s="805">
        <v>37.799999999999997</v>
      </c>
      <c r="G321" s="803"/>
      <c r="H321" s="345">
        <v>2456.4</v>
      </c>
      <c r="I321" s="345">
        <v>1.5</v>
      </c>
      <c r="J321" s="345">
        <v>48.6</v>
      </c>
      <c r="K321" s="345">
        <v>2421</v>
      </c>
      <c r="L321" s="346"/>
      <c r="M321" s="346"/>
      <c r="N321" s="346"/>
      <c r="O321" s="345"/>
      <c r="P321" s="345"/>
      <c r="Q321" s="345"/>
      <c r="R321" s="345">
        <v>1.4</v>
      </c>
      <c r="S321" s="345">
        <v>34.6</v>
      </c>
      <c r="T321" s="345">
        <v>2142.6</v>
      </c>
      <c r="U321" s="345">
        <v>1.5</v>
      </c>
      <c r="V321" s="345">
        <v>42</v>
      </c>
      <c r="W321" s="345">
        <v>2156.4</v>
      </c>
      <c r="X321" s="345">
        <v>1.5</v>
      </c>
      <c r="Y321" s="345">
        <v>37</v>
      </c>
      <c r="Z321" s="345">
        <v>2206.8000000000002</v>
      </c>
      <c r="AA321">
        <f t="shared" si="4"/>
        <v>1.5</v>
      </c>
    </row>
    <row r="322" spans="1:27" ht="28.8" x14ac:dyDescent="0.3">
      <c r="A322" s="345" t="s">
        <v>1995</v>
      </c>
      <c r="B322" s="805"/>
      <c r="C322" s="802"/>
      <c r="D322" s="802"/>
      <c r="E322" s="803"/>
      <c r="F322" s="805">
        <v>45.8</v>
      </c>
      <c r="G322" s="803"/>
      <c r="H322" s="345">
        <v>2464.4</v>
      </c>
      <c r="I322" s="345">
        <v>5.5</v>
      </c>
      <c r="J322" s="345">
        <v>54.1</v>
      </c>
      <c r="K322" s="345">
        <v>2426.5</v>
      </c>
      <c r="L322" s="346"/>
      <c r="M322" s="346"/>
      <c r="N322" s="346"/>
      <c r="O322" s="345"/>
      <c r="P322" s="345"/>
      <c r="Q322" s="345"/>
      <c r="R322" s="345">
        <v>4.8</v>
      </c>
      <c r="S322" s="345">
        <v>39.4</v>
      </c>
      <c r="T322" s="345">
        <v>2147.4</v>
      </c>
      <c r="U322" s="345">
        <v>5.5</v>
      </c>
      <c r="V322" s="345">
        <v>47.5</v>
      </c>
      <c r="W322" s="345">
        <v>2161.9</v>
      </c>
      <c r="X322" s="345">
        <v>6.5</v>
      </c>
      <c r="Y322" s="345">
        <v>43.5</v>
      </c>
      <c r="Z322" s="345">
        <v>2213.3000000000002</v>
      </c>
      <c r="AA322">
        <f t="shared" si="4"/>
        <v>5.5</v>
      </c>
    </row>
    <row r="323" spans="1:27" ht="28.8" x14ac:dyDescent="0.3">
      <c r="A323" s="345" t="s">
        <v>1996</v>
      </c>
      <c r="B323" s="805"/>
      <c r="C323" s="802"/>
      <c r="D323" s="802"/>
      <c r="E323" s="803"/>
      <c r="F323" s="805">
        <v>66.8</v>
      </c>
      <c r="G323" s="803"/>
      <c r="H323" s="345">
        <v>2485.4</v>
      </c>
      <c r="I323" s="345">
        <v>28.5</v>
      </c>
      <c r="J323" s="345">
        <v>82.6</v>
      </c>
      <c r="K323" s="345">
        <v>2455</v>
      </c>
      <c r="L323" s="346"/>
      <c r="M323" s="346"/>
      <c r="N323" s="346"/>
      <c r="O323" s="345"/>
      <c r="P323" s="345"/>
      <c r="Q323" s="345"/>
      <c r="R323" s="345">
        <v>31</v>
      </c>
      <c r="S323" s="345">
        <v>70.400000000000006</v>
      </c>
      <c r="T323" s="345">
        <v>2178.4</v>
      </c>
      <c r="U323" s="345">
        <v>35</v>
      </c>
      <c r="V323" s="345">
        <v>82.5</v>
      </c>
      <c r="W323" s="345">
        <v>2196.9</v>
      </c>
      <c r="X323" s="345">
        <v>34</v>
      </c>
      <c r="Y323" s="345">
        <v>77.5</v>
      </c>
      <c r="Z323" s="345">
        <v>2247.3000000000002</v>
      </c>
      <c r="AA323">
        <f t="shared" si="4"/>
        <v>28.5</v>
      </c>
    </row>
    <row r="324" spans="1:27" ht="28.8" x14ac:dyDescent="0.3">
      <c r="A324" s="345" t="s">
        <v>1997</v>
      </c>
      <c r="B324" s="805"/>
      <c r="C324" s="802"/>
      <c r="D324" s="802"/>
      <c r="E324" s="803"/>
      <c r="F324" s="805">
        <v>67.2</v>
      </c>
      <c r="G324" s="803"/>
      <c r="H324" s="345">
        <v>2485.8000000000002</v>
      </c>
      <c r="I324" s="345">
        <v>0.5</v>
      </c>
      <c r="J324" s="345">
        <v>83.1</v>
      </c>
      <c r="K324" s="345">
        <v>2455.5</v>
      </c>
      <c r="L324" s="346"/>
      <c r="M324" s="346"/>
      <c r="N324" s="346"/>
      <c r="O324" s="345"/>
      <c r="P324" s="345"/>
      <c r="Q324" s="345"/>
      <c r="R324" s="345">
        <v>0.2</v>
      </c>
      <c r="S324" s="345">
        <v>70.599999999999994</v>
      </c>
      <c r="T324" s="345">
        <v>2178.6</v>
      </c>
      <c r="U324" s="345">
        <v>0.5</v>
      </c>
      <c r="V324" s="345">
        <v>83</v>
      </c>
      <c r="W324" s="345">
        <v>2197.4</v>
      </c>
      <c r="X324" s="345">
        <v>1</v>
      </c>
      <c r="Y324" s="345">
        <v>78.5</v>
      </c>
      <c r="Z324" s="345">
        <v>2248.3000000000002</v>
      </c>
      <c r="AA324">
        <f t="shared" si="4"/>
        <v>0.5</v>
      </c>
    </row>
    <row r="325" spans="1:27" ht="28.8" x14ac:dyDescent="0.3">
      <c r="A325" s="345" t="s">
        <v>1998</v>
      </c>
      <c r="B325" s="805"/>
      <c r="C325" s="802"/>
      <c r="D325" s="802"/>
      <c r="E325" s="803"/>
      <c r="F325" s="805">
        <v>93.2</v>
      </c>
      <c r="G325" s="803"/>
      <c r="H325" s="345">
        <v>2511.8000000000002</v>
      </c>
      <c r="I325" s="345">
        <v>19.5</v>
      </c>
      <c r="J325" s="345">
        <v>102.6</v>
      </c>
      <c r="K325" s="345">
        <v>2475</v>
      </c>
      <c r="L325" s="346"/>
      <c r="M325" s="346"/>
      <c r="N325" s="346"/>
      <c r="O325" s="345"/>
      <c r="P325" s="345"/>
      <c r="Q325" s="345"/>
      <c r="R325" s="345">
        <v>24</v>
      </c>
      <c r="S325" s="345">
        <v>94.6</v>
      </c>
      <c r="T325" s="345">
        <v>2202.6</v>
      </c>
      <c r="U325" s="345">
        <v>25.5</v>
      </c>
      <c r="V325" s="345">
        <v>108.5</v>
      </c>
      <c r="W325" s="345">
        <v>2222.9</v>
      </c>
      <c r="X325" s="345">
        <v>25</v>
      </c>
      <c r="Y325" s="345">
        <v>103.5</v>
      </c>
      <c r="Z325" s="345">
        <v>2273.3000000000002</v>
      </c>
      <c r="AA325">
        <f t="shared" si="4"/>
        <v>19.5</v>
      </c>
    </row>
    <row r="326" spans="1:27" ht="28.8" x14ac:dyDescent="0.3">
      <c r="A326" s="345" t="s">
        <v>1999</v>
      </c>
      <c r="B326" s="805"/>
      <c r="C326" s="802"/>
      <c r="D326" s="802"/>
      <c r="E326" s="803"/>
      <c r="F326" s="805">
        <v>100.2</v>
      </c>
      <c r="G326" s="803"/>
      <c r="H326" s="345">
        <v>2518.8000000000002</v>
      </c>
      <c r="I326" s="345">
        <v>12</v>
      </c>
      <c r="J326" s="345">
        <v>114.6</v>
      </c>
      <c r="K326" s="345">
        <v>2487</v>
      </c>
      <c r="L326" s="346"/>
      <c r="M326" s="346"/>
      <c r="N326" s="346"/>
      <c r="O326" s="345"/>
      <c r="P326" s="345"/>
      <c r="Q326" s="345"/>
      <c r="R326" s="345">
        <v>6.2</v>
      </c>
      <c r="S326" s="345">
        <v>100.8</v>
      </c>
      <c r="T326" s="345">
        <v>2208.8000000000002</v>
      </c>
      <c r="U326" s="345">
        <v>7</v>
      </c>
      <c r="V326" s="345">
        <v>115.5</v>
      </c>
      <c r="W326" s="345">
        <v>2229.9</v>
      </c>
      <c r="X326" s="345">
        <v>7</v>
      </c>
      <c r="Y326" s="345">
        <v>110.5</v>
      </c>
      <c r="Z326" s="345">
        <v>2280.3000000000002</v>
      </c>
      <c r="AA326">
        <f t="shared" ref="AA326:AA389" si="5">MAX(B326+I326+L326+O326)</f>
        <v>12</v>
      </c>
    </row>
    <row r="327" spans="1:27" ht="28.8" x14ac:dyDescent="0.3">
      <c r="A327" s="345" t="s">
        <v>2000</v>
      </c>
      <c r="B327" s="805"/>
      <c r="C327" s="802"/>
      <c r="D327" s="802"/>
      <c r="E327" s="803"/>
      <c r="F327" s="805">
        <v>120.2</v>
      </c>
      <c r="G327" s="803"/>
      <c r="H327" s="345">
        <v>2538.8000000000002</v>
      </c>
      <c r="I327" s="345">
        <v>17.5</v>
      </c>
      <c r="J327" s="345">
        <v>132.1</v>
      </c>
      <c r="K327" s="345">
        <v>2504.5</v>
      </c>
      <c r="L327" s="346"/>
      <c r="M327" s="346"/>
      <c r="N327" s="346"/>
      <c r="O327" s="345"/>
      <c r="P327" s="345"/>
      <c r="Q327" s="345"/>
      <c r="R327" s="345">
        <v>16.600000000000001</v>
      </c>
      <c r="S327" s="345">
        <v>117.4</v>
      </c>
      <c r="T327" s="345">
        <v>2225.4</v>
      </c>
      <c r="U327" s="345">
        <v>18.5</v>
      </c>
      <c r="V327" s="345">
        <v>134</v>
      </c>
      <c r="W327" s="345">
        <v>2248.4</v>
      </c>
      <c r="X327" s="345">
        <v>15.5</v>
      </c>
      <c r="Y327" s="345">
        <v>126</v>
      </c>
      <c r="Z327" s="345">
        <v>2295.8000000000002</v>
      </c>
      <c r="AA327">
        <f t="shared" si="5"/>
        <v>17.5</v>
      </c>
    </row>
    <row r="328" spans="1:27" ht="28.8" x14ac:dyDescent="0.3">
      <c r="A328" s="345" t="s">
        <v>2001</v>
      </c>
      <c r="B328" s="805"/>
      <c r="C328" s="802"/>
      <c r="D328" s="802"/>
      <c r="E328" s="803"/>
      <c r="F328" s="805">
        <v>124.7</v>
      </c>
      <c r="G328" s="803"/>
      <c r="H328" s="345">
        <v>2543.3000000000002</v>
      </c>
      <c r="I328" s="345">
        <v>5.5</v>
      </c>
      <c r="J328" s="345">
        <v>137.6</v>
      </c>
      <c r="K328" s="345">
        <v>2510</v>
      </c>
      <c r="L328" s="346"/>
      <c r="M328" s="346"/>
      <c r="N328" s="346"/>
      <c r="O328" s="345"/>
      <c r="P328" s="345"/>
      <c r="Q328" s="345"/>
      <c r="R328" s="345">
        <v>2</v>
      </c>
      <c r="S328" s="345">
        <v>119.4</v>
      </c>
      <c r="T328" s="345">
        <v>2227.4</v>
      </c>
      <c r="U328" s="345">
        <v>2.5</v>
      </c>
      <c r="V328" s="345">
        <v>136.5</v>
      </c>
      <c r="W328" s="345">
        <v>2250.9</v>
      </c>
      <c r="X328" s="345">
        <v>3</v>
      </c>
      <c r="Y328" s="345">
        <v>129</v>
      </c>
      <c r="Z328" s="345">
        <v>2298.8000000000002</v>
      </c>
      <c r="AA328">
        <f t="shared" si="5"/>
        <v>5.5</v>
      </c>
    </row>
    <row r="329" spans="1:27" ht="28.8" x14ac:dyDescent="0.3">
      <c r="A329" s="345" t="s">
        <v>2002</v>
      </c>
      <c r="B329" s="805"/>
      <c r="C329" s="802"/>
      <c r="D329" s="802"/>
      <c r="E329" s="803"/>
      <c r="F329" s="805">
        <v>127.2</v>
      </c>
      <c r="G329" s="803"/>
      <c r="H329" s="345">
        <v>2545.8000000000002</v>
      </c>
      <c r="I329" s="345">
        <v>2</v>
      </c>
      <c r="J329" s="345">
        <v>139.6</v>
      </c>
      <c r="K329" s="345">
        <v>2512</v>
      </c>
      <c r="L329" s="346"/>
      <c r="M329" s="346"/>
      <c r="N329" s="346"/>
      <c r="O329" s="345"/>
      <c r="P329" s="345"/>
      <c r="Q329" s="345"/>
      <c r="R329" s="345">
        <v>3</v>
      </c>
      <c r="S329" s="345">
        <v>122.4</v>
      </c>
      <c r="T329" s="345">
        <v>2230.4</v>
      </c>
      <c r="U329" s="345">
        <v>4</v>
      </c>
      <c r="V329" s="345">
        <v>140.5</v>
      </c>
      <c r="W329" s="345">
        <v>2254.9</v>
      </c>
      <c r="X329" s="345">
        <v>5</v>
      </c>
      <c r="Y329" s="345">
        <v>134</v>
      </c>
      <c r="Z329" s="345">
        <v>2303.8000000000002</v>
      </c>
      <c r="AA329">
        <f t="shared" si="5"/>
        <v>2</v>
      </c>
    </row>
    <row r="330" spans="1:27" ht="28.8" x14ac:dyDescent="0.3">
      <c r="A330" s="345" t="s">
        <v>2003</v>
      </c>
      <c r="B330" s="805"/>
      <c r="C330" s="802"/>
      <c r="D330" s="802"/>
      <c r="E330" s="803"/>
      <c r="F330" s="805">
        <v>127.2</v>
      </c>
      <c r="G330" s="803"/>
      <c r="H330" s="345">
        <v>2545.8000000000002</v>
      </c>
      <c r="I330" s="345">
        <v>0</v>
      </c>
      <c r="J330" s="345">
        <v>139.6</v>
      </c>
      <c r="K330" s="345">
        <v>2512</v>
      </c>
      <c r="L330" s="346"/>
      <c r="M330" s="346"/>
      <c r="N330" s="346"/>
      <c r="O330" s="345"/>
      <c r="P330" s="345"/>
      <c r="Q330" s="345"/>
      <c r="R330" s="345">
        <v>0.2</v>
      </c>
      <c r="S330" s="345">
        <v>122.6</v>
      </c>
      <c r="T330" s="345">
        <v>2230.6</v>
      </c>
      <c r="U330" s="345">
        <v>0</v>
      </c>
      <c r="V330" s="345">
        <v>140.5</v>
      </c>
      <c r="W330" s="345">
        <v>2254.9</v>
      </c>
      <c r="X330" s="345">
        <v>0</v>
      </c>
      <c r="Y330" s="345">
        <v>134</v>
      </c>
      <c r="Z330" s="345">
        <v>2303.8000000000002</v>
      </c>
      <c r="AA330">
        <f t="shared" si="5"/>
        <v>0</v>
      </c>
    </row>
    <row r="331" spans="1:27" ht="28.8" x14ac:dyDescent="0.3">
      <c r="A331" s="345" t="s">
        <v>2004</v>
      </c>
      <c r="B331" s="805"/>
      <c r="C331" s="802"/>
      <c r="D331" s="802"/>
      <c r="E331" s="803"/>
      <c r="F331" s="805">
        <v>127.2</v>
      </c>
      <c r="G331" s="803"/>
      <c r="H331" s="345">
        <v>2545.8000000000002</v>
      </c>
      <c r="I331" s="345">
        <v>0</v>
      </c>
      <c r="J331" s="345">
        <v>139.6</v>
      </c>
      <c r="K331" s="345">
        <v>2512</v>
      </c>
      <c r="L331" s="346"/>
      <c r="M331" s="346"/>
      <c r="N331" s="346"/>
      <c r="O331" s="345"/>
      <c r="P331" s="345"/>
      <c r="Q331" s="345"/>
      <c r="R331" s="345">
        <v>0</v>
      </c>
      <c r="S331" s="345">
        <v>122.6</v>
      </c>
      <c r="T331" s="345">
        <v>2230.6</v>
      </c>
      <c r="U331" s="345">
        <v>0</v>
      </c>
      <c r="V331" s="345">
        <v>140.5</v>
      </c>
      <c r="W331" s="345">
        <v>2254.9</v>
      </c>
      <c r="X331" s="345">
        <v>0</v>
      </c>
      <c r="Y331" s="345">
        <v>134</v>
      </c>
      <c r="Z331" s="345">
        <v>2303.8000000000002</v>
      </c>
      <c r="AA331">
        <f t="shared" si="5"/>
        <v>0</v>
      </c>
    </row>
    <row r="332" spans="1:27" ht="28.8" x14ac:dyDescent="0.3">
      <c r="A332" s="345" t="s">
        <v>2005</v>
      </c>
      <c r="B332" s="805"/>
      <c r="C332" s="802"/>
      <c r="D332" s="802"/>
      <c r="E332" s="803"/>
      <c r="F332" s="805">
        <v>127.2</v>
      </c>
      <c r="G332" s="803"/>
      <c r="H332" s="345">
        <v>2545.8000000000002</v>
      </c>
      <c r="I332" s="345">
        <v>0</v>
      </c>
      <c r="J332" s="345">
        <v>139.6</v>
      </c>
      <c r="K332" s="345">
        <v>2512</v>
      </c>
      <c r="L332" s="346"/>
      <c r="M332" s="346"/>
      <c r="N332" s="346"/>
      <c r="O332" s="345"/>
      <c r="P332" s="345"/>
      <c r="Q332" s="345"/>
      <c r="R332" s="345">
        <v>0</v>
      </c>
      <c r="S332" s="345">
        <v>122.6</v>
      </c>
      <c r="T332" s="345">
        <v>2230.6</v>
      </c>
      <c r="U332" s="345">
        <v>0</v>
      </c>
      <c r="V332" s="345">
        <v>140.5</v>
      </c>
      <c r="W332" s="345">
        <v>2254.9</v>
      </c>
      <c r="X332" s="345">
        <v>0</v>
      </c>
      <c r="Y332" s="345">
        <v>134</v>
      </c>
      <c r="Z332" s="345">
        <v>2303.8000000000002</v>
      </c>
      <c r="AA332">
        <f t="shared" si="5"/>
        <v>0</v>
      </c>
    </row>
    <row r="333" spans="1:27" ht="28.8" x14ac:dyDescent="0.3">
      <c r="A333" s="345" t="s">
        <v>2006</v>
      </c>
      <c r="B333" s="805"/>
      <c r="C333" s="802"/>
      <c r="D333" s="802"/>
      <c r="E333" s="803"/>
      <c r="F333" s="805">
        <v>127.2</v>
      </c>
      <c r="G333" s="803"/>
      <c r="H333" s="345">
        <v>2545.8000000000002</v>
      </c>
      <c r="I333" s="345">
        <v>0</v>
      </c>
      <c r="J333" s="345">
        <v>139.6</v>
      </c>
      <c r="K333" s="345">
        <v>2512</v>
      </c>
      <c r="L333" s="346"/>
      <c r="M333" s="346"/>
      <c r="N333" s="346"/>
      <c r="O333" s="345"/>
      <c r="P333" s="345"/>
      <c r="Q333" s="345"/>
      <c r="R333" s="345">
        <v>0.2</v>
      </c>
      <c r="S333" s="345">
        <v>122.8</v>
      </c>
      <c r="T333" s="345">
        <v>2230.8000000000002</v>
      </c>
      <c r="U333" s="345">
        <v>0</v>
      </c>
      <c r="V333" s="345">
        <v>140.5</v>
      </c>
      <c r="W333" s="345">
        <v>2254.9</v>
      </c>
      <c r="X333" s="345">
        <v>0</v>
      </c>
      <c r="Y333" s="345">
        <v>134</v>
      </c>
      <c r="Z333" s="345">
        <v>2303.8000000000002</v>
      </c>
      <c r="AA333">
        <f t="shared" si="5"/>
        <v>0</v>
      </c>
    </row>
    <row r="334" spans="1:27" ht="28.8" x14ac:dyDescent="0.3">
      <c r="A334" s="345" t="s">
        <v>2007</v>
      </c>
      <c r="B334" s="805"/>
      <c r="C334" s="802"/>
      <c r="D334" s="802"/>
      <c r="E334" s="803"/>
      <c r="F334" s="805">
        <v>133.69999999999999</v>
      </c>
      <c r="G334" s="803"/>
      <c r="H334" s="345">
        <v>2552.3000000000002</v>
      </c>
      <c r="I334" s="345">
        <v>1.5</v>
      </c>
      <c r="J334" s="345">
        <v>141.1</v>
      </c>
      <c r="K334" s="345">
        <v>2513.5</v>
      </c>
      <c r="L334" s="346"/>
      <c r="M334" s="346"/>
      <c r="N334" s="346"/>
      <c r="O334" s="345"/>
      <c r="P334" s="345"/>
      <c r="Q334" s="345"/>
      <c r="R334" s="345">
        <v>2.8</v>
      </c>
      <c r="S334" s="345">
        <v>125.6</v>
      </c>
      <c r="T334" s="345">
        <v>2233.6</v>
      </c>
      <c r="U334" s="345">
        <v>3.5</v>
      </c>
      <c r="V334" s="345">
        <v>144</v>
      </c>
      <c r="W334" s="345">
        <v>2258.4</v>
      </c>
      <c r="X334" s="345">
        <v>13.5</v>
      </c>
      <c r="Y334" s="345">
        <v>147.5</v>
      </c>
      <c r="Z334" s="345">
        <v>2317.3000000000002</v>
      </c>
      <c r="AA334">
        <f t="shared" si="5"/>
        <v>1.5</v>
      </c>
    </row>
    <row r="335" spans="1:27" ht="28.8" x14ac:dyDescent="0.3">
      <c r="A335" s="345" t="s">
        <v>2008</v>
      </c>
      <c r="B335" s="805"/>
      <c r="C335" s="802"/>
      <c r="D335" s="802"/>
      <c r="E335" s="803"/>
      <c r="F335" s="805">
        <v>147.19999999999999</v>
      </c>
      <c r="G335" s="803"/>
      <c r="H335" s="345">
        <v>2565.8000000000002</v>
      </c>
      <c r="I335" s="345">
        <v>24.5</v>
      </c>
      <c r="J335" s="345">
        <v>165.6</v>
      </c>
      <c r="K335" s="345">
        <v>2538</v>
      </c>
      <c r="L335" s="346"/>
      <c r="M335" s="346"/>
      <c r="N335" s="346"/>
      <c r="O335" s="345"/>
      <c r="P335" s="345"/>
      <c r="Q335" s="345"/>
      <c r="R335" s="345">
        <v>19.399999999999999</v>
      </c>
      <c r="S335" s="345">
        <v>145</v>
      </c>
      <c r="T335" s="345">
        <v>2253</v>
      </c>
      <c r="U335" s="345">
        <v>21.5</v>
      </c>
      <c r="V335" s="345">
        <v>165.5</v>
      </c>
      <c r="W335" s="345">
        <v>2279.9</v>
      </c>
      <c r="X335" s="345">
        <v>19.5</v>
      </c>
      <c r="Y335" s="345">
        <v>167</v>
      </c>
      <c r="Z335" s="345">
        <v>2336.8000000000002</v>
      </c>
      <c r="AA335">
        <f t="shared" si="5"/>
        <v>24.5</v>
      </c>
    </row>
    <row r="336" spans="1:27" s="362" customFormat="1" ht="28.8" x14ac:dyDescent="0.3">
      <c r="A336" s="359" t="s">
        <v>2009</v>
      </c>
      <c r="B336" s="811"/>
      <c r="C336" s="812"/>
      <c r="D336" s="812"/>
      <c r="E336" s="813"/>
      <c r="F336" s="811">
        <v>148.69999999999999</v>
      </c>
      <c r="G336" s="813"/>
      <c r="H336" s="359">
        <v>2567.3000000000002</v>
      </c>
      <c r="I336" s="359">
        <v>5</v>
      </c>
      <c r="J336" s="359">
        <v>170.6</v>
      </c>
      <c r="K336" s="359">
        <v>2543</v>
      </c>
      <c r="L336" s="359"/>
      <c r="M336" s="359"/>
      <c r="N336" s="359"/>
      <c r="O336" s="359"/>
      <c r="P336" s="359"/>
      <c r="Q336" s="359"/>
      <c r="R336" s="359">
        <v>1.2</v>
      </c>
      <c r="S336" s="359">
        <v>146.19999999999999</v>
      </c>
      <c r="T336" s="359">
        <v>2254.1999999999998</v>
      </c>
      <c r="U336" s="359">
        <v>1.5</v>
      </c>
      <c r="V336" s="359">
        <v>167</v>
      </c>
      <c r="W336" s="359">
        <v>2281.4</v>
      </c>
      <c r="X336" s="359">
        <v>2</v>
      </c>
      <c r="Y336" s="359">
        <v>169</v>
      </c>
      <c r="Z336" s="359">
        <v>2338.8000000000002</v>
      </c>
      <c r="AA336" s="362">
        <f t="shared" si="5"/>
        <v>5</v>
      </c>
    </row>
    <row r="337" spans="1:27" ht="28.8" x14ac:dyDescent="0.3">
      <c r="A337" s="345" t="s">
        <v>2010</v>
      </c>
      <c r="B337" s="805"/>
      <c r="C337" s="802"/>
      <c r="D337" s="802"/>
      <c r="E337" s="803"/>
      <c r="F337" s="805">
        <v>0.5</v>
      </c>
      <c r="G337" s="803"/>
      <c r="H337" s="345">
        <v>2567.8000000000002</v>
      </c>
      <c r="I337" s="345">
        <v>1</v>
      </c>
      <c r="J337" s="345">
        <v>1</v>
      </c>
      <c r="K337" s="345">
        <v>2544</v>
      </c>
      <c r="L337" s="346"/>
      <c r="M337" s="346"/>
      <c r="N337" s="346"/>
      <c r="O337" s="345"/>
      <c r="P337" s="345"/>
      <c r="Q337" s="345"/>
      <c r="R337" s="345">
        <v>0.6</v>
      </c>
      <c r="S337" s="345">
        <v>0.6</v>
      </c>
      <c r="T337" s="345">
        <v>2254.8000000000002</v>
      </c>
      <c r="U337" s="345">
        <v>1</v>
      </c>
      <c r="V337" s="345">
        <v>1</v>
      </c>
      <c r="W337" s="345">
        <v>2282.4</v>
      </c>
      <c r="X337" s="345">
        <v>2</v>
      </c>
      <c r="Y337" s="345">
        <v>2</v>
      </c>
      <c r="Z337" s="345">
        <v>2340.8000000000002</v>
      </c>
      <c r="AA337">
        <f t="shared" si="5"/>
        <v>1</v>
      </c>
    </row>
    <row r="338" spans="1:27" ht="28.8" x14ac:dyDescent="0.3">
      <c r="A338" s="345" t="s">
        <v>2011</v>
      </c>
      <c r="B338" s="805"/>
      <c r="C338" s="802"/>
      <c r="D338" s="802"/>
      <c r="E338" s="803"/>
      <c r="F338" s="805">
        <v>25</v>
      </c>
      <c r="G338" s="803"/>
      <c r="H338" s="345">
        <v>2592.3000000000002</v>
      </c>
      <c r="I338" s="345">
        <v>28</v>
      </c>
      <c r="J338" s="345">
        <v>29</v>
      </c>
      <c r="K338" s="345">
        <v>2572</v>
      </c>
      <c r="L338" s="346"/>
      <c r="M338" s="346"/>
      <c r="N338" s="346"/>
      <c r="O338" s="345"/>
      <c r="P338" s="345"/>
      <c r="Q338" s="345"/>
      <c r="R338" s="345">
        <v>29.8</v>
      </c>
      <c r="S338" s="345">
        <v>30.4</v>
      </c>
      <c r="T338" s="345">
        <v>2284.6</v>
      </c>
      <c r="U338" s="345">
        <v>34</v>
      </c>
      <c r="V338" s="345">
        <v>35</v>
      </c>
      <c r="W338" s="345">
        <v>2316.4</v>
      </c>
      <c r="X338" s="345">
        <v>34.5</v>
      </c>
      <c r="Y338" s="345">
        <v>36.5</v>
      </c>
      <c r="Z338" s="345">
        <v>2375.3000000000002</v>
      </c>
      <c r="AA338">
        <f t="shared" si="5"/>
        <v>28</v>
      </c>
    </row>
    <row r="339" spans="1:27" ht="28.8" x14ac:dyDescent="0.3">
      <c r="A339" s="345" t="s">
        <v>2012</v>
      </c>
      <c r="B339" s="805"/>
      <c r="C339" s="802"/>
      <c r="D339" s="802"/>
      <c r="E339" s="803"/>
      <c r="F339" s="805">
        <v>37</v>
      </c>
      <c r="G339" s="803"/>
      <c r="H339" s="345">
        <v>2604.3000000000002</v>
      </c>
      <c r="I339" s="345">
        <v>10.5</v>
      </c>
      <c r="J339" s="345">
        <v>39.5</v>
      </c>
      <c r="K339" s="345">
        <v>2582.5</v>
      </c>
      <c r="L339" s="346"/>
      <c r="M339" s="346"/>
      <c r="N339" s="346"/>
      <c r="O339" s="345"/>
      <c r="P339" s="345"/>
      <c r="Q339" s="345"/>
      <c r="R339" s="345">
        <v>4.8</v>
      </c>
      <c r="S339" s="345">
        <v>35.200000000000003</v>
      </c>
      <c r="T339" s="345">
        <v>2289.4</v>
      </c>
      <c r="U339" s="345">
        <v>6</v>
      </c>
      <c r="V339" s="345">
        <v>41</v>
      </c>
      <c r="W339" s="345">
        <v>2322.4</v>
      </c>
      <c r="X339" s="345">
        <v>6</v>
      </c>
      <c r="Y339" s="345">
        <v>42.5</v>
      </c>
      <c r="Z339" s="345">
        <v>2381.3000000000002</v>
      </c>
      <c r="AA339">
        <f t="shared" si="5"/>
        <v>10.5</v>
      </c>
    </row>
    <row r="340" spans="1:27" ht="28.8" x14ac:dyDescent="0.3">
      <c r="A340" s="345" t="s">
        <v>2013</v>
      </c>
      <c r="B340" s="805"/>
      <c r="C340" s="802"/>
      <c r="D340" s="802"/>
      <c r="E340" s="803"/>
      <c r="F340" s="805">
        <v>37</v>
      </c>
      <c r="G340" s="803"/>
      <c r="H340" s="345">
        <v>2604.3000000000002</v>
      </c>
      <c r="I340" s="345">
        <v>0</v>
      </c>
      <c r="J340" s="345">
        <v>39.5</v>
      </c>
      <c r="K340" s="345">
        <v>2582.5</v>
      </c>
      <c r="L340" s="346"/>
      <c r="M340" s="346"/>
      <c r="N340" s="346"/>
      <c r="O340" s="345"/>
      <c r="P340" s="345"/>
      <c r="Q340" s="345"/>
      <c r="R340" s="345">
        <v>0</v>
      </c>
      <c r="S340" s="345">
        <v>35.200000000000003</v>
      </c>
      <c r="T340" s="345">
        <v>2289.4</v>
      </c>
      <c r="U340" s="345">
        <v>0</v>
      </c>
      <c r="V340" s="345">
        <v>41</v>
      </c>
      <c r="W340" s="345">
        <v>2322.4</v>
      </c>
      <c r="X340" s="345">
        <v>0</v>
      </c>
      <c r="Y340" s="345">
        <v>42.5</v>
      </c>
      <c r="Z340" s="345">
        <v>2381.3000000000002</v>
      </c>
      <c r="AA340">
        <f t="shared" si="5"/>
        <v>0</v>
      </c>
    </row>
    <row r="341" spans="1:27" ht="28.8" x14ac:dyDescent="0.3">
      <c r="A341" s="345" t="s">
        <v>2014</v>
      </c>
      <c r="B341" s="805"/>
      <c r="C341" s="802"/>
      <c r="D341" s="802"/>
      <c r="E341" s="803"/>
      <c r="F341" s="805">
        <v>37</v>
      </c>
      <c r="G341" s="803"/>
      <c r="H341" s="345">
        <v>2604.3000000000002</v>
      </c>
      <c r="I341" s="345">
        <v>0</v>
      </c>
      <c r="J341" s="345">
        <v>39.5</v>
      </c>
      <c r="K341" s="345">
        <v>2582.5</v>
      </c>
      <c r="L341" s="346"/>
      <c r="M341" s="346"/>
      <c r="N341" s="346"/>
      <c r="O341" s="345"/>
      <c r="P341" s="345"/>
      <c r="Q341" s="345"/>
      <c r="R341" s="345">
        <v>0</v>
      </c>
      <c r="S341" s="345">
        <v>35.200000000000003</v>
      </c>
      <c r="T341" s="345">
        <v>2289.4</v>
      </c>
      <c r="U341" s="345">
        <v>0</v>
      </c>
      <c r="V341" s="345">
        <v>41</v>
      </c>
      <c r="W341" s="345">
        <v>2322.4</v>
      </c>
      <c r="X341" s="345">
        <v>0</v>
      </c>
      <c r="Y341" s="345">
        <v>42.5</v>
      </c>
      <c r="Z341" s="345">
        <v>2381.3000000000002</v>
      </c>
      <c r="AA341">
        <f t="shared" si="5"/>
        <v>0</v>
      </c>
    </row>
    <row r="342" spans="1:27" ht="28.8" x14ac:dyDescent="0.3">
      <c r="A342" s="345" t="s">
        <v>2015</v>
      </c>
      <c r="B342" s="805"/>
      <c r="C342" s="802"/>
      <c r="D342" s="802"/>
      <c r="E342" s="803"/>
      <c r="F342" s="805">
        <v>60.5</v>
      </c>
      <c r="G342" s="803"/>
      <c r="H342" s="345">
        <v>2627.8</v>
      </c>
      <c r="I342" s="345">
        <v>24.5</v>
      </c>
      <c r="J342" s="345">
        <v>64</v>
      </c>
      <c r="K342" s="345">
        <v>2607</v>
      </c>
      <c r="L342" s="346"/>
      <c r="M342" s="346"/>
      <c r="N342" s="346"/>
      <c r="O342" s="345"/>
      <c r="P342" s="345"/>
      <c r="Q342" s="345"/>
      <c r="R342" s="345">
        <v>16.8</v>
      </c>
      <c r="S342" s="345">
        <v>52</v>
      </c>
      <c r="T342" s="345">
        <v>2306.1999999999998</v>
      </c>
      <c r="U342" s="345">
        <v>18.5</v>
      </c>
      <c r="V342" s="345">
        <v>59.5</v>
      </c>
      <c r="W342" s="345">
        <v>2340.9</v>
      </c>
      <c r="X342" s="345">
        <v>19</v>
      </c>
      <c r="Y342" s="345">
        <v>61.5</v>
      </c>
      <c r="Z342" s="345">
        <v>2400.3000000000002</v>
      </c>
      <c r="AA342">
        <f t="shared" si="5"/>
        <v>24.5</v>
      </c>
    </row>
    <row r="343" spans="1:27" ht="28.8" x14ac:dyDescent="0.3">
      <c r="A343" s="345" t="s">
        <v>2016</v>
      </c>
      <c r="B343" s="805"/>
      <c r="C343" s="802"/>
      <c r="D343" s="802"/>
      <c r="E343" s="803"/>
      <c r="F343" s="805">
        <v>69.5</v>
      </c>
      <c r="G343" s="803"/>
      <c r="H343" s="345">
        <v>2636.8</v>
      </c>
      <c r="I343" s="345">
        <v>10.5</v>
      </c>
      <c r="J343" s="345">
        <v>74.5</v>
      </c>
      <c r="K343" s="345">
        <v>2617.5</v>
      </c>
      <c r="L343" s="346"/>
      <c r="M343" s="346"/>
      <c r="N343" s="346"/>
      <c r="O343" s="345"/>
      <c r="P343" s="345"/>
      <c r="Q343" s="345"/>
      <c r="R343" s="345">
        <v>6</v>
      </c>
      <c r="S343" s="345">
        <v>58</v>
      </c>
      <c r="T343" s="345">
        <v>2312.1999999999998</v>
      </c>
      <c r="U343" s="345">
        <v>8</v>
      </c>
      <c r="V343" s="345">
        <v>67.5</v>
      </c>
      <c r="W343" s="345">
        <v>2348.9</v>
      </c>
      <c r="X343" s="345">
        <v>9</v>
      </c>
      <c r="Y343" s="345">
        <v>70.5</v>
      </c>
      <c r="Z343" s="345">
        <v>2409.3000000000002</v>
      </c>
      <c r="AA343">
        <f t="shared" si="5"/>
        <v>10.5</v>
      </c>
    </row>
    <row r="344" spans="1:27" ht="28.8" x14ac:dyDescent="0.3">
      <c r="A344" s="345" t="s">
        <v>2017</v>
      </c>
      <c r="B344" s="805"/>
      <c r="C344" s="802"/>
      <c r="D344" s="802"/>
      <c r="E344" s="803"/>
      <c r="F344" s="805">
        <v>109.5</v>
      </c>
      <c r="G344" s="803"/>
      <c r="H344" s="345">
        <v>2676.8</v>
      </c>
      <c r="I344" s="345">
        <v>59.5</v>
      </c>
      <c r="J344" s="345">
        <v>134</v>
      </c>
      <c r="K344" s="345">
        <v>2677</v>
      </c>
      <c r="L344" s="346"/>
      <c r="M344" s="346"/>
      <c r="N344" s="346"/>
      <c r="O344" s="345"/>
      <c r="P344" s="345"/>
      <c r="Q344" s="345"/>
      <c r="R344" s="345">
        <v>41.2</v>
      </c>
      <c r="S344" s="345">
        <v>99.2</v>
      </c>
      <c r="T344" s="345">
        <v>2353.4</v>
      </c>
      <c r="U344" s="345">
        <v>60.5</v>
      </c>
      <c r="V344" s="345">
        <v>128</v>
      </c>
      <c r="W344" s="345">
        <v>2409.4</v>
      </c>
      <c r="X344" s="345">
        <v>52.5</v>
      </c>
      <c r="Y344" s="345">
        <v>123</v>
      </c>
      <c r="Z344" s="345">
        <v>2461.8000000000002</v>
      </c>
      <c r="AA344">
        <f t="shared" si="5"/>
        <v>59.5</v>
      </c>
    </row>
    <row r="345" spans="1:27" ht="28.8" x14ac:dyDescent="0.3">
      <c r="A345" s="345" t="s">
        <v>2018</v>
      </c>
      <c r="B345" s="805"/>
      <c r="C345" s="802"/>
      <c r="D345" s="802"/>
      <c r="E345" s="803"/>
      <c r="F345" s="805">
        <v>126.5</v>
      </c>
      <c r="G345" s="803"/>
      <c r="H345" s="345">
        <v>2693.8</v>
      </c>
      <c r="I345" s="345">
        <v>31.5</v>
      </c>
      <c r="J345" s="345">
        <v>165.5</v>
      </c>
      <c r="K345" s="345">
        <v>2708.5</v>
      </c>
      <c r="L345" s="346"/>
      <c r="M345" s="346"/>
      <c r="N345" s="346"/>
      <c r="O345" s="345"/>
      <c r="P345" s="345"/>
      <c r="Q345" s="345"/>
      <c r="R345" s="345">
        <v>15.6</v>
      </c>
      <c r="S345" s="345">
        <v>114.8</v>
      </c>
      <c r="T345" s="345">
        <v>2369</v>
      </c>
      <c r="U345" s="345">
        <v>17.5</v>
      </c>
      <c r="V345" s="345">
        <v>145.5</v>
      </c>
      <c r="W345" s="345">
        <v>2426.9</v>
      </c>
      <c r="X345" s="345">
        <v>23.5</v>
      </c>
      <c r="Y345" s="345">
        <v>146.5</v>
      </c>
      <c r="Z345" s="345">
        <v>2485.3000000000002</v>
      </c>
      <c r="AA345">
        <f t="shared" si="5"/>
        <v>31.5</v>
      </c>
    </row>
    <row r="346" spans="1:27" ht="28.8" x14ac:dyDescent="0.3">
      <c r="A346" s="345" t="s">
        <v>2019</v>
      </c>
      <c r="B346" s="805"/>
      <c r="C346" s="802"/>
      <c r="D346" s="802"/>
      <c r="E346" s="803"/>
      <c r="F346" s="805">
        <v>134.5</v>
      </c>
      <c r="G346" s="803"/>
      <c r="H346" s="345">
        <v>2701.8</v>
      </c>
      <c r="I346" s="345">
        <v>3.5</v>
      </c>
      <c r="J346" s="345">
        <v>169</v>
      </c>
      <c r="K346" s="345">
        <v>2712</v>
      </c>
      <c r="L346" s="346"/>
      <c r="M346" s="346"/>
      <c r="N346" s="346"/>
      <c r="O346" s="345"/>
      <c r="P346" s="345"/>
      <c r="Q346" s="345"/>
      <c r="R346" s="345">
        <v>9.1999999999999993</v>
      </c>
      <c r="S346" s="345">
        <v>124</v>
      </c>
      <c r="T346" s="345">
        <v>2378.1999999999998</v>
      </c>
      <c r="U346" s="345">
        <v>10</v>
      </c>
      <c r="V346" s="345">
        <v>155.5</v>
      </c>
      <c r="W346" s="345">
        <v>2436.9</v>
      </c>
      <c r="X346" s="345">
        <v>9.5</v>
      </c>
      <c r="Y346" s="345">
        <v>156</v>
      </c>
      <c r="Z346" s="345">
        <v>2494.8000000000002</v>
      </c>
      <c r="AA346">
        <f t="shared" si="5"/>
        <v>3.5</v>
      </c>
    </row>
    <row r="347" spans="1:27" ht="28.8" x14ac:dyDescent="0.3">
      <c r="A347" s="345" t="s">
        <v>2020</v>
      </c>
      <c r="B347" s="805"/>
      <c r="C347" s="802"/>
      <c r="D347" s="802"/>
      <c r="E347" s="803"/>
      <c r="F347" s="805">
        <v>156.5</v>
      </c>
      <c r="G347" s="803"/>
      <c r="H347" s="345">
        <v>2723.8</v>
      </c>
      <c r="I347" s="345">
        <v>9.5</v>
      </c>
      <c r="J347" s="345">
        <v>178.5</v>
      </c>
      <c r="K347" s="345">
        <v>2721.5</v>
      </c>
      <c r="L347" s="346"/>
      <c r="M347" s="346"/>
      <c r="N347" s="346"/>
      <c r="O347" s="345"/>
      <c r="P347" s="345"/>
      <c r="Q347" s="345"/>
      <c r="R347" s="345">
        <v>9</v>
      </c>
      <c r="S347" s="345">
        <v>133</v>
      </c>
      <c r="T347" s="345">
        <v>2387.1999999999998</v>
      </c>
      <c r="U347" s="345">
        <v>11</v>
      </c>
      <c r="V347" s="345">
        <v>166.5</v>
      </c>
      <c r="W347" s="345">
        <v>2447.9</v>
      </c>
      <c r="X347" s="345">
        <v>5</v>
      </c>
      <c r="Y347" s="345">
        <v>161</v>
      </c>
      <c r="Z347" s="345">
        <v>2499.8000000000002</v>
      </c>
      <c r="AA347">
        <f t="shared" si="5"/>
        <v>9.5</v>
      </c>
    </row>
    <row r="348" spans="1:27" ht="28.8" x14ac:dyDescent="0.3">
      <c r="A348" s="345" t="s">
        <v>2021</v>
      </c>
      <c r="B348" s="805"/>
      <c r="C348" s="802"/>
      <c r="D348" s="802"/>
      <c r="E348" s="803"/>
      <c r="F348" s="805">
        <v>157</v>
      </c>
      <c r="G348" s="803"/>
      <c r="H348" s="345">
        <v>2724.3</v>
      </c>
      <c r="I348" s="345">
        <v>1</v>
      </c>
      <c r="J348" s="345">
        <v>179.5</v>
      </c>
      <c r="K348" s="345">
        <v>2722.5</v>
      </c>
      <c r="L348" s="346"/>
      <c r="M348" s="346"/>
      <c r="N348" s="346"/>
      <c r="O348" s="345"/>
      <c r="P348" s="345"/>
      <c r="Q348" s="345"/>
      <c r="R348" s="345">
        <v>0.4</v>
      </c>
      <c r="S348" s="345">
        <v>133.4</v>
      </c>
      <c r="T348" s="345">
        <v>2387.6</v>
      </c>
      <c r="U348" s="345">
        <v>1</v>
      </c>
      <c r="V348" s="345">
        <v>167.5</v>
      </c>
      <c r="W348" s="345">
        <v>2448.9</v>
      </c>
      <c r="X348" s="345">
        <v>0.5</v>
      </c>
      <c r="Y348" s="345">
        <v>161.5</v>
      </c>
      <c r="Z348" s="345">
        <v>2500.3000000000002</v>
      </c>
      <c r="AA348">
        <f t="shared" si="5"/>
        <v>1</v>
      </c>
    </row>
    <row r="349" spans="1:27" ht="28.8" x14ac:dyDescent="0.3">
      <c r="A349" s="345" t="s">
        <v>2022</v>
      </c>
      <c r="B349" s="805"/>
      <c r="C349" s="802"/>
      <c r="D349" s="802"/>
      <c r="E349" s="803"/>
      <c r="F349" s="805">
        <v>157</v>
      </c>
      <c r="G349" s="803"/>
      <c r="H349" s="345">
        <v>2724.3</v>
      </c>
      <c r="I349" s="345">
        <v>0</v>
      </c>
      <c r="J349" s="345">
        <v>179.5</v>
      </c>
      <c r="K349" s="345">
        <v>2722.5</v>
      </c>
      <c r="L349" s="346"/>
      <c r="M349" s="346"/>
      <c r="N349" s="346"/>
      <c r="O349" s="345"/>
      <c r="P349" s="345"/>
      <c r="Q349" s="345"/>
      <c r="R349" s="345">
        <v>0</v>
      </c>
      <c r="S349" s="345">
        <v>133.4</v>
      </c>
      <c r="T349" s="345">
        <v>2387.6</v>
      </c>
      <c r="U349" s="345">
        <v>0</v>
      </c>
      <c r="V349" s="345">
        <v>167.5</v>
      </c>
      <c r="W349" s="345">
        <v>2448.9</v>
      </c>
      <c r="X349" s="345"/>
      <c r="Y349" s="345"/>
      <c r="Z349" s="345"/>
      <c r="AA349">
        <f t="shared" si="5"/>
        <v>0</v>
      </c>
    </row>
    <row r="350" spans="1:27" ht="28.8" x14ac:dyDescent="0.3">
      <c r="A350" s="345" t="s">
        <v>2023</v>
      </c>
      <c r="B350" s="805"/>
      <c r="C350" s="802"/>
      <c r="D350" s="802"/>
      <c r="E350" s="803"/>
      <c r="F350" s="805">
        <v>161</v>
      </c>
      <c r="G350" s="803"/>
      <c r="H350" s="345">
        <v>2728.3</v>
      </c>
      <c r="I350" s="345">
        <v>2</v>
      </c>
      <c r="J350" s="345">
        <v>181.5</v>
      </c>
      <c r="K350" s="345">
        <v>2724.5</v>
      </c>
      <c r="L350" s="346"/>
      <c r="M350" s="346"/>
      <c r="N350" s="346"/>
      <c r="O350" s="345"/>
      <c r="P350" s="345"/>
      <c r="Q350" s="345"/>
      <c r="R350" s="345">
        <v>1.2</v>
      </c>
      <c r="S350" s="345">
        <v>134.6</v>
      </c>
      <c r="T350" s="345">
        <v>2388.8000000000002</v>
      </c>
      <c r="U350" s="345">
        <v>1.5</v>
      </c>
      <c r="V350" s="345">
        <v>169</v>
      </c>
      <c r="W350" s="345">
        <v>2450.4</v>
      </c>
      <c r="X350" s="345">
        <v>1.5</v>
      </c>
      <c r="Y350" s="345">
        <v>163</v>
      </c>
      <c r="Z350" s="345">
        <v>2501.8000000000002</v>
      </c>
      <c r="AA350">
        <f t="shared" si="5"/>
        <v>2</v>
      </c>
    </row>
    <row r="351" spans="1:27" ht="28.8" x14ac:dyDescent="0.3">
      <c r="A351" s="345" t="s">
        <v>2024</v>
      </c>
      <c r="B351" s="805"/>
      <c r="C351" s="802"/>
      <c r="D351" s="802"/>
      <c r="E351" s="803"/>
      <c r="F351" s="805">
        <v>175.5</v>
      </c>
      <c r="G351" s="803"/>
      <c r="H351" s="345">
        <v>2742.8</v>
      </c>
      <c r="I351" s="345">
        <v>9</v>
      </c>
      <c r="J351" s="345">
        <v>190.5</v>
      </c>
      <c r="K351" s="345">
        <v>2733.5</v>
      </c>
      <c r="L351" s="346"/>
      <c r="M351" s="346"/>
      <c r="N351" s="346"/>
      <c r="O351" s="345"/>
      <c r="P351" s="345"/>
      <c r="Q351" s="345"/>
      <c r="R351" s="345">
        <v>10.8</v>
      </c>
      <c r="S351" s="345">
        <v>145.4</v>
      </c>
      <c r="T351" s="345">
        <v>2399.6</v>
      </c>
      <c r="U351" s="345">
        <v>12</v>
      </c>
      <c r="V351" s="345">
        <v>181</v>
      </c>
      <c r="W351" s="345">
        <v>2462.4</v>
      </c>
      <c r="X351" s="345">
        <v>15</v>
      </c>
      <c r="Y351" s="345">
        <v>178</v>
      </c>
      <c r="Z351" s="345">
        <v>2516.8000000000002</v>
      </c>
      <c r="AA351">
        <f t="shared" si="5"/>
        <v>9</v>
      </c>
    </row>
    <row r="352" spans="1:27" ht="28.8" x14ac:dyDescent="0.3">
      <c r="A352" s="345" t="s">
        <v>2025</v>
      </c>
      <c r="B352" s="805"/>
      <c r="C352" s="802"/>
      <c r="D352" s="802"/>
      <c r="E352" s="803"/>
      <c r="F352" s="805">
        <v>176</v>
      </c>
      <c r="G352" s="803"/>
      <c r="H352" s="345">
        <v>2743.3</v>
      </c>
      <c r="I352" s="345">
        <v>0.2</v>
      </c>
      <c r="J352" s="345">
        <v>190.7</v>
      </c>
      <c r="K352" s="345">
        <v>2733.7</v>
      </c>
      <c r="L352" s="346"/>
      <c r="M352" s="346"/>
      <c r="N352" s="346"/>
      <c r="O352" s="345"/>
      <c r="P352" s="345"/>
      <c r="Q352" s="345"/>
      <c r="R352" s="345">
        <v>0</v>
      </c>
      <c r="S352" s="345">
        <v>145.4</v>
      </c>
      <c r="T352" s="345">
        <v>2399.6</v>
      </c>
      <c r="U352" s="345">
        <v>0</v>
      </c>
      <c r="V352" s="345">
        <v>181</v>
      </c>
      <c r="W352" s="345">
        <v>2462.4</v>
      </c>
      <c r="X352" s="345">
        <v>0.1</v>
      </c>
      <c r="Y352" s="345">
        <v>178.1</v>
      </c>
      <c r="Z352" s="345">
        <v>2516.9</v>
      </c>
      <c r="AA352">
        <f t="shared" si="5"/>
        <v>0.2</v>
      </c>
    </row>
    <row r="353" spans="1:27" ht="28.8" x14ac:dyDescent="0.3">
      <c r="A353" s="345" t="s">
        <v>2026</v>
      </c>
      <c r="B353" s="805"/>
      <c r="C353" s="802"/>
      <c r="D353" s="802"/>
      <c r="E353" s="803"/>
      <c r="F353" s="805">
        <v>205.5</v>
      </c>
      <c r="G353" s="803"/>
      <c r="H353" s="345">
        <v>2772.8</v>
      </c>
      <c r="I353" s="345">
        <v>29.5</v>
      </c>
      <c r="J353" s="345">
        <v>220.2</v>
      </c>
      <c r="K353" s="345">
        <v>2763.2</v>
      </c>
      <c r="L353" s="346"/>
      <c r="M353" s="346"/>
      <c r="N353" s="346"/>
      <c r="O353" s="345"/>
      <c r="P353" s="345"/>
      <c r="Q353" s="345"/>
      <c r="R353" s="345">
        <v>22.4</v>
      </c>
      <c r="S353" s="345">
        <v>167.8</v>
      </c>
      <c r="T353" s="345">
        <v>2422</v>
      </c>
      <c r="U353" s="345">
        <v>25.5</v>
      </c>
      <c r="V353" s="345">
        <v>206.5</v>
      </c>
      <c r="W353" s="345">
        <v>2487.9</v>
      </c>
      <c r="X353" s="345">
        <v>29.5</v>
      </c>
      <c r="Y353" s="345">
        <v>207.6</v>
      </c>
      <c r="Z353" s="345">
        <v>2546.4</v>
      </c>
      <c r="AA353">
        <f t="shared" si="5"/>
        <v>29.5</v>
      </c>
    </row>
    <row r="354" spans="1:27" ht="28.8" x14ac:dyDescent="0.3">
      <c r="A354" s="345" t="s">
        <v>2027</v>
      </c>
      <c r="B354" s="805"/>
      <c r="C354" s="802"/>
      <c r="D354" s="802"/>
      <c r="E354" s="803"/>
      <c r="F354" s="805">
        <v>206.5</v>
      </c>
      <c r="G354" s="803"/>
      <c r="H354" s="345">
        <v>2773.8</v>
      </c>
      <c r="I354" s="345">
        <v>1</v>
      </c>
      <c r="J354" s="345">
        <v>221.2</v>
      </c>
      <c r="K354" s="345">
        <v>2764.2</v>
      </c>
      <c r="L354" s="346"/>
      <c r="M354" s="346"/>
      <c r="N354" s="346"/>
      <c r="O354" s="345"/>
      <c r="P354" s="345"/>
      <c r="Q354" s="345"/>
      <c r="R354" s="345">
        <v>0.8</v>
      </c>
      <c r="S354" s="345">
        <v>168.6</v>
      </c>
      <c r="T354" s="345">
        <v>2422.8000000000002</v>
      </c>
      <c r="U354" s="345">
        <v>1</v>
      </c>
      <c r="V354" s="345">
        <v>207.5</v>
      </c>
      <c r="W354" s="345">
        <v>2488.9</v>
      </c>
      <c r="X354" s="345">
        <v>1</v>
      </c>
      <c r="Y354" s="345">
        <v>208.6</v>
      </c>
      <c r="Z354" s="345">
        <v>2547.4</v>
      </c>
      <c r="AA354">
        <f t="shared" si="5"/>
        <v>1</v>
      </c>
    </row>
    <row r="355" spans="1:27" ht="28.8" x14ac:dyDescent="0.3">
      <c r="A355" s="345" t="s">
        <v>2028</v>
      </c>
      <c r="B355" s="805"/>
      <c r="C355" s="802"/>
      <c r="D355" s="802"/>
      <c r="E355" s="803"/>
      <c r="F355" s="805">
        <v>210</v>
      </c>
      <c r="G355" s="803"/>
      <c r="H355" s="345">
        <v>2777.3</v>
      </c>
      <c r="I355" s="345">
        <v>1.5</v>
      </c>
      <c r="J355" s="345">
        <v>222.7</v>
      </c>
      <c r="K355" s="345">
        <v>2765.7</v>
      </c>
      <c r="L355" s="346"/>
      <c r="M355" s="346"/>
      <c r="N355" s="346"/>
      <c r="O355" s="345"/>
      <c r="P355" s="345"/>
      <c r="Q355" s="345"/>
      <c r="R355" s="345">
        <v>0</v>
      </c>
      <c r="S355" s="345">
        <v>168.6</v>
      </c>
      <c r="T355" s="345">
        <v>2422.8000000000002</v>
      </c>
      <c r="U355" s="345">
        <v>4</v>
      </c>
      <c r="V355" s="345">
        <v>211.5</v>
      </c>
      <c r="W355" s="345">
        <v>2492.9</v>
      </c>
      <c r="X355" s="345">
        <v>4</v>
      </c>
      <c r="Y355" s="345">
        <v>212.6</v>
      </c>
      <c r="Z355" s="345">
        <v>2551.4</v>
      </c>
      <c r="AA355">
        <f t="shared" si="5"/>
        <v>1.5</v>
      </c>
    </row>
    <row r="356" spans="1:27" ht="28.8" x14ac:dyDescent="0.3">
      <c r="A356" s="345" t="s">
        <v>2029</v>
      </c>
      <c r="B356" s="805"/>
      <c r="C356" s="802"/>
      <c r="D356" s="802"/>
      <c r="E356" s="803"/>
      <c r="F356" s="805">
        <v>210</v>
      </c>
      <c r="G356" s="803"/>
      <c r="H356" s="345">
        <v>2777.3</v>
      </c>
      <c r="I356" s="345">
        <v>0</v>
      </c>
      <c r="J356" s="345">
        <v>222.7</v>
      </c>
      <c r="K356" s="345">
        <v>2765.7</v>
      </c>
      <c r="L356" s="346"/>
      <c r="M356" s="346"/>
      <c r="N356" s="346"/>
      <c r="O356" s="345"/>
      <c r="P356" s="345"/>
      <c r="Q356" s="345"/>
      <c r="R356" s="345">
        <v>0</v>
      </c>
      <c r="S356" s="345">
        <v>168.6</v>
      </c>
      <c r="T356" s="345">
        <v>2422.8000000000002</v>
      </c>
      <c r="U356" s="345">
        <v>0</v>
      </c>
      <c r="V356" s="345">
        <v>211.5</v>
      </c>
      <c r="W356" s="345">
        <v>2492.9</v>
      </c>
      <c r="X356" s="345">
        <v>0</v>
      </c>
      <c r="Y356" s="345">
        <v>212.6</v>
      </c>
      <c r="Z356" s="345">
        <v>2551.4</v>
      </c>
      <c r="AA356">
        <f t="shared" si="5"/>
        <v>0</v>
      </c>
    </row>
    <row r="357" spans="1:27" ht="28.8" x14ac:dyDescent="0.3">
      <c r="A357" s="345" t="s">
        <v>2030</v>
      </c>
      <c r="B357" s="805"/>
      <c r="C357" s="802"/>
      <c r="D357" s="802"/>
      <c r="E357" s="803"/>
      <c r="F357" s="805">
        <v>213</v>
      </c>
      <c r="G357" s="803"/>
      <c r="H357" s="345">
        <v>2780.3</v>
      </c>
      <c r="I357" s="345">
        <v>0.5</v>
      </c>
      <c r="J357" s="345">
        <v>223.2</v>
      </c>
      <c r="K357" s="345">
        <v>2766.2</v>
      </c>
      <c r="L357" s="346"/>
      <c r="M357" s="346"/>
      <c r="N357" s="346"/>
      <c r="O357" s="345"/>
      <c r="P357" s="345"/>
      <c r="Q357" s="345"/>
      <c r="R357" s="345">
        <v>0</v>
      </c>
      <c r="S357" s="345">
        <v>168.6</v>
      </c>
      <c r="T357" s="345">
        <v>2422.8000000000002</v>
      </c>
      <c r="U357" s="345">
        <v>0.5</v>
      </c>
      <c r="V357" s="345">
        <v>212</v>
      </c>
      <c r="W357" s="345">
        <v>2493.4</v>
      </c>
      <c r="X357" s="345">
        <v>0.5</v>
      </c>
      <c r="Y357" s="345">
        <v>213.1</v>
      </c>
      <c r="Z357" s="345">
        <v>2551.9</v>
      </c>
      <c r="AA357">
        <f t="shared" si="5"/>
        <v>0.5</v>
      </c>
    </row>
    <row r="358" spans="1:27" ht="28.8" x14ac:dyDescent="0.3">
      <c r="A358" s="345" t="s">
        <v>2031</v>
      </c>
      <c r="B358" s="805"/>
      <c r="C358" s="802"/>
      <c r="D358" s="802"/>
      <c r="E358" s="803"/>
      <c r="F358" s="805">
        <v>213</v>
      </c>
      <c r="G358" s="803"/>
      <c r="H358" s="345">
        <v>2780.3</v>
      </c>
      <c r="I358" s="345">
        <v>0</v>
      </c>
      <c r="J358" s="345">
        <v>223.2</v>
      </c>
      <c r="K358" s="345">
        <v>2766.2</v>
      </c>
      <c r="L358" s="346"/>
      <c r="M358" s="346"/>
      <c r="N358" s="346"/>
      <c r="O358" s="345"/>
      <c r="P358" s="345"/>
      <c r="Q358" s="345"/>
      <c r="R358" s="345">
        <v>0</v>
      </c>
      <c r="S358" s="345">
        <v>168.6</v>
      </c>
      <c r="T358" s="345">
        <v>2422.8000000000002</v>
      </c>
      <c r="U358" s="345">
        <v>0</v>
      </c>
      <c r="V358" s="345">
        <v>212</v>
      </c>
      <c r="W358" s="345">
        <v>2493.4</v>
      </c>
      <c r="X358" s="345">
        <v>0</v>
      </c>
      <c r="Y358" s="345">
        <v>213.1</v>
      </c>
      <c r="Z358" s="345">
        <v>2551.9</v>
      </c>
      <c r="AA358">
        <f t="shared" si="5"/>
        <v>0</v>
      </c>
    </row>
    <row r="359" spans="1:27" ht="28.8" x14ac:dyDescent="0.3">
      <c r="A359" s="345" t="s">
        <v>2032</v>
      </c>
      <c r="B359" s="805"/>
      <c r="C359" s="802"/>
      <c r="D359" s="802"/>
      <c r="E359" s="803"/>
      <c r="F359" s="805">
        <v>213</v>
      </c>
      <c r="G359" s="803"/>
      <c r="H359" s="345">
        <v>2780.3</v>
      </c>
      <c r="I359" s="345">
        <v>0</v>
      </c>
      <c r="J359" s="345">
        <v>223.2</v>
      </c>
      <c r="K359" s="345">
        <v>2766.2</v>
      </c>
      <c r="L359" s="346"/>
      <c r="M359" s="346"/>
      <c r="N359" s="346"/>
      <c r="O359" s="345"/>
      <c r="P359" s="345"/>
      <c r="Q359" s="345"/>
      <c r="R359" s="345">
        <v>0</v>
      </c>
      <c r="S359" s="345">
        <v>168.6</v>
      </c>
      <c r="T359" s="345">
        <v>2422.8000000000002</v>
      </c>
      <c r="U359" s="345">
        <v>0</v>
      </c>
      <c r="V359" s="345">
        <v>212</v>
      </c>
      <c r="W359" s="345">
        <v>2493.4</v>
      </c>
      <c r="X359" s="345">
        <v>0</v>
      </c>
      <c r="Y359" s="345">
        <v>213.1</v>
      </c>
      <c r="Z359" s="345">
        <v>2551.9</v>
      </c>
      <c r="AA359">
        <f t="shared" si="5"/>
        <v>0</v>
      </c>
    </row>
    <row r="360" spans="1:27" ht="28.8" x14ac:dyDescent="0.3">
      <c r="A360" s="345" t="s">
        <v>2033</v>
      </c>
      <c r="B360" s="805"/>
      <c r="C360" s="802"/>
      <c r="D360" s="802"/>
      <c r="E360" s="803"/>
      <c r="F360" s="805">
        <v>222</v>
      </c>
      <c r="G360" s="803"/>
      <c r="H360" s="345">
        <v>2789.3</v>
      </c>
      <c r="I360" s="345">
        <v>10.5</v>
      </c>
      <c r="J360" s="345">
        <v>233.7</v>
      </c>
      <c r="K360" s="345">
        <v>2776.7</v>
      </c>
      <c r="L360" s="346"/>
      <c r="M360" s="346"/>
      <c r="N360" s="346"/>
      <c r="O360" s="345"/>
      <c r="P360" s="345"/>
      <c r="Q360" s="345"/>
      <c r="R360" s="345">
        <v>8.4</v>
      </c>
      <c r="S360" s="345">
        <v>177</v>
      </c>
      <c r="T360" s="345">
        <v>2431.1999999999998</v>
      </c>
      <c r="U360" s="345">
        <v>9.5</v>
      </c>
      <c r="V360" s="345">
        <v>221.5</v>
      </c>
      <c r="W360" s="345">
        <v>2502.9</v>
      </c>
      <c r="X360" s="345">
        <v>9</v>
      </c>
      <c r="Y360" s="345">
        <v>222.1</v>
      </c>
      <c r="Z360" s="345">
        <v>2560.9</v>
      </c>
      <c r="AA360">
        <f t="shared" si="5"/>
        <v>10.5</v>
      </c>
    </row>
    <row r="361" spans="1:27" ht="28.8" x14ac:dyDescent="0.3">
      <c r="A361" s="345" t="s">
        <v>2034</v>
      </c>
      <c r="B361" s="805"/>
      <c r="C361" s="802"/>
      <c r="D361" s="802"/>
      <c r="E361" s="803"/>
      <c r="F361" s="805">
        <v>240</v>
      </c>
      <c r="G361" s="803"/>
      <c r="H361" s="345">
        <v>2807.3</v>
      </c>
      <c r="I361" s="345">
        <v>23</v>
      </c>
      <c r="J361" s="345">
        <v>256.7</v>
      </c>
      <c r="K361" s="345">
        <v>2799.7</v>
      </c>
      <c r="L361" s="346"/>
      <c r="M361" s="346"/>
      <c r="N361" s="346"/>
      <c r="O361" s="345"/>
      <c r="P361" s="345"/>
      <c r="Q361" s="345"/>
      <c r="R361" s="345">
        <v>19.600000000000001</v>
      </c>
      <c r="S361" s="345">
        <v>196.6</v>
      </c>
      <c r="T361" s="345">
        <v>2450.8000000000002</v>
      </c>
      <c r="U361" s="345">
        <v>21.5</v>
      </c>
      <c r="V361" s="345">
        <v>243</v>
      </c>
      <c r="W361" s="345">
        <v>2524.4</v>
      </c>
      <c r="X361" s="345">
        <v>23.5</v>
      </c>
      <c r="Y361" s="345">
        <v>245.6</v>
      </c>
      <c r="Z361" s="345">
        <v>2584.4</v>
      </c>
      <c r="AA361">
        <f t="shared" si="5"/>
        <v>23</v>
      </c>
    </row>
    <row r="362" spans="1:27" ht="28.8" x14ac:dyDescent="0.3">
      <c r="A362" s="345" t="s">
        <v>2035</v>
      </c>
      <c r="B362" s="805"/>
      <c r="C362" s="802"/>
      <c r="D362" s="802"/>
      <c r="E362" s="803"/>
      <c r="F362" s="805">
        <v>240</v>
      </c>
      <c r="G362" s="803"/>
      <c r="H362" s="345">
        <v>2807.3</v>
      </c>
      <c r="I362" s="345">
        <v>0</v>
      </c>
      <c r="J362" s="345">
        <v>256.7</v>
      </c>
      <c r="K362" s="345">
        <v>2799.7</v>
      </c>
      <c r="L362" s="346"/>
      <c r="M362" s="346"/>
      <c r="N362" s="346"/>
      <c r="O362" s="345"/>
      <c r="P362" s="345"/>
      <c r="Q362" s="345"/>
      <c r="R362" s="345">
        <v>0.4</v>
      </c>
      <c r="S362" s="345">
        <v>197</v>
      </c>
      <c r="T362" s="345">
        <v>2451.1999999999998</v>
      </c>
      <c r="U362" s="345">
        <v>0.5</v>
      </c>
      <c r="V362" s="345">
        <v>243.5</v>
      </c>
      <c r="W362" s="345">
        <v>2524.9</v>
      </c>
      <c r="X362" s="345">
        <v>0</v>
      </c>
      <c r="Y362" s="345">
        <v>245.6</v>
      </c>
      <c r="Z362" s="345">
        <v>2584.4</v>
      </c>
      <c r="AA362">
        <f t="shared" si="5"/>
        <v>0</v>
      </c>
    </row>
    <row r="363" spans="1:27" ht="28.8" x14ac:dyDescent="0.3">
      <c r="A363" s="345" t="s">
        <v>2036</v>
      </c>
      <c r="B363" s="805"/>
      <c r="C363" s="802"/>
      <c r="D363" s="802"/>
      <c r="E363" s="803"/>
      <c r="F363" s="805">
        <v>241.5</v>
      </c>
      <c r="G363" s="803"/>
      <c r="H363" s="345">
        <v>2808.8</v>
      </c>
      <c r="I363" s="345">
        <v>2.5</v>
      </c>
      <c r="J363" s="345">
        <v>259.2</v>
      </c>
      <c r="K363" s="345">
        <v>2802.2</v>
      </c>
      <c r="L363" s="346"/>
      <c r="M363" s="346"/>
      <c r="N363" s="346"/>
      <c r="O363" s="345"/>
      <c r="P363" s="345"/>
      <c r="Q363" s="345"/>
      <c r="R363" s="345">
        <v>1.6</v>
      </c>
      <c r="S363" s="345">
        <v>198.6</v>
      </c>
      <c r="T363" s="345">
        <v>2452.8000000000002</v>
      </c>
      <c r="U363" s="345">
        <v>2</v>
      </c>
      <c r="V363" s="345">
        <v>245.5</v>
      </c>
      <c r="W363" s="345">
        <v>2526.9</v>
      </c>
      <c r="X363" s="345">
        <v>2</v>
      </c>
      <c r="Y363" s="345">
        <v>247.6</v>
      </c>
      <c r="Z363" s="345">
        <v>2586.4</v>
      </c>
      <c r="AA363">
        <f t="shared" si="5"/>
        <v>2.5</v>
      </c>
    </row>
    <row r="364" spans="1:27" ht="28.8" x14ac:dyDescent="0.3">
      <c r="A364" s="345" t="s">
        <v>2037</v>
      </c>
      <c r="B364" s="805"/>
      <c r="C364" s="802"/>
      <c r="D364" s="802"/>
      <c r="E364" s="803"/>
      <c r="F364" s="805">
        <v>241.5</v>
      </c>
      <c r="G364" s="803"/>
      <c r="H364" s="345">
        <v>2808.8</v>
      </c>
      <c r="I364" s="345">
        <v>0.5</v>
      </c>
      <c r="J364" s="345">
        <v>259.7</v>
      </c>
      <c r="K364" s="345">
        <v>2802.7</v>
      </c>
      <c r="L364" s="346"/>
      <c r="M364" s="346"/>
      <c r="N364" s="346"/>
      <c r="O364" s="345"/>
      <c r="P364" s="345"/>
      <c r="Q364" s="345"/>
      <c r="R364" s="345">
        <v>0.4</v>
      </c>
      <c r="S364" s="345">
        <v>199</v>
      </c>
      <c r="T364" s="345">
        <v>2453.1999999999998</v>
      </c>
      <c r="U364" s="345">
        <v>0.5</v>
      </c>
      <c r="V364" s="345">
        <v>246</v>
      </c>
      <c r="W364" s="345">
        <v>2527.4</v>
      </c>
      <c r="X364" s="345">
        <v>0.5</v>
      </c>
      <c r="Y364" s="345">
        <v>248.1</v>
      </c>
      <c r="Z364" s="345">
        <v>2586.9</v>
      </c>
      <c r="AA364">
        <f t="shared" si="5"/>
        <v>0.5</v>
      </c>
    </row>
    <row r="365" spans="1:27" ht="28.8" x14ac:dyDescent="0.3">
      <c r="A365" s="345" t="s">
        <v>2038</v>
      </c>
      <c r="B365" s="805"/>
      <c r="C365" s="802"/>
      <c r="D365" s="802"/>
      <c r="E365" s="803"/>
      <c r="F365" s="805">
        <v>242</v>
      </c>
      <c r="G365" s="803"/>
      <c r="H365" s="345">
        <v>2809.3</v>
      </c>
      <c r="I365" s="345">
        <v>2</v>
      </c>
      <c r="J365" s="345">
        <v>261.7</v>
      </c>
      <c r="K365" s="345">
        <v>2804.7</v>
      </c>
      <c r="L365" s="346"/>
      <c r="M365" s="346"/>
      <c r="N365" s="346"/>
      <c r="O365" s="345"/>
      <c r="P365" s="345"/>
      <c r="Q365" s="345"/>
      <c r="R365" s="345">
        <v>0.2</v>
      </c>
      <c r="S365" s="345">
        <v>199.2</v>
      </c>
      <c r="T365" s="345">
        <v>2453.4</v>
      </c>
      <c r="U365" s="345">
        <v>0.2</v>
      </c>
      <c r="V365" s="345">
        <v>246.2</v>
      </c>
      <c r="W365" s="345">
        <v>2527.6</v>
      </c>
      <c r="X365" s="345">
        <v>0.5</v>
      </c>
      <c r="Y365" s="345">
        <v>248.6</v>
      </c>
      <c r="Z365" s="345">
        <v>2587.4</v>
      </c>
      <c r="AA365">
        <f t="shared" si="5"/>
        <v>2</v>
      </c>
    </row>
    <row r="366" spans="1:27" ht="28.8" x14ac:dyDescent="0.3">
      <c r="A366" s="345" t="s">
        <v>2039</v>
      </c>
      <c r="B366" s="805"/>
      <c r="C366" s="802"/>
      <c r="D366" s="802"/>
      <c r="E366" s="803"/>
      <c r="F366" s="805">
        <v>242.1</v>
      </c>
      <c r="G366" s="803"/>
      <c r="H366" s="345">
        <v>2809.4</v>
      </c>
      <c r="I366" s="345">
        <v>0</v>
      </c>
      <c r="J366" s="345">
        <v>261.7</v>
      </c>
      <c r="K366" s="345">
        <v>2804.7</v>
      </c>
      <c r="L366" s="346"/>
      <c r="M366" s="346"/>
      <c r="N366" s="346"/>
      <c r="O366" s="345"/>
      <c r="P366" s="345"/>
      <c r="Q366" s="345"/>
      <c r="R366" s="345">
        <v>0.2</v>
      </c>
      <c r="S366" s="345">
        <v>199.4</v>
      </c>
      <c r="T366" s="345">
        <v>2453.6</v>
      </c>
      <c r="U366" s="345">
        <v>0.1</v>
      </c>
      <c r="V366" s="345">
        <v>246.3</v>
      </c>
      <c r="W366" s="345">
        <v>2527.6999999999998</v>
      </c>
      <c r="X366" s="345">
        <v>0.1</v>
      </c>
      <c r="Y366" s="345">
        <v>248.7</v>
      </c>
      <c r="Z366" s="345">
        <v>2587.5</v>
      </c>
      <c r="AA366">
        <f t="shared" si="5"/>
        <v>0</v>
      </c>
    </row>
    <row r="367" spans="1:27" s="362" customFormat="1" ht="28.8" x14ac:dyDescent="0.3">
      <c r="A367" s="359" t="s">
        <v>2040</v>
      </c>
      <c r="B367" s="811"/>
      <c r="C367" s="812"/>
      <c r="D367" s="812"/>
      <c r="E367" s="813"/>
      <c r="F367" s="811">
        <v>242.1</v>
      </c>
      <c r="G367" s="813"/>
      <c r="H367" s="359">
        <v>2809.4</v>
      </c>
      <c r="I367" s="359">
        <v>0.1</v>
      </c>
      <c r="J367" s="359">
        <v>261.8</v>
      </c>
      <c r="K367" s="359">
        <v>2804.8</v>
      </c>
      <c r="L367" s="359"/>
      <c r="M367" s="359"/>
      <c r="N367" s="359"/>
      <c r="O367" s="359"/>
      <c r="P367" s="359"/>
      <c r="Q367" s="359"/>
      <c r="R367" s="359">
        <v>0.2</v>
      </c>
      <c r="S367" s="359">
        <v>199.6</v>
      </c>
      <c r="T367" s="359">
        <v>2453.8000000000002</v>
      </c>
      <c r="U367" s="359">
        <v>0</v>
      </c>
      <c r="V367" s="359">
        <v>246.3</v>
      </c>
      <c r="W367" s="359">
        <v>2527.6999999999998</v>
      </c>
      <c r="X367" s="359">
        <v>0</v>
      </c>
      <c r="Y367" s="359">
        <v>248.7</v>
      </c>
      <c r="Z367" s="359">
        <v>2587.5</v>
      </c>
      <c r="AA367" s="362">
        <f t="shared" si="5"/>
        <v>0.1</v>
      </c>
    </row>
    <row r="368" spans="1:27" ht="28.8" x14ac:dyDescent="0.3">
      <c r="A368" s="345" t="s">
        <v>2041</v>
      </c>
      <c r="B368" s="805"/>
      <c r="C368" s="802"/>
      <c r="D368" s="802"/>
      <c r="E368" s="803"/>
      <c r="F368" s="805">
        <v>0</v>
      </c>
      <c r="G368" s="803"/>
      <c r="H368" s="345">
        <v>0</v>
      </c>
      <c r="I368" s="345">
        <v>0</v>
      </c>
      <c r="J368" s="345">
        <v>0</v>
      </c>
      <c r="K368" s="345">
        <v>0</v>
      </c>
      <c r="L368" s="346"/>
      <c r="M368" s="346"/>
      <c r="N368" s="346"/>
      <c r="O368" s="345"/>
      <c r="P368" s="345"/>
      <c r="Q368" s="345"/>
      <c r="R368" s="345">
        <v>0</v>
      </c>
      <c r="S368" s="345">
        <v>0</v>
      </c>
      <c r="T368" s="345">
        <v>0</v>
      </c>
      <c r="U368" s="345"/>
      <c r="V368" s="345"/>
      <c r="W368" s="345"/>
      <c r="X368" s="345">
        <v>0</v>
      </c>
      <c r="Y368" s="345">
        <v>0</v>
      </c>
      <c r="Z368" s="345">
        <v>0</v>
      </c>
      <c r="AA368">
        <f t="shared" si="5"/>
        <v>0</v>
      </c>
    </row>
    <row r="369" spans="1:27" ht="28.8" x14ac:dyDescent="0.3">
      <c r="A369" s="345" t="s">
        <v>2042</v>
      </c>
      <c r="B369" s="805"/>
      <c r="C369" s="802"/>
      <c r="D369" s="802"/>
      <c r="E369" s="803"/>
      <c r="F369" s="805">
        <v>55.5</v>
      </c>
      <c r="G369" s="803"/>
      <c r="H369" s="345">
        <v>55.5</v>
      </c>
      <c r="I369" s="345">
        <v>27.5</v>
      </c>
      <c r="J369" s="345">
        <v>27.5</v>
      </c>
      <c r="K369" s="345">
        <v>27.5</v>
      </c>
      <c r="L369" s="346"/>
      <c r="M369" s="346"/>
      <c r="N369" s="346"/>
      <c r="O369" s="345"/>
      <c r="P369" s="345"/>
      <c r="Q369" s="345"/>
      <c r="R369" s="345">
        <v>31.6</v>
      </c>
      <c r="S369" s="345">
        <v>31.6</v>
      </c>
      <c r="T369" s="345">
        <v>31.6</v>
      </c>
      <c r="U369" s="345">
        <v>38.5</v>
      </c>
      <c r="V369" s="345">
        <v>38.5</v>
      </c>
      <c r="W369" s="345">
        <v>38.5</v>
      </c>
      <c r="X369" s="345">
        <v>40</v>
      </c>
      <c r="Y369" s="345">
        <v>40</v>
      </c>
      <c r="Z369" s="345">
        <v>40</v>
      </c>
      <c r="AA369">
        <f t="shared" si="5"/>
        <v>27.5</v>
      </c>
    </row>
    <row r="370" spans="1:27" ht="28.8" x14ac:dyDescent="0.3">
      <c r="A370" s="345" t="s">
        <v>2043</v>
      </c>
      <c r="B370" s="805"/>
      <c r="C370" s="802"/>
      <c r="D370" s="802"/>
      <c r="E370" s="803"/>
      <c r="F370" s="805">
        <v>127.5</v>
      </c>
      <c r="G370" s="803"/>
      <c r="H370" s="345">
        <v>127.5</v>
      </c>
      <c r="I370" s="345">
        <v>57</v>
      </c>
      <c r="J370" s="345">
        <v>84.5</v>
      </c>
      <c r="K370" s="345">
        <v>84.5</v>
      </c>
      <c r="L370" s="346"/>
      <c r="M370" s="346"/>
      <c r="N370" s="346"/>
      <c r="O370" s="345"/>
      <c r="P370" s="345"/>
      <c r="Q370" s="345"/>
      <c r="R370" s="345">
        <v>62.8</v>
      </c>
      <c r="S370" s="345">
        <v>94.4</v>
      </c>
      <c r="T370" s="345">
        <v>94.4</v>
      </c>
      <c r="U370" s="345">
        <v>80</v>
      </c>
      <c r="V370" s="345">
        <v>118.5</v>
      </c>
      <c r="W370" s="345">
        <v>118.5</v>
      </c>
      <c r="X370" s="345">
        <v>88</v>
      </c>
      <c r="Y370" s="345">
        <v>128</v>
      </c>
      <c r="Z370" s="345">
        <v>128</v>
      </c>
      <c r="AA370">
        <f t="shared" si="5"/>
        <v>57</v>
      </c>
    </row>
    <row r="371" spans="1:27" ht="28.8" x14ac:dyDescent="0.3">
      <c r="A371" s="345" t="s">
        <v>2044</v>
      </c>
      <c r="B371" s="805"/>
      <c r="C371" s="802"/>
      <c r="D371" s="802"/>
      <c r="E371" s="803"/>
      <c r="F371" s="805">
        <v>131.5</v>
      </c>
      <c r="G371" s="803"/>
      <c r="H371" s="345">
        <v>131.5</v>
      </c>
      <c r="I371" s="345">
        <v>4.5</v>
      </c>
      <c r="J371" s="345">
        <v>89</v>
      </c>
      <c r="K371" s="345">
        <v>89</v>
      </c>
      <c r="L371" s="346"/>
      <c r="M371" s="346"/>
      <c r="N371" s="346"/>
      <c r="O371" s="345"/>
      <c r="P371" s="345"/>
      <c r="Q371" s="345"/>
      <c r="R371" s="345">
        <v>4.8</v>
      </c>
      <c r="S371" s="345">
        <v>99.2</v>
      </c>
      <c r="T371" s="345">
        <v>99.2</v>
      </c>
      <c r="U371" s="345">
        <v>5.5</v>
      </c>
      <c r="V371" s="345">
        <v>124</v>
      </c>
      <c r="W371" s="345">
        <v>124</v>
      </c>
      <c r="X371" s="345">
        <v>16</v>
      </c>
      <c r="Y371" s="345">
        <v>144</v>
      </c>
      <c r="Z371" s="345">
        <v>144</v>
      </c>
      <c r="AA371">
        <f t="shared" si="5"/>
        <v>4.5</v>
      </c>
    </row>
    <row r="372" spans="1:27" ht="28.8" x14ac:dyDescent="0.3">
      <c r="A372" s="345" t="s">
        <v>2045</v>
      </c>
      <c r="B372" s="805"/>
      <c r="C372" s="802"/>
      <c r="D372" s="802"/>
      <c r="E372" s="803"/>
      <c r="F372" s="805">
        <v>132</v>
      </c>
      <c r="G372" s="803"/>
      <c r="H372" s="345">
        <v>132</v>
      </c>
      <c r="I372" s="345">
        <v>1</v>
      </c>
      <c r="J372" s="345">
        <v>90</v>
      </c>
      <c r="K372" s="345">
        <v>90</v>
      </c>
      <c r="L372" s="346"/>
      <c r="M372" s="346"/>
      <c r="N372" s="346"/>
      <c r="O372" s="345"/>
      <c r="P372" s="345"/>
      <c r="Q372" s="345"/>
      <c r="R372" s="345">
        <v>0.6</v>
      </c>
      <c r="S372" s="345">
        <v>99.8</v>
      </c>
      <c r="T372" s="345">
        <v>99.8</v>
      </c>
      <c r="U372" s="345">
        <v>1</v>
      </c>
      <c r="V372" s="345">
        <v>125</v>
      </c>
      <c r="W372" s="345">
        <v>125</v>
      </c>
      <c r="X372" s="345">
        <v>1</v>
      </c>
      <c r="Y372" s="345">
        <v>145</v>
      </c>
      <c r="Z372" s="345">
        <v>145</v>
      </c>
      <c r="AA372">
        <f t="shared" si="5"/>
        <v>1</v>
      </c>
    </row>
    <row r="373" spans="1:27" ht="28.8" x14ac:dyDescent="0.3">
      <c r="A373" s="345" t="s">
        <v>2046</v>
      </c>
      <c r="B373" s="805"/>
      <c r="C373" s="802"/>
      <c r="D373" s="802"/>
      <c r="E373" s="803"/>
      <c r="F373" s="805">
        <v>133</v>
      </c>
      <c r="G373" s="803"/>
      <c r="H373" s="345">
        <v>133</v>
      </c>
      <c r="I373" s="345">
        <v>3.5</v>
      </c>
      <c r="J373" s="345">
        <v>93.5</v>
      </c>
      <c r="K373" s="345">
        <v>93.5</v>
      </c>
      <c r="L373" s="346"/>
      <c r="M373" s="346"/>
      <c r="N373" s="346"/>
      <c r="O373" s="345"/>
      <c r="P373" s="345"/>
      <c r="Q373" s="345"/>
      <c r="R373" s="345">
        <v>0.8</v>
      </c>
      <c r="S373" s="345">
        <v>100.6</v>
      </c>
      <c r="T373" s="345">
        <v>100.6</v>
      </c>
      <c r="U373" s="345">
        <v>1.5</v>
      </c>
      <c r="V373" s="345">
        <v>126.5</v>
      </c>
      <c r="W373" s="345">
        <v>126.5</v>
      </c>
      <c r="X373" s="345">
        <v>1.5</v>
      </c>
      <c r="Y373" s="345">
        <v>146.5</v>
      </c>
      <c r="Z373" s="345">
        <v>146.5</v>
      </c>
      <c r="AA373">
        <f t="shared" si="5"/>
        <v>3.5</v>
      </c>
    </row>
    <row r="374" spans="1:27" ht="28.8" x14ac:dyDescent="0.3">
      <c r="A374" s="345" t="s">
        <v>2047</v>
      </c>
      <c r="B374" s="805"/>
      <c r="C374" s="802"/>
      <c r="D374" s="802"/>
      <c r="E374" s="803"/>
      <c r="F374" s="805">
        <v>145</v>
      </c>
      <c r="G374" s="803"/>
      <c r="H374" s="345">
        <v>145</v>
      </c>
      <c r="I374" s="345">
        <v>5</v>
      </c>
      <c r="J374" s="345">
        <v>98.5</v>
      </c>
      <c r="K374" s="345">
        <v>98.5</v>
      </c>
      <c r="L374" s="346"/>
      <c r="M374" s="346"/>
      <c r="N374" s="346"/>
      <c r="O374" s="345"/>
      <c r="P374" s="345"/>
      <c r="Q374" s="345"/>
      <c r="R374" s="345">
        <v>4.5999999999999996</v>
      </c>
      <c r="S374" s="345">
        <v>105.2</v>
      </c>
      <c r="T374" s="345">
        <v>105.2</v>
      </c>
      <c r="U374" s="345">
        <v>5.5</v>
      </c>
      <c r="V374" s="345">
        <v>132</v>
      </c>
      <c r="W374" s="345">
        <v>132</v>
      </c>
      <c r="X374" s="345">
        <v>3.5</v>
      </c>
      <c r="Y374" s="345">
        <v>150</v>
      </c>
      <c r="Z374" s="345">
        <v>150</v>
      </c>
      <c r="AA374">
        <f t="shared" si="5"/>
        <v>5</v>
      </c>
    </row>
    <row r="375" spans="1:27" ht="28.8" x14ac:dyDescent="0.3">
      <c r="A375" s="345" t="s">
        <v>2048</v>
      </c>
      <c r="B375" s="805"/>
      <c r="C375" s="802"/>
      <c r="D375" s="802"/>
      <c r="E375" s="803"/>
      <c r="F375" s="805">
        <v>153.5</v>
      </c>
      <c r="G375" s="803"/>
      <c r="H375" s="345">
        <v>153.5</v>
      </c>
      <c r="I375" s="345">
        <v>12</v>
      </c>
      <c r="J375" s="345">
        <v>110.5</v>
      </c>
      <c r="K375" s="345">
        <v>110.5</v>
      </c>
      <c r="L375" s="346"/>
      <c r="M375" s="346"/>
      <c r="N375" s="346"/>
      <c r="O375" s="345"/>
      <c r="P375" s="345"/>
      <c r="Q375" s="345"/>
      <c r="R375" s="345">
        <v>24</v>
      </c>
      <c r="S375" s="345">
        <v>129.19999999999999</v>
      </c>
      <c r="T375" s="345">
        <v>129.19999999999999</v>
      </c>
      <c r="U375" s="345">
        <v>30</v>
      </c>
      <c r="V375" s="345">
        <v>162</v>
      </c>
      <c r="W375" s="345">
        <v>162</v>
      </c>
      <c r="X375" s="345">
        <v>30</v>
      </c>
      <c r="Y375" s="345">
        <v>180</v>
      </c>
      <c r="Z375" s="345">
        <v>180</v>
      </c>
      <c r="AA375">
        <f t="shared" si="5"/>
        <v>12</v>
      </c>
    </row>
    <row r="376" spans="1:27" ht="28.8" x14ac:dyDescent="0.3">
      <c r="A376" s="345" t="s">
        <v>2049</v>
      </c>
      <c r="B376" s="805"/>
      <c r="C376" s="802"/>
      <c r="D376" s="802"/>
      <c r="E376" s="803"/>
      <c r="F376" s="805">
        <v>153.5</v>
      </c>
      <c r="G376" s="803"/>
      <c r="H376" s="345">
        <v>153.5</v>
      </c>
      <c r="I376" s="345">
        <v>0</v>
      </c>
      <c r="J376" s="345">
        <v>110.5</v>
      </c>
      <c r="K376" s="345">
        <v>110.5</v>
      </c>
      <c r="L376" s="346"/>
      <c r="M376" s="346"/>
      <c r="N376" s="346"/>
      <c r="O376" s="345"/>
      <c r="P376" s="345"/>
      <c r="Q376" s="345"/>
      <c r="R376" s="345">
        <v>0</v>
      </c>
      <c r="S376" s="345">
        <v>129.19999999999999</v>
      </c>
      <c r="T376" s="345">
        <v>129.19999999999999</v>
      </c>
      <c r="U376" s="345">
        <v>0</v>
      </c>
      <c r="V376" s="345">
        <v>162</v>
      </c>
      <c r="W376" s="345">
        <v>162</v>
      </c>
      <c r="X376" s="345">
        <v>0</v>
      </c>
      <c r="Y376" s="345">
        <v>180</v>
      </c>
      <c r="Z376" s="345">
        <v>180</v>
      </c>
      <c r="AA376">
        <f t="shared" si="5"/>
        <v>0</v>
      </c>
    </row>
    <row r="377" spans="1:27" ht="28.8" x14ac:dyDescent="0.3">
      <c r="A377" s="345" t="s">
        <v>2050</v>
      </c>
      <c r="B377" s="805"/>
      <c r="C377" s="802"/>
      <c r="D377" s="802"/>
      <c r="E377" s="803"/>
      <c r="F377" s="805">
        <v>160.5</v>
      </c>
      <c r="G377" s="803"/>
      <c r="H377" s="345">
        <v>160.5</v>
      </c>
      <c r="I377" s="345">
        <v>9.5</v>
      </c>
      <c r="J377" s="345">
        <v>120</v>
      </c>
      <c r="K377" s="345">
        <v>120</v>
      </c>
      <c r="L377" s="346"/>
      <c r="M377" s="346"/>
      <c r="N377" s="346"/>
      <c r="O377" s="345"/>
      <c r="P377" s="345"/>
      <c r="Q377" s="345"/>
      <c r="R377" s="345">
        <v>4.4000000000000004</v>
      </c>
      <c r="S377" s="345">
        <v>133.6</v>
      </c>
      <c r="T377" s="345">
        <v>133.6</v>
      </c>
      <c r="U377" s="345">
        <v>5</v>
      </c>
      <c r="V377" s="345">
        <v>167</v>
      </c>
      <c r="W377" s="345">
        <v>167</v>
      </c>
      <c r="X377" s="345">
        <v>4</v>
      </c>
      <c r="Y377" s="345">
        <v>184</v>
      </c>
      <c r="Z377" s="345">
        <v>184</v>
      </c>
      <c r="AA377">
        <f t="shared" si="5"/>
        <v>9.5</v>
      </c>
    </row>
    <row r="378" spans="1:27" ht="28.8" x14ac:dyDescent="0.3">
      <c r="A378" s="345" t="s">
        <v>2051</v>
      </c>
      <c r="B378" s="805"/>
      <c r="C378" s="802"/>
      <c r="D378" s="802"/>
      <c r="E378" s="803"/>
      <c r="F378" s="805">
        <v>177.5</v>
      </c>
      <c r="G378" s="803"/>
      <c r="H378" s="345">
        <v>177.5</v>
      </c>
      <c r="I378" s="345">
        <v>16.5</v>
      </c>
      <c r="J378" s="345">
        <v>136.5</v>
      </c>
      <c r="K378" s="345">
        <v>136.5</v>
      </c>
      <c r="L378" s="346"/>
      <c r="M378" s="346"/>
      <c r="N378" s="346"/>
      <c r="O378" s="345"/>
      <c r="P378" s="345"/>
      <c r="Q378" s="345"/>
      <c r="R378" s="345">
        <v>15.8</v>
      </c>
      <c r="S378" s="345">
        <v>149.4</v>
      </c>
      <c r="T378" s="345">
        <v>149.4</v>
      </c>
      <c r="U378" s="345">
        <v>17</v>
      </c>
      <c r="V378" s="345">
        <v>184</v>
      </c>
      <c r="W378" s="345">
        <v>184</v>
      </c>
      <c r="X378" s="345"/>
      <c r="Y378" s="345"/>
      <c r="Z378" s="345"/>
      <c r="AA378">
        <f t="shared" si="5"/>
        <v>16.5</v>
      </c>
    </row>
    <row r="379" spans="1:27" ht="28.8" x14ac:dyDescent="0.3">
      <c r="A379" s="345" t="s">
        <v>2052</v>
      </c>
      <c r="B379" s="805"/>
      <c r="C379" s="802"/>
      <c r="D379" s="802"/>
      <c r="E379" s="803"/>
      <c r="F379" s="805">
        <v>187</v>
      </c>
      <c r="G379" s="803"/>
      <c r="H379" s="345">
        <v>187</v>
      </c>
      <c r="I379" s="345">
        <v>9</v>
      </c>
      <c r="J379" s="345">
        <v>145.5</v>
      </c>
      <c r="K379" s="345">
        <v>145.5</v>
      </c>
      <c r="L379" s="346"/>
      <c r="M379" s="346"/>
      <c r="N379" s="346"/>
      <c r="O379" s="345"/>
      <c r="P379" s="345"/>
      <c r="Q379" s="345"/>
      <c r="R379" s="345">
        <v>9.6</v>
      </c>
      <c r="S379" s="345">
        <v>159</v>
      </c>
      <c r="T379" s="345">
        <v>159</v>
      </c>
      <c r="U379" s="345">
        <v>10.5</v>
      </c>
      <c r="V379" s="345">
        <v>194.5</v>
      </c>
      <c r="W379" s="345">
        <v>194.5</v>
      </c>
      <c r="X379" s="345">
        <v>9</v>
      </c>
      <c r="Y379" s="345">
        <v>193</v>
      </c>
      <c r="Z379" s="345">
        <v>193</v>
      </c>
      <c r="AA379">
        <f t="shared" si="5"/>
        <v>9</v>
      </c>
    </row>
    <row r="380" spans="1:27" ht="28.8" x14ac:dyDescent="0.3">
      <c r="A380" s="345" t="s">
        <v>2053</v>
      </c>
      <c r="B380" s="805"/>
      <c r="C380" s="802"/>
      <c r="D380" s="802"/>
      <c r="E380" s="803"/>
      <c r="F380" s="805">
        <v>190</v>
      </c>
      <c r="G380" s="803"/>
      <c r="H380" s="345">
        <v>190</v>
      </c>
      <c r="I380" s="345">
        <v>2</v>
      </c>
      <c r="J380" s="345">
        <v>147.5</v>
      </c>
      <c r="K380" s="345">
        <v>147.5</v>
      </c>
      <c r="L380" s="346"/>
      <c r="M380" s="346"/>
      <c r="N380" s="346"/>
      <c r="O380" s="345"/>
      <c r="P380" s="345"/>
      <c r="Q380" s="345"/>
      <c r="R380" s="345">
        <v>5.6</v>
      </c>
      <c r="S380" s="345">
        <v>164.6</v>
      </c>
      <c r="T380" s="345">
        <v>164.6</v>
      </c>
      <c r="U380" s="345">
        <v>5</v>
      </c>
      <c r="V380" s="345">
        <v>199.5</v>
      </c>
      <c r="W380" s="345">
        <v>199.5</v>
      </c>
      <c r="X380" s="345">
        <v>4</v>
      </c>
      <c r="Y380" s="345">
        <v>197</v>
      </c>
      <c r="Z380" s="345">
        <v>197</v>
      </c>
      <c r="AA380">
        <f t="shared" si="5"/>
        <v>2</v>
      </c>
    </row>
    <row r="381" spans="1:27" ht="28.8" x14ac:dyDescent="0.3">
      <c r="A381" s="345" t="s">
        <v>2054</v>
      </c>
      <c r="B381" s="805"/>
      <c r="C381" s="802"/>
      <c r="D381" s="802"/>
      <c r="E381" s="803"/>
      <c r="F381" s="805">
        <v>225.5</v>
      </c>
      <c r="G381" s="803"/>
      <c r="H381" s="345">
        <v>225.5</v>
      </c>
      <c r="I381" s="345">
        <v>34.5</v>
      </c>
      <c r="J381" s="345">
        <v>182</v>
      </c>
      <c r="K381" s="345">
        <v>182</v>
      </c>
      <c r="L381" s="346"/>
      <c r="M381" s="346"/>
      <c r="N381" s="346"/>
      <c r="O381" s="345"/>
      <c r="P381" s="345"/>
      <c r="Q381" s="345"/>
      <c r="R381" s="345">
        <v>19.8</v>
      </c>
      <c r="S381" s="345">
        <v>184.4</v>
      </c>
      <c r="T381" s="345">
        <v>184.4</v>
      </c>
      <c r="U381" s="345">
        <v>25.5</v>
      </c>
      <c r="V381" s="345">
        <v>225</v>
      </c>
      <c r="W381" s="345">
        <v>225</v>
      </c>
      <c r="X381" s="345">
        <v>30.5</v>
      </c>
      <c r="Y381" s="345">
        <v>227.5</v>
      </c>
      <c r="Z381" s="345">
        <v>227.5</v>
      </c>
      <c r="AA381">
        <f t="shared" si="5"/>
        <v>34.5</v>
      </c>
    </row>
    <row r="382" spans="1:27" ht="28.8" x14ac:dyDescent="0.3">
      <c r="A382" s="345" t="s">
        <v>2055</v>
      </c>
      <c r="B382" s="805"/>
      <c r="C382" s="802"/>
      <c r="D382" s="802"/>
      <c r="E382" s="803"/>
      <c r="F382" s="805">
        <v>244</v>
      </c>
      <c r="G382" s="803"/>
      <c r="H382" s="345">
        <v>244</v>
      </c>
      <c r="I382" s="345">
        <v>19</v>
      </c>
      <c r="J382" s="345">
        <v>201</v>
      </c>
      <c r="K382" s="345">
        <v>201</v>
      </c>
      <c r="L382" s="346"/>
      <c r="M382" s="346"/>
      <c r="N382" s="346"/>
      <c r="O382" s="345"/>
      <c r="P382" s="345"/>
      <c r="Q382" s="345"/>
      <c r="R382" s="345">
        <v>7.8</v>
      </c>
      <c r="S382" s="345">
        <v>192.2</v>
      </c>
      <c r="T382" s="345">
        <v>192.2</v>
      </c>
      <c r="U382" s="345">
        <v>6</v>
      </c>
      <c r="V382" s="345">
        <v>231</v>
      </c>
      <c r="W382" s="345">
        <v>231</v>
      </c>
      <c r="X382" s="345">
        <v>16</v>
      </c>
      <c r="Y382" s="345">
        <v>243.5</v>
      </c>
      <c r="Z382" s="345">
        <v>243.5</v>
      </c>
      <c r="AA382">
        <f t="shared" si="5"/>
        <v>19</v>
      </c>
    </row>
    <row r="383" spans="1:27" ht="28.8" x14ac:dyDescent="0.3">
      <c r="A383" s="345" t="s">
        <v>2056</v>
      </c>
      <c r="B383" s="805"/>
      <c r="C383" s="802"/>
      <c r="D383" s="802"/>
      <c r="E383" s="803"/>
      <c r="F383" s="805">
        <v>244.5</v>
      </c>
      <c r="G383" s="803"/>
      <c r="H383" s="345">
        <v>244.5</v>
      </c>
      <c r="I383" s="345">
        <v>0.5</v>
      </c>
      <c r="J383" s="345">
        <v>201.5</v>
      </c>
      <c r="K383" s="345">
        <v>201.5</v>
      </c>
      <c r="L383" s="346"/>
      <c r="M383" s="346"/>
      <c r="N383" s="346"/>
      <c r="O383" s="345"/>
      <c r="P383" s="345"/>
      <c r="Q383" s="345"/>
      <c r="R383" s="345">
        <v>0.2</v>
      </c>
      <c r="S383" s="345">
        <v>192.4</v>
      </c>
      <c r="T383" s="345">
        <v>192.4</v>
      </c>
      <c r="U383" s="345">
        <v>0.5</v>
      </c>
      <c r="V383" s="345">
        <v>231.5</v>
      </c>
      <c r="W383" s="345">
        <v>231.5</v>
      </c>
      <c r="X383" s="345">
        <v>0.5</v>
      </c>
      <c r="Y383" s="345">
        <v>244</v>
      </c>
      <c r="Z383" s="345">
        <v>244</v>
      </c>
      <c r="AA383">
        <f t="shared" si="5"/>
        <v>0.5</v>
      </c>
    </row>
    <row r="384" spans="1:27" ht="28.8" x14ac:dyDescent="0.3">
      <c r="A384" s="345" t="s">
        <v>2057</v>
      </c>
      <c r="B384" s="805"/>
      <c r="C384" s="802"/>
      <c r="D384" s="802"/>
      <c r="E384" s="803"/>
      <c r="F384" s="805">
        <v>245</v>
      </c>
      <c r="G384" s="803"/>
      <c r="H384" s="345">
        <v>245</v>
      </c>
      <c r="I384" s="345">
        <v>5</v>
      </c>
      <c r="J384" s="345">
        <v>206.5</v>
      </c>
      <c r="K384" s="345">
        <v>206.5</v>
      </c>
      <c r="L384" s="346"/>
      <c r="M384" s="346"/>
      <c r="N384" s="346"/>
      <c r="O384" s="345"/>
      <c r="P384" s="345"/>
      <c r="Q384" s="345"/>
      <c r="R384" s="345">
        <v>1.2</v>
      </c>
      <c r="S384" s="345">
        <v>193.6</v>
      </c>
      <c r="T384" s="345">
        <v>193.6</v>
      </c>
      <c r="U384" s="345">
        <v>1.5</v>
      </c>
      <c r="V384" s="345">
        <v>233</v>
      </c>
      <c r="W384" s="345">
        <v>233</v>
      </c>
      <c r="X384" s="345">
        <v>1.5</v>
      </c>
      <c r="Y384" s="345">
        <v>245.5</v>
      </c>
      <c r="Z384" s="345">
        <v>245.5</v>
      </c>
      <c r="AA384">
        <f t="shared" si="5"/>
        <v>5</v>
      </c>
    </row>
    <row r="385" spans="1:27" ht="28.8" x14ac:dyDescent="0.3">
      <c r="A385" s="345" t="s">
        <v>2058</v>
      </c>
      <c r="B385" s="805"/>
      <c r="C385" s="802"/>
      <c r="D385" s="802"/>
      <c r="E385" s="803"/>
      <c r="F385" s="805">
        <v>245</v>
      </c>
      <c r="G385" s="803"/>
      <c r="H385" s="345">
        <v>245</v>
      </c>
      <c r="I385" s="345">
        <v>0</v>
      </c>
      <c r="J385" s="345">
        <v>206.5</v>
      </c>
      <c r="K385" s="345">
        <v>206.5</v>
      </c>
      <c r="L385" s="346"/>
      <c r="M385" s="346"/>
      <c r="N385" s="346"/>
      <c r="O385" s="345"/>
      <c r="P385" s="345"/>
      <c r="Q385" s="345"/>
      <c r="R385" s="345">
        <v>0</v>
      </c>
      <c r="S385" s="345">
        <v>193.6</v>
      </c>
      <c r="T385" s="345">
        <v>193.6</v>
      </c>
      <c r="U385" s="345">
        <v>0</v>
      </c>
      <c r="V385" s="345">
        <v>233</v>
      </c>
      <c r="W385" s="345">
        <v>233</v>
      </c>
      <c r="X385" s="345">
        <v>0</v>
      </c>
      <c r="Y385" s="345">
        <v>245.5</v>
      </c>
      <c r="Z385" s="345">
        <v>245.5</v>
      </c>
      <c r="AA385">
        <f t="shared" si="5"/>
        <v>0</v>
      </c>
    </row>
    <row r="386" spans="1:27" ht="28.8" x14ac:dyDescent="0.3">
      <c r="A386" s="345" t="s">
        <v>2059</v>
      </c>
      <c r="B386" s="805"/>
      <c r="C386" s="802"/>
      <c r="D386" s="802"/>
      <c r="E386" s="803"/>
      <c r="F386" s="805">
        <v>245</v>
      </c>
      <c r="G386" s="803"/>
      <c r="H386" s="345">
        <v>245</v>
      </c>
      <c r="I386" s="345">
        <v>0</v>
      </c>
      <c r="J386" s="345">
        <v>206.5</v>
      </c>
      <c r="K386" s="345">
        <v>206.5</v>
      </c>
      <c r="L386" s="346"/>
      <c r="M386" s="346"/>
      <c r="N386" s="346"/>
      <c r="O386" s="345"/>
      <c r="P386" s="345"/>
      <c r="Q386" s="345"/>
      <c r="R386" s="345">
        <v>0.4</v>
      </c>
      <c r="S386" s="345">
        <v>194</v>
      </c>
      <c r="T386" s="345">
        <v>194</v>
      </c>
      <c r="U386" s="345">
        <v>0</v>
      </c>
      <c r="V386" s="345">
        <v>233</v>
      </c>
      <c r="W386" s="345">
        <v>233</v>
      </c>
      <c r="X386" s="345">
        <v>0</v>
      </c>
      <c r="Y386" s="345">
        <v>245.5</v>
      </c>
      <c r="Z386" s="345">
        <v>245.5</v>
      </c>
      <c r="AA386">
        <f t="shared" si="5"/>
        <v>0</v>
      </c>
    </row>
    <row r="387" spans="1:27" ht="28.8" x14ac:dyDescent="0.3">
      <c r="A387" s="345" t="s">
        <v>2060</v>
      </c>
      <c r="B387" s="805"/>
      <c r="C387" s="802"/>
      <c r="D387" s="802"/>
      <c r="E387" s="803"/>
      <c r="F387" s="805">
        <v>246.5</v>
      </c>
      <c r="G387" s="803"/>
      <c r="H387" s="345">
        <v>246.5</v>
      </c>
      <c r="I387" s="345">
        <v>1.5</v>
      </c>
      <c r="J387" s="345">
        <v>208</v>
      </c>
      <c r="K387" s="345">
        <v>208</v>
      </c>
      <c r="L387" s="346"/>
      <c r="M387" s="346"/>
      <c r="N387" s="346"/>
      <c r="O387" s="345"/>
      <c r="P387" s="345"/>
      <c r="Q387" s="345"/>
      <c r="R387" s="345">
        <v>1.8</v>
      </c>
      <c r="S387" s="345">
        <v>195.8</v>
      </c>
      <c r="T387" s="345">
        <v>195.8</v>
      </c>
      <c r="U387" s="345">
        <v>2.5</v>
      </c>
      <c r="V387" s="345">
        <v>235.5</v>
      </c>
      <c r="W387" s="345">
        <v>235.5</v>
      </c>
      <c r="X387" s="345">
        <v>2.5</v>
      </c>
      <c r="Y387" s="345">
        <v>248</v>
      </c>
      <c r="Z387" s="345">
        <v>248</v>
      </c>
      <c r="AA387">
        <f t="shared" si="5"/>
        <v>1.5</v>
      </c>
    </row>
    <row r="388" spans="1:27" ht="28.8" x14ac:dyDescent="0.3">
      <c r="A388" s="345" t="s">
        <v>2061</v>
      </c>
      <c r="B388" s="805"/>
      <c r="C388" s="802"/>
      <c r="D388" s="802"/>
      <c r="E388" s="803"/>
      <c r="F388" s="805">
        <v>249</v>
      </c>
      <c r="G388" s="803"/>
      <c r="H388" s="345">
        <v>249</v>
      </c>
      <c r="I388" s="345">
        <v>2.5</v>
      </c>
      <c r="J388" s="345">
        <v>210.5</v>
      </c>
      <c r="K388" s="345">
        <v>210.5</v>
      </c>
      <c r="L388" s="346"/>
      <c r="M388" s="346"/>
      <c r="N388" s="346"/>
      <c r="O388" s="345"/>
      <c r="P388" s="345"/>
      <c r="Q388" s="345"/>
      <c r="R388" s="345">
        <v>2</v>
      </c>
      <c r="S388" s="345">
        <v>197.8</v>
      </c>
      <c r="T388" s="345">
        <v>197.8</v>
      </c>
      <c r="U388" s="345">
        <v>2.5</v>
      </c>
      <c r="V388" s="345">
        <v>238</v>
      </c>
      <c r="W388" s="345">
        <v>238</v>
      </c>
      <c r="X388" s="345">
        <v>2.5</v>
      </c>
      <c r="Y388" s="345">
        <v>250.5</v>
      </c>
      <c r="Z388" s="345">
        <v>250.5</v>
      </c>
      <c r="AA388">
        <f t="shared" si="5"/>
        <v>2.5</v>
      </c>
    </row>
    <row r="389" spans="1:27" ht="28.8" x14ac:dyDescent="0.3">
      <c r="A389" s="345" t="s">
        <v>2062</v>
      </c>
      <c r="B389" s="805"/>
      <c r="C389" s="802"/>
      <c r="D389" s="802"/>
      <c r="E389" s="803"/>
      <c r="F389" s="805">
        <v>256</v>
      </c>
      <c r="G389" s="803"/>
      <c r="H389" s="345">
        <v>256</v>
      </c>
      <c r="I389" s="345">
        <v>8.5</v>
      </c>
      <c r="J389" s="345">
        <v>219</v>
      </c>
      <c r="K389" s="345">
        <v>219</v>
      </c>
      <c r="L389" s="346"/>
      <c r="M389" s="346"/>
      <c r="N389" s="346"/>
      <c r="O389" s="345"/>
      <c r="P389" s="345"/>
      <c r="Q389" s="345"/>
      <c r="R389" s="345">
        <v>4.4000000000000004</v>
      </c>
      <c r="S389" s="345">
        <v>202.2</v>
      </c>
      <c r="T389" s="345">
        <v>202.2</v>
      </c>
      <c r="U389" s="345">
        <v>5</v>
      </c>
      <c r="V389" s="345">
        <v>243</v>
      </c>
      <c r="W389" s="345">
        <v>243</v>
      </c>
      <c r="X389" s="345">
        <v>3</v>
      </c>
      <c r="Y389" s="345">
        <v>253.5</v>
      </c>
      <c r="Z389" s="345">
        <v>253.5</v>
      </c>
      <c r="AA389">
        <f t="shared" si="5"/>
        <v>8.5</v>
      </c>
    </row>
    <row r="390" spans="1:27" ht="28.8" x14ac:dyDescent="0.3">
      <c r="A390" s="345" t="s">
        <v>2063</v>
      </c>
      <c r="B390" s="805"/>
      <c r="C390" s="802"/>
      <c r="D390" s="802"/>
      <c r="E390" s="803"/>
      <c r="F390" s="805">
        <v>256.5</v>
      </c>
      <c r="G390" s="803"/>
      <c r="H390" s="345">
        <v>256.5</v>
      </c>
      <c r="I390" s="345">
        <v>0.5</v>
      </c>
      <c r="J390" s="345">
        <v>219.5</v>
      </c>
      <c r="K390" s="345">
        <v>219.5</v>
      </c>
      <c r="L390" s="346"/>
      <c r="M390" s="346"/>
      <c r="N390" s="346"/>
      <c r="O390" s="345"/>
      <c r="P390" s="345"/>
      <c r="Q390" s="345"/>
      <c r="R390" s="345">
        <v>0.2</v>
      </c>
      <c r="S390" s="345">
        <v>202.4</v>
      </c>
      <c r="T390" s="345">
        <v>202.4</v>
      </c>
      <c r="U390" s="345">
        <v>0.5</v>
      </c>
      <c r="V390" s="345">
        <v>243.5</v>
      </c>
      <c r="W390" s="345">
        <v>243.5</v>
      </c>
      <c r="X390" s="345">
        <v>0.5</v>
      </c>
      <c r="Y390" s="345">
        <v>254</v>
      </c>
      <c r="Z390" s="345">
        <v>254</v>
      </c>
      <c r="AA390">
        <f t="shared" ref="AA390:AA454" si="6">MAX(B390+I390+L390+O390)</f>
        <v>0.5</v>
      </c>
    </row>
    <row r="391" spans="1:27" ht="28.8" x14ac:dyDescent="0.3">
      <c r="A391" s="345" t="s">
        <v>2064</v>
      </c>
      <c r="B391" s="805"/>
      <c r="C391" s="802"/>
      <c r="D391" s="802"/>
      <c r="E391" s="803"/>
      <c r="F391" s="805">
        <v>256.5</v>
      </c>
      <c r="G391" s="803"/>
      <c r="H391" s="345">
        <v>256.5</v>
      </c>
      <c r="I391" s="345">
        <v>0</v>
      </c>
      <c r="J391" s="345">
        <v>219.5</v>
      </c>
      <c r="K391" s="345">
        <v>219.5</v>
      </c>
      <c r="L391" s="346"/>
      <c r="M391" s="346"/>
      <c r="N391" s="346"/>
      <c r="O391" s="345"/>
      <c r="P391" s="345"/>
      <c r="Q391" s="345"/>
      <c r="R391" s="345">
        <v>0.4</v>
      </c>
      <c r="S391" s="345">
        <v>202.8</v>
      </c>
      <c r="T391" s="345">
        <v>202.8</v>
      </c>
      <c r="U391" s="345">
        <v>0.5</v>
      </c>
      <c r="V391" s="345">
        <v>244</v>
      </c>
      <c r="W391" s="345">
        <v>244</v>
      </c>
      <c r="X391" s="345">
        <v>0.5</v>
      </c>
      <c r="Y391" s="345">
        <v>254.5</v>
      </c>
      <c r="Z391" s="345">
        <v>254.5</v>
      </c>
      <c r="AA391">
        <f t="shared" si="6"/>
        <v>0</v>
      </c>
    </row>
    <row r="392" spans="1:27" ht="28.8" x14ac:dyDescent="0.3">
      <c r="A392" s="345" t="s">
        <v>2065</v>
      </c>
      <c r="B392" s="805"/>
      <c r="C392" s="802"/>
      <c r="D392" s="802"/>
      <c r="E392" s="803"/>
      <c r="F392" s="805">
        <v>276.5</v>
      </c>
      <c r="G392" s="803"/>
      <c r="H392" s="345">
        <v>276.5</v>
      </c>
      <c r="I392" s="345">
        <v>11</v>
      </c>
      <c r="J392" s="345">
        <v>230.5</v>
      </c>
      <c r="K392" s="345">
        <v>230.5</v>
      </c>
      <c r="L392" s="346"/>
      <c r="M392" s="346"/>
      <c r="N392" s="346"/>
      <c r="O392" s="345"/>
      <c r="P392" s="345"/>
      <c r="Q392" s="345"/>
      <c r="R392" s="345">
        <v>18.600000000000001</v>
      </c>
      <c r="S392" s="345">
        <v>221.4</v>
      </c>
      <c r="T392" s="345">
        <v>221.4</v>
      </c>
      <c r="U392" s="345">
        <v>19.5</v>
      </c>
      <c r="V392" s="345">
        <v>263.5</v>
      </c>
      <c r="W392" s="345">
        <v>263.5</v>
      </c>
      <c r="X392" s="345">
        <v>21.5</v>
      </c>
      <c r="Y392" s="345">
        <v>276</v>
      </c>
      <c r="Z392" s="345">
        <v>276</v>
      </c>
      <c r="AA392">
        <f t="shared" si="6"/>
        <v>11</v>
      </c>
    </row>
    <row r="393" spans="1:27" ht="28.8" x14ac:dyDescent="0.3">
      <c r="A393" s="345" t="s">
        <v>2066</v>
      </c>
      <c r="B393" s="805"/>
      <c r="C393" s="802"/>
      <c r="D393" s="802"/>
      <c r="E393" s="803"/>
      <c r="F393" s="805">
        <v>295.5</v>
      </c>
      <c r="G393" s="803"/>
      <c r="H393" s="345">
        <v>295.5</v>
      </c>
      <c r="I393" s="345">
        <v>13</v>
      </c>
      <c r="J393" s="345">
        <v>243.5</v>
      </c>
      <c r="K393" s="345">
        <v>243.5</v>
      </c>
      <c r="L393" s="346"/>
      <c r="M393" s="346"/>
      <c r="N393" s="346"/>
      <c r="O393" s="345"/>
      <c r="P393" s="345"/>
      <c r="Q393" s="345"/>
      <c r="R393" s="345">
        <v>14.8</v>
      </c>
      <c r="S393" s="345">
        <v>236.2</v>
      </c>
      <c r="T393" s="345">
        <v>236.2</v>
      </c>
      <c r="U393" s="345">
        <v>16</v>
      </c>
      <c r="V393" s="345">
        <v>279.5</v>
      </c>
      <c r="W393" s="345">
        <v>279.5</v>
      </c>
      <c r="X393" s="345">
        <v>17.5</v>
      </c>
      <c r="Y393" s="345">
        <v>293.5</v>
      </c>
      <c r="Z393" s="345">
        <v>293.5</v>
      </c>
      <c r="AA393">
        <f t="shared" si="6"/>
        <v>13</v>
      </c>
    </row>
    <row r="394" spans="1:27" ht="28.8" x14ac:dyDescent="0.3">
      <c r="A394" s="345" t="s">
        <v>2067</v>
      </c>
      <c r="B394" s="805"/>
      <c r="C394" s="802"/>
      <c r="D394" s="802"/>
      <c r="E394" s="803"/>
      <c r="F394" s="805">
        <v>295.5</v>
      </c>
      <c r="G394" s="803"/>
      <c r="H394" s="345">
        <v>295.5</v>
      </c>
      <c r="I394" s="345">
        <v>0</v>
      </c>
      <c r="J394" s="345">
        <v>243.5</v>
      </c>
      <c r="K394" s="345">
        <v>243.5</v>
      </c>
      <c r="L394" s="346"/>
      <c r="M394" s="346"/>
      <c r="N394" s="346"/>
      <c r="O394" s="345"/>
      <c r="P394" s="345"/>
      <c r="Q394" s="345"/>
      <c r="R394" s="345">
        <v>0.2</v>
      </c>
      <c r="S394" s="345">
        <v>236.4</v>
      </c>
      <c r="T394" s="345">
        <v>236.4</v>
      </c>
      <c r="U394" s="345">
        <v>0</v>
      </c>
      <c r="V394" s="345">
        <v>279.5</v>
      </c>
      <c r="W394" s="345">
        <v>279.5</v>
      </c>
      <c r="X394" s="345">
        <v>0</v>
      </c>
      <c r="Y394" s="345">
        <v>293.5</v>
      </c>
      <c r="Z394" s="345">
        <v>293.5</v>
      </c>
      <c r="AA394">
        <f t="shared" si="6"/>
        <v>0</v>
      </c>
    </row>
    <row r="395" spans="1:27" ht="28.8" x14ac:dyDescent="0.3">
      <c r="A395" s="345" t="s">
        <v>2068</v>
      </c>
      <c r="B395" s="805"/>
      <c r="C395" s="802"/>
      <c r="D395" s="802"/>
      <c r="E395" s="803"/>
      <c r="F395" s="805">
        <v>297</v>
      </c>
      <c r="G395" s="803"/>
      <c r="H395" s="345">
        <v>297</v>
      </c>
      <c r="I395" s="345">
        <v>2</v>
      </c>
      <c r="J395" s="345">
        <v>245.5</v>
      </c>
      <c r="K395" s="345">
        <v>245.5</v>
      </c>
      <c r="L395" s="346"/>
      <c r="M395" s="346"/>
      <c r="N395" s="346"/>
      <c r="O395" s="345"/>
      <c r="P395" s="345"/>
      <c r="Q395" s="345"/>
      <c r="R395" s="345">
        <v>1.2</v>
      </c>
      <c r="S395" s="345">
        <v>237.6</v>
      </c>
      <c r="T395" s="345">
        <v>237.6</v>
      </c>
      <c r="U395" s="345">
        <v>2</v>
      </c>
      <c r="V395" s="345">
        <v>281.5</v>
      </c>
      <c r="W395" s="345">
        <v>281.5</v>
      </c>
      <c r="X395" s="345">
        <v>2</v>
      </c>
      <c r="Y395" s="345">
        <v>295.5</v>
      </c>
      <c r="Z395" s="345">
        <v>295.5</v>
      </c>
      <c r="AA395">
        <f t="shared" si="6"/>
        <v>2</v>
      </c>
    </row>
    <row r="396" spans="1:27" ht="28.8" x14ac:dyDescent="0.3">
      <c r="A396" s="345" t="s">
        <v>2069</v>
      </c>
      <c r="B396" s="805"/>
      <c r="C396" s="802"/>
      <c r="D396" s="802"/>
      <c r="E396" s="803"/>
      <c r="F396" s="805">
        <v>297.5</v>
      </c>
      <c r="G396" s="803"/>
      <c r="H396" s="345">
        <v>297.5</v>
      </c>
      <c r="I396" s="345">
        <v>0.5</v>
      </c>
      <c r="J396" s="345">
        <v>246</v>
      </c>
      <c r="K396" s="345">
        <v>246</v>
      </c>
      <c r="L396" s="346"/>
      <c r="M396" s="346"/>
      <c r="N396" s="346"/>
      <c r="O396" s="345"/>
      <c r="P396" s="345"/>
      <c r="Q396" s="345"/>
      <c r="R396" s="345">
        <v>0.6</v>
      </c>
      <c r="S396" s="345">
        <v>238.2</v>
      </c>
      <c r="T396" s="345">
        <v>238.2</v>
      </c>
      <c r="U396" s="345">
        <v>0.5</v>
      </c>
      <c r="V396" s="345">
        <v>282</v>
      </c>
      <c r="W396" s="345">
        <v>282</v>
      </c>
      <c r="X396" s="345">
        <v>0.4</v>
      </c>
      <c r="Y396" s="345">
        <v>295.89999999999998</v>
      </c>
      <c r="Z396" s="345">
        <v>295.89999999999998</v>
      </c>
      <c r="AA396">
        <f t="shared" si="6"/>
        <v>0.5</v>
      </c>
    </row>
    <row r="397" spans="1:27" ht="28.8" x14ac:dyDescent="0.3">
      <c r="A397" s="345" t="s">
        <v>2070</v>
      </c>
      <c r="B397" s="805"/>
      <c r="C397" s="802"/>
      <c r="D397" s="802"/>
      <c r="E397" s="803"/>
      <c r="F397" s="805">
        <v>298</v>
      </c>
      <c r="G397" s="803"/>
      <c r="H397" s="345">
        <v>298</v>
      </c>
      <c r="I397" s="345">
        <v>0.5</v>
      </c>
      <c r="J397" s="345">
        <v>246.5</v>
      </c>
      <c r="K397" s="345">
        <v>246.5</v>
      </c>
      <c r="L397" s="346"/>
      <c r="M397" s="346"/>
      <c r="N397" s="346"/>
      <c r="O397" s="345"/>
      <c r="P397" s="345"/>
      <c r="Q397" s="345"/>
      <c r="R397" s="345">
        <v>0.4</v>
      </c>
      <c r="S397" s="345">
        <v>238.6</v>
      </c>
      <c r="T397" s="345">
        <v>238.6</v>
      </c>
      <c r="U397" s="345">
        <v>0.5</v>
      </c>
      <c r="V397" s="345">
        <v>282.5</v>
      </c>
      <c r="W397" s="345">
        <v>282.5</v>
      </c>
      <c r="X397" s="345">
        <v>0.3</v>
      </c>
      <c r="Y397" s="345">
        <v>296.2</v>
      </c>
      <c r="Z397" s="345">
        <v>296.2</v>
      </c>
      <c r="AA397">
        <f t="shared" si="6"/>
        <v>0.5</v>
      </c>
    </row>
    <row r="398" spans="1:27" s="362" customFormat="1" ht="28.8" x14ac:dyDescent="0.3">
      <c r="A398" s="359" t="s">
        <v>2071</v>
      </c>
      <c r="B398" s="811"/>
      <c r="C398" s="812"/>
      <c r="D398" s="812"/>
      <c r="E398" s="813"/>
      <c r="F398" s="811">
        <v>298.3</v>
      </c>
      <c r="G398" s="813"/>
      <c r="H398" s="359">
        <v>298.3</v>
      </c>
      <c r="I398" s="359">
        <v>0.4</v>
      </c>
      <c r="J398" s="359">
        <v>246.9</v>
      </c>
      <c r="K398" s="359">
        <v>246.9</v>
      </c>
      <c r="L398" s="359"/>
      <c r="M398" s="359"/>
      <c r="N398" s="359"/>
      <c r="O398" s="359"/>
      <c r="P398" s="359"/>
      <c r="Q398" s="359"/>
      <c r="R398" s="359">
        <v>0.4</v>
      </c>
      <c r="S398" s="359">
        <v>239</v>
      </c>
      <c r="T398" s="359">
        <v>239</v>
      </c>
      <c r="U398" s="359">
        <v>0.5</v>
      </c>
      <c r="V398" s="359">
        <v>283</v>
      </c>
      <c r="W398" s="359">
        <v>283</v>
      </c>
      <c r="X398" s="359">
        <v>0.5</v>
      </c>
      <c r="Y398" s="359">
        <v>296.7</v>
      </c>
      <c r="Z398" s="359">
        <v>296.7</v>
      </c>
      <c r="AA398" s="362">
        <f t="shared" si="6"/>
        <v>0.4</v>
      </c>
    </row>
    <row r="399" spans="1:27" ht="28.8" x14ac:dyDescent="0.3">
      <c r="A399" s="345" t="s">
        <v>2072</v>
      </c>
      <c r="B399" s="805"/>
      <c r="C399" s="802"/>
      <c r="D399" s="802"/>
      <c r="E399" s="803"/>
      <c r="F399" s="805">
        <v>2.5</v>
      </c>
      <c r="G399" s="803"/>
      <c r="H399" s="345">
        <v>300.8</v>
      </c>
      <c r="I399" s="345">
        <v>3</v>
      </c>
      <c r="J399" s="345">
        <v>3</v>
      </c>
      <c r="K399" s="345">
        <v>249.9</v>
      </c>
      <c r="L399" s="346"/>
      <c r="M399" s="346"/>
      <c r="N399" s="346"/>
      <c r="O399" s="345"/>
      <c r="P399" s="345"/>
      <c r="Q399" s="345"/>
      <c r="R399" s="345">
        <v>2.8</v>
      </c>
      <c r="S399" s="345">
        <v>2.8</v>
      </c>
      <c r="T399" s="345">
        <v>241.8</v>
      </c>
      <c r="U399" s="345">
        <v>3</v>
      </c>
      <c r="V399" s="345">
        <v>3</v>
      </c>
      <c r="W399" s="345">
        <v>286</v>
      </c>
      <c r="X399" s="345">
        <v>3.5</v>
      </c>
      <c r="Y399" s="345">
        <v>3.5</v>
      </c>
      <c r="Z399" s="345">
        <v>300.2</v>
      </c>
      <c r="AA399">
        <f t="shared" si="6"/>
        <v>3</v>
      </c>
    </row>
    <row r="400" spans="1:27" ht="28.8" x14ac:dyDescent="0.3">
      <c r="A400" s="345" t="s">
        <v>2073</v>
      </c>
      <c r="B400" s="805"/>
      <c r="C400" s="802"/>
      <c r="D400" s="802"/>
      <c r="E400" s="803"/>
      <c r="F400" s="805">
        <v>3</v>
      </c>
      <c r="G400" s="803"/>
      <c r="H400" s="345">
        <v>301.3</v>
      </c>
      <c r="I400" s="345">
        <v>0.5</v>
      </c>
      <c r="J400" s="345">
        <v>3.5</v>
      </c>
      <c r="K400" s="345">
        <v>250.4</v>
      </c>
      <c r="L400" s="346"/>
      <c r="M400" s="346"/>
      <c r="N400" s="346"/>
      <c r="O400" s="345"/>
      <c r="P400" s="345"/>
      <c r="Q400" s="345"/>
      <c r="R400" s="345">
        <v>0.4</v>
      </c>
      <c r="S400" s="345">
        <v>3.2</v>
      </c>
      <c r="T400" s="345">
        <v>242.2</v>
      </c>
      <c r="U400" s="345">
        <v>0.5</v>
      </c>
      <c r="V400" s="345">
        <v>3.5</v>
      </c>
      <c r="W400" s="345">
        <v>286.5</v>
      </c>
      <c r="X400" s="345"/>
      <c r="Y400" s="345"/>
      <c r="Z400" s="345"/>
      <c r="AA400">
        <f t="shared" si="6"/>
        <v>0.5</v>
      </c>
    </row>
    <row r="401" spans="1:27" ht="28.8" x14ac:dyDescent="0.3">
      <c r="A401" s="345" t="s">
        <v>2074</v>
      </c>
      <c r="B401" s="805"/>
      <c r="C401" s="802"/>
      <c r="D401" s="802"/>
      <c r="E401" s="803"/>
      <c r="F401" s="805">
        <v>3</v>
      </c>
      <c r="G401" s="803"/>
      <c r="H401" s="345">
        <v>301.3</v>
      </c>
      <c r="I401" s="345">
        <v>0</v>
      </c>
      <c r="J401" s="345">
        <v>3.5</v>
      </c>
      <c r="K401" s="345">
        <v>250.4</v>
      </c>
      <c r="L401" s="346"/>
      <c r="M401" s="346"/>
      <c r="N401" s="346"/>
      <c r="O401" s="345"/>
      <c r="P401" s="345"/>
      <c r="Q401" s="345"/>
      <c r="R401" s="345">
        <v>0</v>
      </c>
      <c r="S401" s="345">
        <v>3.2</v>
      </c>
      <c r="T401" s="345">
        <v>242.2</v>
      </c>
      <c r="U401" s="345">
        <v>0</v>
      </c>
      <c r="V401" s="345">
        <v>3.5</v>
      </c>
      <c r="W401" s="345">
        <v>286.5</v>
      </c>
      <c r="X401" s="345">
        <v>0</v>
      </c>
      <c r="Y401" s="345">
        <v>3.5</v>
      </c>
      <c r="Z401" s="345">
        <v>300.2</v>
      </c>
      <c r="AA401">
        <f t="shared" si="6"/>
        <v>0</v>
      </c>
    </row>
    <row r="402" spans="1:27" ht="28.8" x14ac:dyDescent="0.3">
      <c r="A402" s="345" t="s">
        <v>2075</v>
      </c>
      <c r="B402" s="805"/>
      <c r="C402" s="802"/>
      <c r="D402" s="802"/>
      <c r="E402" s="803"/>
      <c r="F402" s="805">
        <v>3</v>
      </c>
      <c r="G402" s="803"/>
      <c r="H402" s="345">
        <v>301.3</v>
      </c>
      <c r="I402" s="345">
        <v>0</v>
      </c>
      <c r="J402" s="345">
        <v>3.5</v>
      </c>
      <c r="K402" s="345">
        <v>250.4</v>
      </c>
      <c r="L402" s="346"/>
      <c r="M402" s="346"/>
      <c r="N402" s="346"/>
      <c r="O402" s="345"/>
      <c r="P402" s="345"/>
      <c r="Q402" s="345"/>
      <c r="R402" s="345">
        <v>0</v>
      </c>
      <c r="S402" s="345">
        <v>3.2</v>
      </c>
      <c r="T402" s="345">
        <v>242.2</v>
      </c>
      <c r="U402" s="345">
        <v>0</v>
      </c>
      <c r="V402" s="345">
        <v>3.5</v>
      </c>
      <c r="W402" s="345">
        <v>286.5</v>
      </c>
      <c r="X402" s="345">
        <v>0</v>
      </c>
      <c r="Y402" s="345">
        <v>3.5</v>
      </c>
      <c r="Z402" s="345">
        <v>300.2</v>
      </c>
      <c r="AA402">
        <f t="shared" si="6"/>
        <v>0</v>
      </c>
    </row>
    <row r="403" spans="1:27" ht="28.8" x14ac:dyDescent="0.3">
      <c r="A403" s="345" t="s">
        <v>2076</v>
      </c>
      <c r="B403" s="805"/>
      <c r="C403" s="802"/>
      <c r="D403" s="802"/>
      <c r="E403" s="803"/>
      <c r="F403" s="805">
        <v>3</v>
      </c>
      <c r="G403" s="803"/>
      <c r="H403" s="345">
        <v>301.3</v>
      </c>
      <c r="I403" s="345">
        <v>0</v>
      </c>
      <c r="J403" s="345">
        <v>3.5</v>
      </c>
      <c r="K403" s="345">
        <v>250.4</v>
      </c>
      <c r="L403" s="346"/>
      <c r="M403" s="346"/>
      <c r="N403" s="346"/>
      <c r="O403" s="345"/>
      <c r="P403" s="345"/>
      <c r="Q403" s="345"/>
      <c r="R403" s="345">
        <v>0.4</v>
      </c>
      <c r="S403" s="345">
        <v>3.6</v>
      </c>
      <c r="T403" s="345">
        <v>242.6</v>
      </c>
      <c r="U403" s="345">
        <v>0.5</v>
      </c>
      <c r="V403" s="345">
        <v>4</v>
      </c>
      <c r="W403" s="345">
        <v>287</v>
      </c>
      <c r="X403" s="345">
        <v>0.5</v>
      </c>
      <c r="Y403" s="345">
        <v>4</v>
      </c>
      <c r="Z403" s="345">
        <v>300.7</v>
      </c>
      <c r="AA403">
        <f t="shared" si="6"/>
        <v>0</v>
      </c>
    </row>
    <row r="404" spans="1:27" ht="28.8" x14ac:dyDescent="0.3">
      <c r="A404" s="345" t="s">
        <v>2077</v>
      </c>
      <c r="B404" s="805"/>
      <c r="C404" s="802"/>
      <c r="D404" s="802"/>
      <c r="E404" s="803"/>
      <c r="F404" s="805">
        <v>3</v>
      </c>
      <c r="G404" s="803"/>
      <c r="H404" s="345">
        <v>301.3</v>
      </c>
      <c r="I404" s="345">
        <v>5</v>
      </c>
      <c r="J404" s="345">
        <v>8.5</v>
      </c>
      <c r="K404" s="345">
        <v>255.4</v>
      </c>
      <c r="L404" s="346"/>
      <c r="M404" s="346"/>
      <c r="N404" s="346"/>
      <c r="O404" s="345"/>
      <c r="P404" s="345"/>
      <c r="Q404" s="345"/>
      <c r="R404" s="345">
        <v>0.6</v>
      </c>
      <c r="S404" s="345">
        <v>4.2</v>
      </c>
      <c r="T404" s="345">
        <v>243.2</v>
      </c>
      <c r="U404" s="345">
        <v>0.5</v>
      </c>
      <c r="V404" s="345">
        <v>4.5</v>
      </c>
      <c r="W404" s="345">
        <v>287.5</v>
      </c>
      <c r="X404" s="345">
        <v>0</v>
      </c>
      <c r="Y404" s="345">
        <v>4</v>
      </c>
      <c r="Z404" s="345">
        <v>300.7</v>
      </c>
      <c r="AA404">
        <f t="shared" si="6"/>
        <v>5</v>
      </c>
    </row>
    <row r="405" spans="1:27" ht="28.8" x14ac:dyDescent="0.3">
      <c r="A405" s="345" t="s">
        <v>2078</v>
      </c>
      <c r="B405" s="805"/>
      <c r="C405" s="802"/>
      <c r="D405" s="802"/>
      <c r="E405" s="803"/>
      <c r="F405" s="805">
        <v>3</v>
      </c>
      <c r="G405" s="803"/>
      <c r="H405" s="345">
        <v>301.3</v>
      </c>
      <c r="I405" s="345">
        <v>0</v>
      </c>
      <c r="J405" s="345">
        <v>8.5</v>
      </c>
      <c r="K405" s="345">
        <v>255.4</v>
      </c>
      <c r="L405" s="346"/>
      <c r="M405" s="346"/>
      <c r="N405" s="346"/>
      <c r="O405" s="345"/>
      <c r="P405" s="345"/>
      <c r="Q405" s="345"/>
      <c r="R405" s="345">
        <v>0</v>
      </c>
      <c r="S405" s="345">
        <v>4.2</v>
      </c>
      <c r="T405" s="345">
        <v>243.2</v>
      </c>
      <c r="U405" s="345">
        <v>0</v>
      </c>
      <c r="V405" s="345">
        <v>4.5</v>
      </c>
      <c r="W405" s="345">
        <v>287.5</v>
      </c>
      <c r="X405" s="345">
        <v>0</v>
      </c>
      <c r="Y405" s="345">
        <v>4</v>
      </c>
      <c r="Z405" s="345">
        <v>300.7</v>
      </c>
      <c r="AA405">
        <f t="shared" si="6"/>
        <v>0</v>
      </c>
    </row>
    <row r="406" spans="1:27" ht="28.8" x14ac:dyDescent="0.3">
      <c r="A406" s="345" t="s">
        <v>2079</v>
      </c>
      <c r="B406" s="805"/>
      <c r="C406" s="802"/>
      <c r="D406" s="802"/>
      <c r="E406" s="803"/>
      <c r="F406" s="805">
        <v>10</v>
      </c>
      <c r="G406" s="803"/>
      <c r="H406" s="345">
        <v>308.3</v>
      </c>
      <c r="I406" s="345">
        <v>18</v>
      </c>
      <c r="J406" s="345">
        <v>26.5</v>
      </c>
      <c r="K406" s="345">
        <v>273.39999999999998</v>
      </c>
      <c r="L406" s="346"/>
      <c r="M406" s="346"/>
      <c r="N406" s="346"/>
      <c r="O406" s="345"/>
      <c r="P406" s="345"/>
      <c r="Q406" s="345"/>
      <c r="R406" s="345">
        <v>10.6</v>
      </c>
      <c r="S406" s="345">
        <v>14.8</v>
      </c>
      <c r="T406" s="345">
        <v>253.8</v>
      </c>
      <c r="U406" s="345">
        <v>11.5</v>
      </c>
      <c r="V406" s="345">
        <v>16</v>
      </c>
      <c r="W406" s="345">
        <v>299</v>
      </c>
      <c r="X406" s="345">
        <v>10.5</v>
      </c>
      <c r="Y406" s="345">
        <v>14.5</v>
      </c>
      <c r="Z406" s="345">
        <v>311.2</v>
      </c>
      <c r="AA406">
        <f t="shared" si="6"/>
        <v>18</v>
      </c>
    </row>
    <row r="407" spans="1:27" ht="28.8" x14ac:dyDescent="0.3">
      <c r="A407" s="345" t="s">
        <v>2080</v>
      </c>
      <c r="B407" s="805"/>
      <c r="C407" s="802"/>
      <c r="D407" s="802"/>
      <c r="E407" s="803"/>
      <c r="F407" s="805">
        <v>10</v>
      </c>
      <c r="G407" s="803"/>
      <c r="H407" s="345">
        <v>308.3</v>
      </c>
      <c r="I407" s="345">
        <v>0</v>
      </c>
      <c r="J407" s="345">
        <v>26.5</v>
      </c>
      <c r="K407" s="345">
        <v>273.39999999999998</v>
      </c>
      <c r="L407" s="346"/>
      <c r="M407" s="346"/>
      <c r="N407" s="346"/>
      <c r="O407" s="345"/>
      <c r="P407" s="345"/>
      <c r="Q407" s="345"/>
      <c r="R407" s="345">
        <v>0</v>
      </c>
      <c r="S407" s="345">
        <v>14.8</v>
      </c>
      <c r="T407" s="345">
        <v>253.8</v>
      </c>
      <c r="U407" s="345">
        <v>0</v>
      </c>
      <c r="V407" s="345">
        <v>16</v>
      </c>
      <c r="W407" s="345">
        <v>299</v>
      </c>
      <c r="X407" s="345">
        <v>0</v>
      </c>
      <c r="Y407" s="345">
        <v>14.5</v>
      </c>
      <c r="Z407" s="345">
        <v>311.2</v>
      </c>
      <c r="AA407">
        <f t="shared" si="6"/>
        <v>0</v>
      </c>
    </row>
    <row r="408" spans="1:27" ht="28.8" x14ac:dyDescent="0.3">
      <c r="A408" s="345" t="s">
        <v>2081</v>
      </c>
      <c r="B408" s="805"/>
      <c r="C408" s="802"/>
      <c r="D408" s="802"/>
      <c r="E408" s="803"/>
      <c r="F408" s="805">
        <v>14</v>
      </c>
      <c r="G408" s="803"/>
      <c r="H408" s="345">
        <v>312.3</v>
      </c>
      <c r="I408" s="345">
        <v>1.5</v>
      </c>
      <c r="J408" s="345">
        <v>28</v>
      </c>
      <c r="K408" s="345">
        <v>274.89999999999998</v>
      </c>
      <c r="L408" s="346"/>
      <c r="M408" s="346"/>
      <c r="N408" s="346"/>
      <c r="O408" s="345"/>
      <c r="P408" s="345"/>
      <c r="Q408" s="345"/>
      <c r="R408" s="345">
        <v>12.4</v>
      </c>
      <c r="S408" s="345">
        <v>27.2</v>
      </c>
      <c r="T408" s="345">
        <v>266.2</v>
      </c>
      <c r="U408" s="345">
        <v>14</v>
      </c>
      <c r="V408" s="345">
        <v>30</v>
      </c>
      <c r="W408" s="345">
        <v>313</v>
      </c>
      <c r="X408" s="345">
        <v>9.5</v>
      </c>
      <c r="Y408" s="345">
        <v>24</v>
      </c>
      <c r="Z408" s="345">
        <v>320.7</v>
      </c>
      <c r="AA408">
        <f t="shared" si="6"/>
        <v>1.5</v>
      </c>
    </row>
    <row r="409" spans="1:27" ht="28.8" x14ac:dyDescent="0.3">
      <c r="A409" s="345" t="s">
        <v>2082</v>
      </c>
      <c r="B409" s="805"/>
      <c r="C409" s="802"/>
      <c r="D409" s="802"/>
      <c r="E409" s="803"/>
      <c r="F409" s="805">
        <v>31</v>
      </c>
      <c r="G409" s="803"/>
      <c r="H409" s="345">
        <v>329.3</v>
      </c>
      <c r="I409" s="345">
        <v>21</v>
      </c>
      <c r="J409" s="345">
        <v>49</v>
      </c>
      <c r="K409" s="345">
        <v>295.89999999999998</v>
      </c>
      <c r="L409" s="346"/>
      <c r="M409" s="346"/>
      <c r="N409" s="346"/>
      <c r="O409" s="345"/>
      <c r="P409" s="345"/>
      <c r="Q409" s="345"/>
      <c r="R409" s="345">
        <v>12.4</v>
      </c>
      <c r="S409" s="345">
        <v>39.6</v>
      </c>
      <c r="T409" s="345">
        <v>278.60000000000002</v>
      </c>
      <c r="U409" s="345">
        <v>13</v>
      </c>
      <c r="V409" s="345">
        <v>43</v>
      </c>
      <c r="W409" s="345">
        <v>326</v>
      </c>
      <c r="X409" s="345">
        <v>12</v>
      </c>
      <c r="Y409" s="345">
        <v>36</v>
      </c>
      <c r="Z409" s="345">
        <v>332.7</v>
      </c>
      <c r="AA409">
        <f t="shared" si="6"/>
        <v>21</v>
      </c>
    </row>
    <row r="410" spans="1:27" ht="28.8" x14ac:dyDescent="0.3">
      <c r="A410" s="345" t="s">
        <v>2083</v>
      </c>
      <c r="B410" s="805"/>
      <c r="C410" s="802"/>
      <c r="D410" s="802"/>
      <c r="E410" s="803"/>
      <c r="F410" s="805">
        <v>31</v>
      </c>
      <c r="G410" s="803"/>
      <c r="H410" s="345">
        <v>329.3</v>
      </c>
      <c r="I410" s="345">
        <v>0.2</v>
      </c>
      <c r="J410" s="345">
        <v>49.2</v>
      </c>
      <c r="K410" s="345">
        <v>296.10000000000002</v>
      </c>
      <c r="L410" s="346"/>
      <c r="M410" s="346"/>
      <c r="N410" s="346"/>
      <c r="O410" s="345"/>
      <c r="P410" s="345"/>
      <c r="Q410" s="345"/>
      <c r="R410" s="345">
        <v>0.3</v>
      </c>
      <c r="S410" s="345">
        <v>39.9</v>
      </c>
      <c r="T410" s="345">
        <v>278.89999999999998</v>
      </c>
      <c r="U410" s="345">
        <v>0.2</v>
      </c>
      <c r="V410" s="345">
        <v>43.2</v>
      </c>
      <c r="W410" s="345">
        <v>326.2</v>
      </c>
      <c r="X410" s="345">
        <v>0.5</v>
      </c>
      <c r="Y410" s="345">
        <v>36.5</v>
      </c>
      <c r="Z410" s="345">
        <v>333.2</v>
      </c>
      <c r="AA410">
        <f t="shared" si="6"/>
        <v>0.2</v>
      </c>
    </row>
    <row r="411" spans="1:27" ht="28.8" x14ac:dyDescent="0.3">
      <c r="A411" s="345" t="s">
        <v>2084</v>
      </c>
      <c r="B411" s="805"/>
      <c r="C411" s="802"/>
      <c r="D411" s="802"/>
      <c r="E411" s="803"/>
      <c r="F411" s="805">
        <v>33.5</v>
      </c>
      <c r="G411" s="803"/>
      <c r="H411" s="345">
        <v>331.8</v>
      </c>
      <c r="I411" s="345">
        <v>7.5</v>
      </c>
      <c r="J411" s="345">
        <v>56.7</v>
      </c>
      <c r="K411" s="345">
        <v>303.60000000000002</v>
      </c>
      <c r="L411" s="346"/>
      <c r="M411" s="346"/>
      <c r="N411" s="346"/>
      <c r="O411" s="345"/>
      <c r="P411" s="345"/>
      <c r="Q411" s="345"/>
      <c r="R411" s="345">
        <v>6.4</v>
      </c>
      <c r="S411" s="345">
        <v>46.3</v>
      </c>
      <c r="T411" s="345">
        <v>285.3</v>
      </c>
      <c r="U411" s="345">
        <v>7</v>
      </c>
      <c r="V411" s="345">
        <v>50.2</v>
      </c>
      <c r="W411" s="345">
        <v>333.2</v>
      </c>
      <c r="X411" s="345">
        <v>6</v>
      </c>
      <c r="Y411" s="345">
        <v>42.5</v>
      </c>
      <c r="Z411" s="345">
        <v>339.2</v>
      </c>
      <c r="AA411">
        <f t="shared" si="6"/>
        <v>7.5</v>
      </c>
    </row>
    <row r="412" spans="1:27" ht="28.8" x14ac:dyDescent="0.3">
      <c r="A412" s="345" t="s">
        <v>2085</v>
      </c>
      <c r="B412" s="805"/>
      <c r="C412" s="802"/>
      <c r="D412" s="802"/>
      <c r="E412" s="803"/>
      <c r="F412" s="805">
        <v>33.5</v>
      </c>
      <c r="G412" s="803"/>
      <c r="H412" s="345">
        <v>331.8</v>
      </c>
      <c r="I412" s="345">
        <v>0</v>
      </c>
      <c r="J412" s="345">
        <v>56.7</v>
      </c>
      <c r="K412" s="345">
        <v>303.60000000000002</v>
      </c>
      <c r="L412" s="346"/>
      <c r="M412" s="346"/>
      <c r="N412" s="346"/>
      <c r="O412" s="345"/>
      <c r="P412" s="345"/>
      <c r="Q412" s="345"/>
      <c r="R412" s="345">
        <v>0.2</v>
      </c>
      <c r="S412" s="345">
        <v>46.5</v>
      </c>
      <c r="T412" s="345">
        <v>285.5</v>
      </c>
      <c r="U412" s="345">
        <v>0</v>
      </c>
      <c r="V412" s="345">
        <v>50.2</v>
      </c>
      <c r="W412" s="345">
        <v>333.2</v>
      </c>
      <c r="X412" s="345">
        <v>0</v>
      </c>
      <c r="Y412" s="345">
        <v>42.5</v>
      </c>
      <c r="Z412" s="345">
        <v>339.2</v>
      </c>
      <c r="AA412">
        <f t="shared" si="6"/>
        <v>0</v>
      </c>
    </row>
    <row r="413" spans="1:27" ht="28.8" x14ac:dyDescent="0.3">
      <c r="A413" s="345" t="s">
        <v>2086</v>
      </c>
      <c r="B413" s="805"/>
      <c r="C413" s="802"/>
      <c r="D413" s="802"/>
      <c r="E413" s="803"/>
      <c r="F413" s="805">
        <v>33.5</v>
      </c>
      <c r="G413" s="803"/>
      <c r="H413" s="345">
        <v>331.8</v>
      </c>
      <c r="I413" s="345">
        <v>0</v>
      </c>
      <c r="J413" s="345">
        <v>56.7</v>
      </c>
      <c r="K413" s="345">
        <v>303.60000000000002</v>
      </c>
      <c r="L413" s="346"/>
      <c r="M413" s="346"/>
      <c r="N413" s="346"/>
      <c r="O413" s="345"/>
      <c r="P413" s="345"/>
      <c r="Q413" s="345"/>
      <c r="R413" s="345">
        <v>0</v>
      </c>
      <c r="S413" s="345">
        <v>46.5</v>
      </c>
      <c r="T413" s="345">
        <v>285.5</v>
      </c>
      <c r="U413" s="345">
        <v>0</v>
      </c>
      <c r="V413" s="345">
        <v>50.2</v>
      </c>
      <c r="W413" s="345">
        <v>333.2</v>
      </c>
      <c r="X413" s="345">
        <v>0</v>
      </c>
      <c r="Y413" s="345">
        <v>42.5</v>
      </c>
      <c r="Z413" s="345">
        <v>339.2</v>
      </c>
      <c r="AA413">
        <f t="shared" si="6"/>
        <v>0</v>
      </c>
    </row>
    <row r="414" spans="1:27" ht="28.8" x14ac:dyDescent="0.3">
      <c r="A414" s="345" t="s">
        <v>2087</v>
      </c>
      <c r="B414" s="805"/>
      <c r="C414" s="802"/>
      <c r="D414" s="802"/>
      <c r="E414" s="803"/>
      <c r="F414" s="805">
        <v>33.5</v>
      </c>
      <c r="G414" s="803"/>
      <c r="H414" s="345">
        <v>331.8</v>
      </c>
      <c r="I414" s="345">
        <v>0</v>
      </c>
      <c r="J414" s="345">
        <v>56.7</v>
      </c>
      <c r="K414" s="345">
        <v>303.60000000000002</v>
      </c>
      <c r="L414" s="346"/>
      <c r="M414" s="346"/>
      <c r="N414" s="346"/>
      <c r="O414" s="345"/>
      <c r="P414" s="345"/>
      <c r="Q414" s="345"/>
      <c r="R414" s="345">
        <v>0</v>
      </c>
      <c r="S414" s="345">
        <v>46.5</v>
      </c>
      <c r="T414" s="345">
        <v>285.5</v>
      </c>
      <c r="U414" s="345">
        <v>0.2</v>
      </c>
      <c r="V414" s="345">
        <v>50.4</v>
      </c>
      <c r="W414" s="345">
        <v>333.4</v>
      </c>
      <c r="X414" s="345">
        <v>0</v>
      </c>
      <c r="Y414" s="345">
        <v>42.5</v>
      </c>
      <c r="Z414" s="345">
        <v>339.2</v>
      </c>
      <c r="AA414">
        <f t="shared" si="6"/>
        <v>0</v>
      </c>
    </row>
    <row r="415" spans="1:27" ht="28.8" x14ac:dyDescent="0.3">
      <c r="A415" s="345" t="s">
        <v>2088</v>
      </c>
      <c r="B415" s="805"/>
      <c r="C415" s="802"/>
      <c r="D415" s="802"/>
      <c r="E415" s="803"/>
      <c r="F415" s="805">
        <v>36.5</v>
      </c>
      <c r="G415" s="803"/>
      <c r="H415" s="345">
        <v>334.8</v>
      </c>
      <c r="I415" s="345">
        <v>3.5</v>
      </c>
      <c r="J415" s="345">
        <v>60.2</v>
      </c>
      <c r="K415" s="345">
        <v>307.10000000000002</v>
      </c>
      <c r="L415" s="346"/>
      <c r="M415" s="346"/>
      <c r="N415" s="346"/>
      <c r="O415" s="345"/>
      <c r="P415" s="345"/>
      <c r="Q415" s="345"/>
      <c r="R415" s="345">
        <v>6.6</v>
      </c>
      <c r="S415" s="345">
        <v>53.1</v>
      </c>
      <c r="T415" s="345">
        <v>292.10000000000002</v>
      </c>
      <c r="U415" s="345">
        <v>7</v>
      </c>
      <c r="V415" s="345">
        <v>57.4</v>
      </c>
      <c r="W415" s="345">
        <v>340.4</v>
      </c>
      <c r="X415" s="345">
        <v>10</v>
      </c>
      <c r="Y415" s="345">
        <v>52.5</v>
      </c>
      <c r="Z415" s="345">
        <v>349.2</v>
      </c>
      <c r="AA415">
        <f t="shared" si="6"/>
        <v>3.5</v>
      </c>
    </row>
    <row r="416" spans="1:27" ht="28.8" x14ac:dyDescent="0.3">
      <c r="A416" s="345" t="s">
        <v>2089</v>
      </c>
      <c r="B416" s="805"/>
      <c r="C416" s="802"/>
      <c r="D416" s="802"/>
      <c r="E416" s="803"/>
      <c r="F416" s="805">
        <v>37.5</v>
      </c>
      <c r="G416" s="803"/>
      <c r="H416" s="345">
        <v>335.8</v>
      </c>
      <c r="I416" s="345">
        <v>1</v>
      </c>
      <c r="J416" s="345">
        <v>61.2</v>
      </c>
      <c r="K416" s="345">
        <v>308.10000000000002</v>
      </c>
      <c r="L416" s="346"/>
      <c r="M416" s="346"/>
      <c r="N416" s="346"/>
      <c r="O416" s="345"/>
      <c r="P416" s="345"/>
      <c r="Q416" s="345"/>
      <c r="R416" s="345">
        <v>0.8</v>
      </c>
      <c r="S416" s="345">
        <v>53.9</v>
      </c>
      <c r="T416" s="345">
        <v>292.89999999999998</v>
      </c>
      <c r="U416" s="345">
        <v>1.5</v>
      </c>
      <c r="V416" s="345">
        <v>58.9</v>
      </c>
      <c r="W416" s="345">
        <v>341.9</v>
      </c>
      <c r="X416" s="345">
        <v>1.5</v>
      </c>
      <c r="Y416" s="345">
        <v>54</v>
      </c>
      <c r="Z416" s="345">
        <v>350.7</v>
      </c>
      <c r="AA416">
        <f t="shared" si="6"/>
        <v>1</v>
      </c>
    </row>
    <row r="417" spans="1:27" ht="28.8" x14ac:dyDescent="0.3">
      <c r="A417" s="345" t="s">
        <v>2090</v>
      </c>
      <c r="B417" s="805"/>
      <c r="C417" s="802"/>
      <c r="D417" s="802"/>
      <c r="E417" s="803"/>
      <c r="F417" s="805">
        <v>37.5</v>
      </c>
      <c r="G417" s="803"/>
      <c r="H417" s="345">
        <v>335.8</v>
      </c>
      <c r="I417" s="345">
        <v>0</v>
      </c>
      <c r="J417" s="345">
        <v>61.2</v>
      </c>
      <c r="K417" s="345">
        <v>308.10000000000002</v>
      </c>
      <c r="L417" s="346"/>
      <c r="M417" s="346"/>
      <c r="N417" s="346"/>
      <c r="O417" s="345"/>
      <c r="P417" s="345"/>
      <c r="Q417" s="345"/>
      <c r="R417" s="345">
        <v>0</v>
      </c>
      <c r="S417" s="345">
        <v>53.9</v>
      </c>
      <c r="T417" s="345">
        <v>292.89999999999998</v>
      </c>
      <c r="U417" s="345">
        <v>0</v>
      </c>
      <c r="V417" s="345">
        <v>58.9</v>
      </c>
      <c r="W417" s="345">
        <v>341.9</v>
      </c>
      <c r="X417" s="345">
        <v>0</v>
      </c>
      <c r="Y417" s="345">
        <v>54</v>
      </c>
      <c r="Z417" s="345">
        <v>350.7</v>
      </c>
      <c r="AA417">
        <f t="shared" si="6"/>
        <v>0</v>
      </c>
    </row>
    <row r="418" spans="1:27" ht="28.8" x14ac:dyDescent="0.3">
      <c r="A418" s="345" t="s">
        <v>2091</v>
      </c>
      <c r="B418" s="805"/>
      <c r="C418" s="802"/>
      <c r="D418" s="802"/>
      <c r="E418" s="803"/>
      <c r="F418" s="805">
        <v>37.5</v>
      </c>
      <c r="G418" s="803"/>
      <c r="H418" s="345">
        <v>335.8</v>
      </c>
      <c r="I418" s="345">
        <v>0.5</v>
      </c>
      <c r="J418" s="345">
        <v>61.7</v>
      </c>
      <c r="K418" s="345">
        <v>308.60000000000002</v>
      </c>
      <c r="L418" s="346"/>
      <c r="M418" s="346"/>
      <c r="N418" s="346"/>
      <c r="O418" s="345"/>
      <c r="P418" s="345"/>
      <c r="Q418" s="345"/>
      <c r="R418" s="345">
        <v>0.4</v>
      </c>
      <c r="S418" s="345">
        <v>54.3</v>
      </c>
      <c r="T418" s="345">
        <v>293.3</v>
      </c>
      <c r="U418" s="345">
        <v>0.5</v>
      </c>
      <c r="V418" s="345">
        <v>59.4</v>
      </c>
      <c r="W418" s="345">
        <v>342.4</v>
      </c>
      <c r="X418" s="345">
        <v>0.5</v>
      </c>
      <c r="Y418" s="345">
        <v>54.5</v>
      </c>
      <c r="Z418" s="345">
        <v>351.2</v>
      </c>
      <c r="AA418">
        <f t="shared" si="6"/>
        <v>0.5</v>
      </c>
    </row>
    <row r="419" spans="1:27" ht="28.8" x14ac:dyDescent="0.3">
      <c r="A419" s="345" t="s">
        <v>2092</v>
      </c>
      <c r="B419" s="805"/>
      <c r="C419" s="802"/>
      <c r="D419" s="802"/>
      <c r="E419" s="803"/>
      <c r="F419" s="805">
        <v>113.5</v>
      </c>
      <c r="G419" s="803"/>
      <c r="H419" s="345">
        <v>411.8</v>
      </c>
      <c r="I419" s="345">
        <v>68</v>
      </c>
      <c r="J419" s="345">
        <v>129.69999999999999</v>
      </c>
      <c r="K419" s="345">
        <v>376.6</v>
      </c>
      <c r="L419" s="346"/>
      <c r="M419" s="346"/>
      <c r="N419" s="346"/>
      <c r="O419" s="345"/>
      <c r="P419" s="345"/>
      <c r="Q419" s="345"/>
      <c r="R419" s="345">
        <v>37.799999999999997</v>
      </c>
      <c r="S419" s="345">
        <v>92.1</v>
      </c>
      <c r="T419" s="345">
        <v>331.1</v>
      </c>
      <c r="U419" s="345">
        <v>47</v>
      </c>
      <c r="V419" s="345">
        <v>106.4</v>
      </c>
      <c r="W419" s="345">
        <v>389.4</v>
      </c>
      <c r="X419" s="345">
        <v>57</v>
      </c>
      <c r="Y419" s="345">
        <v>111.5</v>
      </c>
      <c r="Z419" s="345">
        <v>408.2</v>
      </c>
      <c r="AA419">
        <f t="shared" si="6"/>
        <v>68</v>
      </c>
    </row>
    <row r="420" spans="1:27" x14ac:dyDescent="0.3">
      <c r="A420" s="345"/>
      <c r="B420" s="345"/>
      <c r="C420" s="341"/>
      <c r="D420" s="341"/>
      <c r="E420" s="342"/>
      <c r="F420" s="345"/>
      <c r="G420" s="342"/>
      <c r="H420" s="345"/>
      <c r="I420" s="345"/>
      <c r="J420" s="345"/>
      <c r="K420" s="345"/>
      <c r="L420" s="346"/>
      <c r="M420" s="346"/>
      <c r="N420" s="346"/>
      <c r="O420" s="345"/>
      <c r="P420" s="345"/>
      <c r="Q420" s="345"/>
      <c r="R420" s="345"/>
      <c r="S420" s="345"/>
      <c r="T420" s="345"/>
      <c r="U420" s="345"/>
      <c r="V420" s="345"/>
      <c r="W420" s="345"/>
      <c r="X420" s="345"/>
      <c r="Y420" s="345"/>
      <c r="Z420" s="345"/>
    </row>
    <row r="421" spans="1:27" ht="28.8" x14ac:dyDescent="0.3">
      <c r="A421" s="345" t="s">
        <v>2093</v>
      </c>
      <c r="B421" s="805"/>
      <c r="C421" s="802"/>
      <c r="D421" s="802"/>
      <c r="E421" s="803"/>
      <c r="F421" s="805">
        <v>113.5</v>
      </c>
      <c r="G421" s="803"/>
      <c r="H421" s="345">
        <v>411.8</v>
      </c>
      <c r="I421" s="345">
        <v>0</v>
      </c>
      <c r="J421" s="345">
        <v>129.69999999999999</v>
      </c>
      <c r="K421" s="345">
        <v>376.6</v>
      </c>
      <c r="L421" s="346"/>
      <c r="M421" s="346"/>
      <c r="N421" s="346"/>
      <c r="O421" s="345"/>
      <c r="P421" s="345"/>
      <c r="Q421" s="345"/>
      <c r="R421" s="345">
        <v>0</v>
      </c>
      <c r="S421" s="345">
        <v>92.1</v>
      </c>
      <c r="T421" s="345">
        <v>331.1</v>
      </c>
      <c r="U421" s="345">
        <v>0</v>
      </c>
      <c r="V421" s="345">
        <v>106.4</v>
      </c>
      <c r="W421" s="345">
        <v>389.4</v>
      </c>
      <c r="X421" s="345"/>
      <c r="Y421" s="345"/>
      <c r="Z421" s="345"/>
      <c r="AA421">
        <f t="shared" si="6"/>
        <v>0</v>
      </c>
    </row>
    <row r="422" spans="1:27" ht="28.8" x14ac:dyDescent="0.3">
      <c r="A422" s="345" t="s">
        <v>2094</v>
      </c>
      <c r="B422" s="805"/>
      <c r="C422" s="802"/>
      <c r="D422" s="802"/>
      <c r="E422" s="803"/>
      <c r="F422" s="805">
        <v>113.5</v>
      </c>
      <c r="G422" s="803"/>
      <c r="H422" s="345">
        <v>411.8</v>
      </c>
      <c r="I422" s="345">
        <v>0</v>
      </c>
      <c r="J422" s="345">
        <v>129.69999999999999</v>
      </c>
      <c r="K422" s="345">
        <v>376.6</v>
      </c>
      <c r="L422" s="346"/>
      <c r="M422" s="346"/>
      <c r="N422" s="346"/>
      <c r="O422" s="345"/>
      <c r="P422" s="345"/>
      <c r="Q422" s="345"/>
      <c r="R422" s="345">
        <v>0</v>
      </c>
      <c r="S422" s="345">
        <v>92.1</v>
      </c>
      <c r="T422" s="345">
        <v>331.1</v>
      </c>
      <c r="U422" s="345">
        <v>0</v>
      </c>
      <c r="V422" s="345">
        <v>106.4</v>
      </c>
      <c r="W422" s="345">
        <v>389.4</v>
      </c>
      <c r="X422" s="345"/>
      <c r="Y422" s="345"/>
      <c r="Z422" s="345"/>
      <c r="AA422">
        <f t="shared" si="6"/>
        <v>0</v>
      </c>
    </row>
    <row r="423" spans="1:27" ht="28.8" x14ac:dyDescent="0.3">
      <c r="A423" s="345" t="s">
        <v>2095</v>
      </c>
      <c r="B423" s="805"/>
      <c r="C423" s="802"/>
      <c r="D423" s="802"/>
      <c r="E423" s="803"/>
      <c r="F423" s="805">
        <v>113.5</v>
      </c>
      <c r="G423" s="803"/>
      <c r="H423" s="345">
        <v>411.8</v>
      </c>
      <c r="I423" s="345">
        <v>0</v>
      </c>
      <c r="J423" s="345">
        <v>129.69999999999999</v>
      </c>
      <c r="K423" s="345">
        <v>376.6</v>
      </c>
      <c r="L423" s="346"/>
      <c r="M423" s="346"/>
      <c r="N423" s="346"/>
      <c r="O423" s="345"/>
      <c r="P423" s="345"/>
      <c r="Q423" s="345"/>
      <c r="R423" s="345">
        <v>0</v>
      </c>
      <c r="S423" s="345">
        <v>92.1</v>
      </c>
      <c r="T423" s="345">
        <v>331.1</v>
      </c>
      <c r="U423" s="345">
        <v>0</v>
      </c>
      <c r="V423" s="345">
        <v>106.4</v>
      </c>
      <c r="W423" s="345">
        <v>389.4</v>
      </c>
      <c r="X423" s="345">
        <v>0</v>
      </c>
      <c r="Y423" s="345">
        <v>111.5</v>
      </c>
      <c r="Z423" s="345">
        <v>408.2</v>
      </c>
      <c r="AA423">
        <f t="shared" si="6"/>
        <v>0</v>
      </c>
    </row>
    <row r="424" spans="1:27" ht="28.8" x14ac:dyDescent="0.3">
      <c r="A424" s="345" t="s">
        <v>2096</v>
      </c>
      <c r="B424" s="805"/>
      <c r="C424" s="802"/>
      <c r="D424" s="802"/>
      <c r="E424" s="803"/>
      <c r="F424" s="805">
        <v>113.5</v>
      </c>
      <c r="G424" s="803"/>
      <c r="H424" s="345">
        <v>411.8</v>
      </c>
      <c r="I424" s="345">
        <v>0</v>
      </c>
      <c r="J424" s="345">
        <v>129.69999999999999</v>
      </c>
      <c r="K424" s="345">
        <v>376.6</v>
      </c>
      <c r="L424" s="346"/>
      <c r="M424" s="346"/>
      <c r="N424" s="346"/>
      <c r="O424" s="345"/>
      <c r="P424" s="345"/>
      <c r="Q424" s="345"/>
      <c r="R424" s="345">
        <v>0</v>
      </c>
      <c r="S424" s="345">
        <v>92.1</v>
      </c>
      <c r="T424" s="345">
        <v>331.1</v>
      </c>
      <c r="U424" s="345">
        <v>0</v>
      </c>
      <c r="V424" s="345">
        <v>106.4</v>
      </c>
      <c r="W424" s="345">
        <v>389.4</v>
      </c>
      <c r="X424" s="345">
        <v>0</v>
      </c>
      <c r="Y424" s="345">
        <v>111.5</v>
      </c>
      <c r="Z424" s="345">
        <v>408.2</v>
      </c>
      <c r="AA424">
        <f t="shared" si="6"/>
        <v>0</v>
      </c>
    </row>
    <row r="425" spans="1:27" ht="28.8" x14ac:dyDescent="0.3">
      <c r="A425" s="345" t="s">
        <v>2097</v>
      </c>
      <c r="B425" s="805"/>
      <c r="C425" s="802"/>
      <c r="D425" s="802"/>
      <c r="E425" s="803"/>
      <c r="F425" s="805">
        <v>113.5</v>
      </c>
      <c r="G425" s="803"/>
      <c r="H425" s="345">
        <v>411.8</v>
      </c>
      <c r="I425" s="345">
        <v>0</v>
      </c>
      <c r="J425" s="345">
        <v>129.69999999999999</v>
      </c>
      <c r="K425" s="345">
        <v>376.6</v>
      </c>
      <c r="L425" s="346"/>
      <c r="M425" s="346"/>
      <c r="N425" s="346"/>
      <c r="O425" s="345"/>
      <c r="P425" s="345"/>
      <c r="Q425" s="345"/>
      <c r="R425" s="345">
        <v>0.4</v>
      </c>
      <c r="S425" s="345">
        <v>92.5</v>
      </c>
      <c r="T425" s="345">
        <v>331.5</v>
      </c>
      <c r="U425" s="345">
        <v>0</v>
      </c>
      <c r="V425" s="345">
        <v>106.4</v>
      </c>
      <c r="W425" s="345">
        <v>389.4</v>
      </c>
      <c r="X425" s="345">
        <v>0</v>
      </c>
      <c r="Y425" s="345">
        <v>111.5</v>
      </c>
      <c r="Z425" s="345">
        <v>408.2</v>
      </c>
      <c r="AA425">
        <f t="shared" si="6"/>
        <v>0</v>
      </c>
    </row>
    <row r="426" spans="1:27" s="362" customFormat="1" ht="28.8" x14ac:dyDescent="0.3">
      <c r="A426" s="359" t="s">
        <v>2098</v>
      </c>
      <c r="B426" s="811"/>
      <c r="C426" s="812"/>
      <c r="D426" s="812"/>
      <c r="E426" s="813"/>
      <c r="F426" s="811">
        <v>113.5</v>
      </c>
      <c r="G426" s="813"/>
      <c r="H426" s="359">
        <v>411.8</v>
      </c>
      <c r="I426" s="359">
        <v>0</v>
      </c>
      <c r="J426" s="359">
        <v>129.69999999999999</v>
      </c>
      <c r="K426" s="359">
        <v>376.6</v>
      </c>
      <c r="L426" s="359"/>
      <c r="M426" s="359"/>
      <c r="N426" s="359"/>
      <c r="O426" s="359"/>
      <c r="P426" s="359"/>
      <c r="Q426" s="359"/>
      <c r="R426" s="359">
        <v>0.2</v>
      </c>
      <c r="S426" s="359">
        <v>92.7</v>
      </c>
      <c r="T426" s="359">
        <v>331.7</v>
      </c>
      <c r="U426" s="359">
        <v>0</v>
      </c>
      <c r="V426" s="359">
        <v>106.4</v>
      </c>
      <c r="W426" s="359">
        <v>389.4</v>
      </c>
      <c r="X426" s="359">
        <v>0</v>
      </c>
      <c r="Y426" s="359">
        <v>111.5</v>
      </c>
      <c r="Z426" s="359">
        <v>408.2</v>
      </c>
      <c r="AA426" s="362">
        <f t="shared" si="6"/>
        <v>0</v>
      </c>
    </row>
    <row r="427" spans="1:27" ht="28.8" x14ac:dyDescent="0.3">
      <c r="A427" s="345" t="s">
        <v>2099</v>
      </c>
      <c r="B427" s="805"/>
      <c r="C427" s="802"/>
      <c r="D427" s="802"/>
      <c r="E427" s="803"/>
      <c r="F427" s="805">
        <v>0</v>
      </c>
      <c r="G427" s="803"/>
      <c r="H427" s="345">
        <v>411.8</v>
      </c>
      <c r="I427" s="345">
        <v>0</v>
      </c>
      <c r="J427" s="345">
        <v>0</v>
      </c>
      <c r="K427" s="345">
        <v>376.6</v>
      </c>
      <c r="L427" s="346"/>
      <c r="M427" s="346"/>
      <c r="N427" s="346"/>
      <c r="O427" s="345"/>
      <c r="P427" s="345"/>
      <c r="Q427" s="345"/>
      <c r="R427" s="345">
        <v>0.2</v>
      </c>
      <c r="S427" s="345">
        <v>0.2</v>
      </c>
      <c r="T427" s="345">
        <v>331.9</v>
      </c>
      <c r="U427" s="345">
        <v>0</v>
      </c>
      <c r="V427" s="345">
        <v>0</v>
      </c>
      <c r="W427" s="345">
        <v>389.4</v>
      </c>
      <c r="X427" s="345">
        <v>0</v>
      </c>
      <c r="Y427" s="345">
        <v>0</v>
      </c>
      <c r="Z427" s="345">
        <v>408.2</v>
      </c>
      <c r="AA427">
        <f t="shared" si="6"/>
        <v>0</v>
      </c>
    </row>
    <row r="428" spans="1:27" ht="28.8" x14ac:dyDescent="0.3">
      <c r="A428" s="345" t="s">
        <v>2100</v>
      </c>
      <c r="B428" s="805"/>
      <c r="C428" s="802"/>
      <c r="D428" s="802"/>
      <c r="E428" s="803"/>
      <c r="F428" s="805">
        <v>0</v>
      </c>
      <c r="G428" s="803"/>
      <c r="H428" s="345">
        <v>411.8</v>
      </c>
      <c r="I428" s="345">
        <v>0</v>
      </c>
      <c r="J428" s="345">
        <v>0</v>
      </c>
      <c r="K428" s="345">
        <v>376.6</v>
      </c>
      <c r="L428" s="346"/>
      <c r="M428" s="346"/>
      <c r="N428" s="346"/>
      <c r="O428" s="345"/>
      <c r="P428" s="345"/>
      <c r="Q428" s="345"/>
      <c r="R428" s="345">
        <v>0.2</v>
      </c>
      <c r="S428" s="345">
        <v>0.4</v>
      </c>
      <c r="T428" s="345">
        <v>332.1</v>
      </c>
      <c r="U428" s="345">
        <v>0</v>
      </c>
      <c r="V428" s="345">
        <v>0</v>
      </c>
      <c r="W428" s="345">
        <v>389.4</v>
      </c>
      <c r="X428" s="345">
        <v>0</v>
      </c>
      <c r="Y428" s="345">
        <v>0</v>
      </c>
      <c r="Z428" s="345">
        <v>408.2</v>
      </c>
      <c r="AA428">
        <f t="shared" si="6"/>
        <v>0</v>
      </c>
    </row>
    <row r="429" spans="1:27" ht="28.8" x14ac:dyDescent="0.3">
      <c r="A429" s="345" t="s">
        <v>2101</v>
      </c>
      <c r="B429" s="805"/>
      <c r="C429" s="802"/>
      <c r="D429" s="802"/>
      <c r="E429" s="803"/>
      <c r="F429" s="805">
        <v>0</v>
      </c>
      <c r="G429" s="803"/>
      <c r="H429" s="345">
        <v>411.8</v>
      </c>
      <c r="I429" s="345">
        <v>0</v>
      </c>
      <c r="J429" s="345">
        <v>0</v>
      </c>
      <c r="K429" s="345">
        <v>376.6</v>
      </c>
      <c r="L429" s="346"/>
      <c r="M429" s="346"/>
      <c r="N429" s="346"/>
      <c r="O429" s="345"/>
      <c r="P429" s="345"/>
      <c r="Q429" s="345"/>
      <c r="R429" s="345">
        <v>0</v>
      </c>
      <c r="S429" s="345">
        <v>0.4</v>
      </c>
      <c r="T429" s="345">
        <v>332.1</v>
      </c>
      <c r="U429" s="345">
        <v>0</v>
      </c>
      <c r="V429" s="345">
        <v>0</v>
      </c>
      <c r="W429" s="345">
        <v>389.4</v>
      </c>
      <c r="X429" s="345">
        <v>0</v>
      </c>
      <c r="Y429" s="345">
        <v>0</v>
      </c>
      <c r="Z429" s="345">
        <v>408.2</v>
      </c>
      <c r="AA429">
        <f t="shared" si="6"/>
        <v>0</v>
      </c>
    </row>
    <row r="430" spans="1:27" ht="28.8" x14ac:dyDescent="0.3">
      <c r="A430" s="345" t="s">
        <v>2102</v>
      </c>
      <c r="B430" s="805"/>
      <c r="C430" s="802"/>
      <c r="D430" s="802"/>
      <c r="E430" s="803"/>
      <c r="F430" s="805">
        <v>0</v>
      </c>
      <c r="G430" s="803"/>
      <c r="H430" s="345">
        <v>411.8</v>
      </c>
      <c r="I430" s="345">
        <v>0</v>
      </c>
      <c r="J430" s="345">
        <v>0</v>
      </c>
      <c r="K430" s="345">
        <v>376.6</v>
      </c>
      <c r="L430" s="346"/>
      <c r="M430" s="346"/>
      <c r="N430" s="346"/>
      <c r="O430" s="345"/>
      <c r="P430" s="345"/>
      <c r="Q430" s="345"/>
      <c r="R430" s="345">
        <v>0.2</v>
      </c>
      <c r="S430" s="345">
        <v>0.6</v>
      </c>
      <c r="T430" s="345">
        <v>332.3</v>
      </c>
      <c r="U430" s="345">
        <v>0.5</v>
      </c>
      <c r="V430" s="345">
        <v>0.5</v>
      </c>
      <c r="W430" s="345">
        <v>389.9</v>
      </c>
      <c r="X430" s="345">
        <v>0</v>
      </c>
      <c r="Y430" s="345">
        <v>0</v>
      </c>
      <c r="Z430" s="345">
        <v>408.2</v>
      </c>
      <c r="AA430">
        <f t="shared" si="6"/>
        <v>0</v>
      </c>
    </row>
    <row r="431" spans="1:27" ht="28.8" x14ac:dyDescent="0.3">
      <c r="A431" s="345" t="s">
        <v>2103</v>
      </c>
      <c r="B431" s="805"/>
      <c r="C431" s="802"/>
      <c r="D431" s="802"/>
      <c r="E431" s="803"/>
      <c r="F431" s="805">
        <v>0</v>
      </c>
      <c r="G431" s="803"/>
      <c r="H431" s="345">
        <v>411.8</v>
      </c>
      <c r="I431" s="345">
        <v>0</v>
      </c>
      <c r="J431" s="345">
        <v>0</v>
      </c>
      <c r="K431" s="345">
        <v>376.6</v>
      </c>
      <c r="L431" s="346"/>
      <c r="M431" s="346"/>
      <c r="N431" s="346"/>
      <c r="O431" s="345"/>
      <c r="P431" s="345"/>
      <c r="Q431" s="345"/>
      <c r="R431" s="345">
        <v>0</v>
      </c>
      <c r="S431" s="345">
        <v>0.6</v>
      </c>
      <c r="T431" s="345">
        <v>332.3</v>
      </c>
      <c r="U431" s="345">
        <v>0</v>
      </c>
      <c r="V431" s="345">
        <v>0.5</v>
      </c>
      <c r="W431" s="345">
        <v>389.9</v>
      </c>
      <c r="X431" s="345">
        <v>0</v>
      </c>
      <c r="Y431" s="345">
        <v>0</v>
      </c>
      <c r="Z431" s="345">
        <v>408.2</v>
      </c>
      <c r="AA431">
        <f t="shared" si="6"/>
        <v>0</v>
      </c>
    </row>
    <row r="432" spans="1:27" ht="28.8" x14ac:dyDescent="0.3">
      <c r="A432" s="345" t="s">
        <v>2104</v>
      </c>
      <c r="B432" s="805"/>
      <c r="C432" s="802"/>
      <c r="D432" s="802"/>
      <c r="E432" s="803"/>
      <c r="F432" s="805">
        <v>0</v>
      </c>
      <c r="G432" s="803"/>
      <c r="H432" s="345">
        <v>411.8</v>
      </c>
      <c r="I432" s="345">
        <v>0</v>
      </c>
      <c r="J432" s="345">
        <v>0</v>
      </c>
      <c r="K432" s="345">
        <v>376.6</v>
      </c>
      <c r="L432" s="346"/>
      <c r="M432" s="346"/>
      <c r="N432" s="346"/>
      <c r="O432" s="345"/>
      <c r="P432" s="345"/>
      <c r="Q432" s="345"/>
      <c r="R432" s="345">
        <v>0</v>
      </c>
      <c r="S432" s="345">
        <v>0.6</v>
      </c>
      <c r="T432" s="345">
        <v>332.3</v>
      </c>
      <c r="U432" s="345">
        <v>0</v>
      </c>
      <c r="V432" s="345">
        <v>0.5</v>
      </c>
      <c r="W432" s="345">
        <v>389.9</v>
      </c>
      <c r="X432" s="345">
        <v>0</v>
      </c>
      <c r="Y432" s="345">
        <v>0</v>
      </c>
      <c r="Z432" s="345">
        <v>408.2</v>
      </c>
      <c r="AA432">
        <f t="shared" si="6"/>
        <v>0</v>
      </c>
    </row>
    <row r="433" spans="1:27" ht="28.8" x14ac:dyDescent="0.3">
      <c r="A433" s="345" t="s">
        <v>2105</v>
      </c>
      <c r="B433" s="805"/>
      <c r="C433" s="802"/>
      <c r="D433" s="802"/>
      <c r="E433" s="803"/>
      <c r="F433" s="805">
        <v>29</v>
      </c>
      <c r="G433" s="803"/>
      <c r="H433" s="345">
        <v>440.8</v>
      </c>
      <c r="I433" s="345">
        <v>28</v>
      </c>
      <c r="J433" s="345">
        <v>28</v>
      </c>
      <c r="K433" s="345">
        <v>404.6</v>
      </c>
      <c r="L433" s="346"/>
      <c r="M433" s="346"/>
      <c r="N433" s="346"/>
      <c r="O433" s="345"/>
      <c r="P433" s="345"/>
      <c r="Q433" s="345"/>
      <c r="R433" s="345">
        <v>28.2</v>
      </c>
      <c r="S433" s="345">
        <v>28.8</v>
      </c>
      <c r="T433" s="345">
        <v>360.5</v>
      </c>
      <c r="U433" s="345">
        <v>32</v>
      </c>
      <c r="V433" s="345">
        <v>32.5</v>
      </c>
      <c r="W433" s="345">
        <v>421.9</v>
      </c>
      <c r="X433" s="345">
        <v>28</v>
      </c>
      <c r="Y433" s="345">
        <v>28</v>
      </c>
      <c r="Z433" s="345">
        <v>436.2</v>
      </c>
      <c r="AA433">
        <f t="shared" si="6"/>
        <v>28</v>
      </c>
    </row>
    <row r="434" spans="1:27" ht="28.8" x14ac:dyDescent="0.3">
      <c r="A434" s="345" t="s">
        <v>2106</v>
      </c>
      <c r="B434" s="805"/>
      <c r="C434" s="802"/>
      <c r="D434" s="802"/>
      <c r="E434" s="803"/>
      <c r="F434" s="805">
        <v>32</v>
      </c>
      <c r="G434" s="803"/>
      <c r="H434" s="345">
        <v>443.8</v>
      </c>
      <c r="I434" s="345">
        <v>2.5</v>
      </c>
      <c r="J434" s="345">
        <v>30.5</v>
      </c>
      <c r="K434" s="345">
        <v>407.1</v>
      </c>
      <c r="L434" s="346"/>
      <c r="M434" s="346"/>
      <c r="N434" s="346"/>
      <c r="O434" s="345"/>
      <c r="P434" s="345"/>
      <c r="Q434" s="345"/>
      <c r="R434" s="345">
        <v>2.2000000000000002</v>
      </c>
      <c r="S434" s="345">
        <v>31</v>
      </c>
      <c r="T434" s="345">
        <v>362.7</v>
      </c>
      <c r="U434" s="345">
        <v>3.5</v>
      </c>
      <c r="V434" s="345">
        <v>36</v>
      </c>
      <c r="W434" s="345">
        <v>425.4</v>
      </c>
      <c r="X434" s="345">
        <v>4</v>
      </c>
      <c r="Y434" s="345">
        <v>32</v>
      </c>
      <c r="Z434" s="345">
        <v>440.2</v>
      </c>
      <c r="AA434">
        <f t="shared" si="6"/>
        <v>2.5</v>
      </c>
    </row>
    <row r="435" spans="1:27" ht="28.8" x14ac:dyDescent="0.3">
      <c r="A435" s="345" t="s">
        <v>2107</v>
      </c>
      <c r="B435" s="805"/>
      <c r="C435" s="802"/>
      <c r="D435" s="802"/>
      <c r="E435" s="803"/>
      <c r="F435" s="805">
        <v>32</v>
      </c>
      <c r="G435" s="803"/>
      <c r="H435" s="345">
        <v>443.8</v>
      </c>
      <c r="I435" s="345">
        <v>0</v>
      </c>
      <c r="J435" s="345">
        <v>30.5</v>
      </c>
      <c r="K435" s="345">
        <v>407.1</v>
      </c>
      <c r="L435" s="346"/>
      <c r="M435" s="346"/>
      <c r="N435" s="346"/>
      <c r="O435" s="345"/>
      <c r="P435" s="345"/>
      <c r="Q435" s="345"/>
      <c r="R435" s="345">
        <v>0</v>
      </c>
      <c r="S435" s="345">
        <v>31</v>
      </c>
      <c r="T435" s="345">
        <v>362.7</v>
      </c>
      <c r="U435" s="345">
        <v>0</v>
      </c>
      <c r="V435" s="345">
        <v>36</v>
      </c>
      <c r="W435" s="345">
        <v>425.4</v>
      </c>
      <c r="X435" s="345">
        <v>0</v>
      </c>
      <c r="Y435" s="345">
        <v>32</v>
      </c>
      <c r="Z435" s="345">
        <v>440.2</v>
      </c>
      <c r="AA435">
        <f t="shared" si="6"/>
        <v>0</v>
      </c>
    </row>
    <row r="436" spans="1:27" ht="28.8" x14ac:dyDescent="0.3">
      <c r="A436" s="345" t="s">
        <v>2108</v>
      </c>
      <c r="B436" s="805"/>
      <c r="C436" s="802"/>
      <c r="D436" s="802"/>
      <c r="E436" s="803"/>
      <c r="F436" s="805">
        <v>56.5</v>
      </c>
      <c r="G436" s="803"/>
      <c r="H436" s="345">
        <v>468.3</v>
      </c>
      <c r="I436" s="345">
        <v>41</v>
      </c>
      <c r="J436" s="345">
        <v>71.5</v>
      </c>
      <c r="K436" s="345">
        <v>448.1</v>
      </c>
      <c r="L436" s="346"/>
      <c r="M436" s="346"/>
      <c r="N436" s="346"/>
      <c r="O436" s="345"/>
      <c r="P436" s="345"/>
      <c r="Q436" s="345"/>
      <c r="R436" s="345">
        <v>15.2</v>
      </c>
      <c r="S436" s="345">
        <v>46.2</v>
      </c>
      <c r="T436" s="345">
        <v>377.9</v>
      </c>
      <c r="U436" s="345">
        <v>18.5</v>
      </c>
      <c r="V436" s="345">
        <v>54.5</v>
      </c>
      <c r="W436" s="345">
        <v>443.9</v>
      </c>
      <c r="X436" s="345">
        <v>24</v>
      </c>
      <c r="Y436" s="345">
        <v>56</v>
      </c>
      <c r="Z436" s="345">
        <v>464.2</v>
      </c>
      <c r="AA436">
        <f t="shared" si="6"/>
        <v>41</v>
      </c>
    </row>
    <row r="437" spans="1:27" ht="28.8" x14ac:dyDescent="0.3">
      <c r="A437" s="345" t="s">
        <v>2109</v>
      </c>
      <c r="B437" s="805"/>
      <c r="C437" s="802"/>
      <c r="D437" s="802"/>
      <c r="E437" s="803"/>
      <c r="F437" s="805">
        <v>65.5</v>
      </c>
      <c r="G437" s="803"/>
      <c r="H437" s="345">
        <v>477.3</v>
      </c>
      <c r="I437" s="345">
        <v>8</v>
      </c>
      <c r="J437" s="345">
        <v>79.5</v>
      </c>
      <c r="K437" s="345">
        <v>456.1</v>
      </c>
      <c r="L437" s="346"/>
      <c r="M437" s="346"/>
      <c r="N437" s="346"/>
      <c r="O437" s="345"/>
      <c r="P437" s="345"/>
      <c r="Q437" s="345"/>
      <c r="R437" s="345">
        <v>8.4</v>
      </c>
      <c r="S437" s="345">
        <v>54.6</v>
      </c>
      <c r="T437" s="345">
        <v>386.3</v>
      </c>
      <c r="U437" s="345">
        <v>9.5</v>
      </c>
      <c r="V437" s="345">
        <v>64</v>
      </c>
      <c r="W437" s="345">
        <v>453.4</v>
      </c>
      <c r="X437" s="345">
        <v>9</v>
      </c>
      <c r="Y437" s="345">
        <v>65</v>
      </c>
      <c r="Z437" s="345">
        <v>473.2</v>
      </c>
      <c r="AA437">
        <f t="shared" si="6"/>
        <v>8</v>
      </c>
    </row>
    <row r="438" spans="1:27" ht="28.8" x14ac:dyDescent="0.3">
      <c r="A438" s="345" t="s">
        <v>2110</v>
      </c>
      <c r="B438" s="805"/>
      <c r="C438" s="802"/>
      <c r="D438" s="802"/>
      <c r="E438" s="803"/>
      <c r="F438" s="805">
        <v>65.5</v>
      </c>
      <c r="G438" s="803"/>
      <c r="H438" s="345">
        <v>477.3</v>
      </c>
      <c r="I438" s="345">
        <v>0</v>
      </c>
      <c r="J438" s="345">
        <v>79.5</v>
      </c>
      <c r="K438" s="345">
        <v>456.1</v>
      </c>
      <c r="L438" s="346"/>
      <c r="M438" s="346"/>
      <c r="N438" s="346"/>
      <c r="O438" s="345"/>
      <c r="P438" s="345"/>
      <c r="Q438" s="345"/>
      <c r="R438" s="345">
        <v>0</v>
      </c>
      <c r="S438" s="345">
        <v>54.6</v>
      </c>
      <c r="T438" s="345">
        <v>386.3</v>
      </c>
      <c r="U438" s="345">
        <v>0</v>
      </c>
      <c r="V438" s="345">
        <v>64</v>
      </c>
      <c r="W438" s="345">
        <v>453.4</v>
      </c>
      <c r="X438" s="345">
        <v>0</v>
      </c>
      <c r="Y438" s="345">
        <v>65</v>
      </c>
      <c r="Z438" s="345">
        <v>473.2</v>
      </c>
      <c r="AA438">
        <f t="shared" si="6"/>
        <v>0</v>
      </c>
    </row>
    <row r="439" spans="1:27" ht="28.8" x14ac:dyDescent="0.3">
      <c r="A439" s="345" t="s">
        <v>2111</v>
      </c>
      <c r="B439" s="805"/>
      <c r="C439" s="802"/>
      <c r="D439" s="802"/>
      <c r="E439" s="803"/>
      <c r="F439" s="805">
        <v>65.5</v>
      </c>
      <c r="G439" s="803"/>
      <c r="H439" s="345">
        <v>477.3</v>
      </c>
      <c r="I439" s="345">
        <v>0</v>
      </c>
      <c r="J439" s="345">
        <v>79.5</v>
      </c>
      <c r="K439" s="345">
        <v>456.1</v>
      </c>
      <c r="L439" s="346"/>
      <c r="M439" s="346"/>
      <c r="N439" s="346"/>
      <c r="O439" s="345"/>
      <c r="P439" s="345"/>
      <c r="Q439" s="345"/>
      <c r="R439" s="345">
        <v>0.2</v>
      </c>
      <c r="S439" s="345">
        <v>54.8</v>
      </c>
      <c r="T439" s="345">
        <v>386.5</v>
      </c>
      <c r="U439" s="345">
        <v>0</v>
      </c>
      <c r="V439" s="345">
        <v>64</v>
      </c>
      <c r="W439" s="345">
        <v>453.4</v>
      </c>
      <c r="X439" s="345">
        <v>0</v>
      </c>
      <c r="Y439" s="345">
        <v>65</v>
      </c>
      <c r="Z439" s="345">
        <v>473.2</v>
      </c>
      <c r="AA439">
        <f t="shared" si="6"/>
        <v>0</v>
      </c>
    </row>
    <row r="440" spans="1:27" ht="28.8" x14ac:dyDescent="0.3">
      <c r="A440" s="345" t="s">
        <v>2112</v>
      </c>
      <c r="B440" s="805"/>
      <c r="C440" s="802"/>
      <c r="D440" s="802"/>
      <c r="E440" s="803"/>
      <c r="F440" s="805">
        <v>68.5</v>
      </c>
      <c r="G440" s="803"/>
      <c r="H440" s="345">
        <v>480.3</v>
      </c>
      <c r="I440" s="345">
        <v>2</v>
      </c>
      <c r="J440" s="345">
        <v>81.5</v>
      </c>
      <c r="K440" s="345">
        <v>458.1</v>
      </c>
      <c r="L440" s="346"/>
      <c r="M440" s="346"/>
      <c r="N440" s="346"/>
      <c r="O440" s="345"/>
      <c r="P440" s="345"/>
      <c r="Q440" s="345"/>
      <c r="R440" s="345">
        <v>4.5</v>
      </c>
      <c r="S440" s="345">
        <v>59.3</v>
      </c>
      <c r="T440" s="345">
        <v>391</v>
      </c>
      <c r="U440" s="345">
        <v>4</v>
      </c>
      <c r="V440" s="345">
        <v>68</v>
      </c>
      <c r="W440" s="345">
        <v>457.4</v>
      </c>
      <c r="X440" s="345">
        <v>3.5</v>
      </c>
      <c r="Y440" s="345">
        <v>68.5</v>
      </c>
      <c r="Z440" s="345">
        <v>476.7</v>
      </c>
      <c r="AA440">
        <f t="shared" si="6"/>
        <v>2</v>
      </c>
    </row>
    <row r="441" spans="1:27" ht="28.8" x14ac:dyDescent="0.3">
      <c r="A441" s="345" t="s">
        <v>2113</v>
      </c>
      <c r="B441" s="805"/>
      <c r="C441" s="802"/>
      <c r="D441" s="802"/>
      <c r="E441" s="803"/>
      <c r="F441" s="805">
        <v>68.5</v>
      </c>
      <c r="G441" s="803"/>
      <c r="H441" s="345">
        <v>480.3</v>
      </c>
      <c r="I441" s="345">
        <v>0</v>
      </c>
      <c r="J441" s="345">
        <v>81.5</v>
      </c>
      <c r="K441" s="345">
        <v>458.1</v>
      </c>
      <c r="L441" s="346"/>
      <c r="M441" s="346"/>
      <c r="N441" s="346"/>
      <c r="O441" s="345"/>
      <c r="P441" s="345"/>
      <c r="Q441" s="345"/>
      <c r="R441" s="345">
        <v>0.2</v>
      </c>
      <c r="S441" s="345">
        <v>59.5</v>
      </c>
      <c r="T441" s="345">
        <v>391.2</v>
      </c>
      <c r="U441" s="345">
        <v>0.1</v>
      </c>
      <c r="V441" s="345">
        <v>68.099999999999994</v>
      </c>
      <c r="W441" s="345">
        <v>457.5</v>
      </c>
      <c r="X441" s="345">
        <v>0</v>
      </c>
      <c r="Y441" s="345">
        <v>68.5</v>
      </c>
      <c r="Z441" s="345">
        <v>476.7</v>
      </c>
      <c r="AA441">
        <f t="shared" si="6"/>
        <v>0</v>
      </c>
    </row>
    <row r="442" spans="1:27" ht="28.8" x14ac:dyDescent="0.3">
      <c r="A442" s="345" t="s">
        <v>2114</v>
      </c>
      <c r="B442" s="805"/>
      <c r="C442" s="802"/>
      <c r="D442" s="802"/>
      <c r="E442" s="803"/>
      <c r="F442" s="805">
        <v>68.5</v>
      </c>
      <c r="G442" s="803"/>
      <c r="H442" s="345">
        <v>480.3</v>
      </c>
      <c r="I442" s="345">
        <v>2</v>
      </c>
      <c r="J442" s="345">
        <v>83.5</v>
      </c>
      <c r="K442" s="345">
        <v>460.1</v>
      </c>
      <c r="L442" s="346"/>
      <c r="M442" s="346"/>
      <c r="N442" s="346"/>
      <c r="O442" s="345"/>
      <c r="P442" s="345"/>
      <c r="Q442" s="345"/>
      <c r="R442" s="345">
        <v>0.4</v>
      </c>
      <c r="S442" s="345">
        <v>59.9</v>
      </c>
      <c r="T442" s="345">
        <v>391.6</v>
      </c>
      <c r="U442" s="345">
        <v>0.5</v>
      </c>
      <c r="V442" s="345">
        <v>68.599999999999994</v>
      </c>
      <c r="W442" s="345">
        <v>458</v>
      </c>
      <c r="X442" s="345">
        <v>0.5</v>
      </c>
      <c r="Y442" s="345">
        <v>69</v>
      </c>
      <c r="Z442" s="345">
        <v>477.2</v>
      </c>
      <c r="AA442">
        <f t="shared" si="6"/>
        <v>2</v>
      </c>
    </row>
    <row r="443" spans="1:27" ht="28.8" x14ac:dyDescent="0.3">
      <c r="A443" s="345" t="s">
        <v>2115</v>
      </c>
      <c r="B443" s="805"/>
      <c r="C443" s="802"/>
      <c r="D443" s="802"/>
      <c r="E443" s="803"/>
      <c r="F443" s="805">
        <v>68.5</v>
      </c>
      <c r="G443" s="803"/>
      <c r="H443" s="345">
        <v>480.3</v>
      </c>
      <c r="I443" s="345">
        <v>0</v>
      </c>
      <c r="J443" s="345">
        <v>83.5</v>
      </c>
      <c r="K443" s="345">
        <v>460.1</v>
      </c>
      <c r="L443" s="346"/>
      <c r="M443" s="346"/>
      <c r="N443" s="346"/>
      <c r="O443" s="345"/>
      <c r="P443" s="345"/>
      <c r="Q443" s="345"/>
      <c r="R443" s="345">
        <v>0</v>
      </c>
      <c r="S443" s="345">
        <v>59.9</v>
      </c>
      <c r="T443" s="345">
        <v>391.6</v>
      </c>
      <c r="U443" s="345">
        <v>0</v>
      </c>
      <c r="V443" s="345">
        <v>68.599999999999994</v>
      </c>
      <c r="W443" s="345">
        <v>458</v>
      </c>
      <c r="X443" s="345">
        <v>0</v>
      </c>
      <c r="Y443" s="345">
        <v>69</v>
      </c>
      <c r="Z443" s="345">
        <v>477.2</v>
      </c>
      <c r="AA443">
        <f t="shared" si="6"/>
        <v>0</v>
      </c>
    </row>
    <row r="444" spans="1:27" ht="28.8" x14ac:dyDescent="0.3">
      <c r="A444" s="345" t="s">
        <v>2116</v>
      </c>
      <c r="B444" s="805"/>
      <c r="C444" s="802"/>
      <c r="D444" s="802"/>
      <c r="E444" s="803"/>
      <c r="F444" s="805">
        <v>68.5</v>
      </c>
      <c r="G444" s="803"/>
      <c r="H444" s="345">
        <v>480.3</v>
      </c>
      <c r="I444" s="345">
        <v>0</v>
      </c>
      <c r="J444" s="345">
        <v>83.5</v>
      </c>
      <c r="K444" s="345">
        <v>460.1</v>
      </c>
      <c r="L444" s="346"/>
      <c r="M444" s="346"/>
      <c r="N444" s="346"/>
      <c r="O444" s="345"/>
      <c r="P444" s="345"/>
      <c r="Q444" s="345"/>
      <c r="R444" s="345">
        <v>0.2</v>
      </c>
      <c r="S444" s="345">
        <v>60.1</v>
      </c>
      <c r="T444" s="345">
        <v>391.8</v>
      </c>
      <c r="U444" s="345">
        <v>0</v>
      </c>
      <c r="V444" s="345">
        <v>68.599999999999994</v>
      </c>
      <c r="W444" s="345">
        <v>458</v>
      </c>
      <c r="X444" s="345">
        <v>0</v>
      </c>
      <c r="Y444" s="345">
        <v>69</v>
      </c>
      <c r="Z444" s="345">
        <v>477.2</v>
      </c>
      <c r="AA444">
        <f t="shared" si="6"/>
        <v>0</v>
      </c>
    </row>
    <row r="445" spans="1:27" ht="28.8" x14ac:dyDescent="0.3">
      <c r="A445" s="345" t="s">
        <v>2117</v>
      </c>
      <c r="B445" s="805"/>
      <c r="C445" s="802"/>
      <c r="D445" s="802"/>
      <c r="E445" s="803"/>
      <c r="F445" s="805">
        <v>68.5</v>
      </c>
      <c r="G445" s="803"/>
      <c r="H445" s="345">
        <v>480.3</v>
      </c>
      <c r="I445" s="345">
        <v>0</v>
      </c>
      <c r="J445" s="345">
        <v>83.5</v>
      </c>
      <c r="K445" s="345">
        <v>460.1</v>
      </c>
      <c r="L445" s="346"/>
      <c r="M445" s="346"/>
      <c r="N445" s="346"/>
      <c r="O445" s="345"/>
      <c r="P445" s="345"/>
      <c r="Q445" s="345"/>
      <c r="R445" s="345">
        <v>0</v>
      </c>
      <c r="S445" s="345">
        <v>60.1</v>
      </c>
      <c r="T445" s="345">
        <v>391.8</v>
      </c>
      <c r="U445" s="345">
        <v>0</v>
      </c>
      <c r="V445" s="345">
        <v>68.599999999999994</v>
      </c>
      <c r="W445" s="345">
        <v>458</v>
      </c>
      <c r="X445" s="345">
        <v>0</v>
      </c>
      <c r="Y445" s="345">
        <v>69</v>
      </c>
      <c r="Z445" s="345">
        <v>477.2</v>
      </c>
      <c r="AA445">
        <f t="shared" si="6"/>
        <v>0</v>
      </c>
    </row>
    <row r="446" spans="1:27" ht="28.8" x14ac:dyDescent="0.3">
      <c r="A446" s="345" t="s">
        <v>2118</v>
      </c>
      <c r="B446" s="805"/>
      <c r="C446" s="802"/>
      <c r="D446" s="802"/>
      <c r="E446" s="803"/>
      <c r="F446" s="805">
        <v>68.5</v>
      </c>
      <c r="G446" s="803"/>
      <c r="H446" s="345">
        <v>480.3</v>
      </c>
      <c r="I446" s="345">
        <v>0</v>
      </c>
      <c r="J446" s="345">
        <v>83.5</v>
      </c>
      <c r="K446" s="345">
        <v>460.1</v>
      </c>
      <c r="L446" s="346"/>
      <c r="M446" s="346"/>
      <c r="N446" s="346"/>
      <c r="O446" s="345"/>
      <c r="P446" s="345"/>
      <c r="Q446" s="345"/>
      <c r="R446" s="345">
        <v>0</v>
      </c>
      <c r="S446" s="345">
        <v>60.1</v>
      </c>
      <c r="T446" s="345">
        <v>391.8</v>
      </c>
      <c r="U446" s="345">
        <v>0</v>
      </c>
      <c r="V446" s="345">
        <v>68.599999999999994</v>
      </c>
      <c r="W446" s="345">
        <v>458</v>
      </c>
      <c r="X446" s="345">
        <v>0</v>
      </c>
      <c r="Y446" s="345">
        <v>69</v>
      </c>
      <c r="Z446" s="345">
        <v>477.2</v>
      </c>
      <c r="AA446">
        <f t="shared" si="6"/>
        <v>0</v>
      </c>
    </row>
    <row r="447" spans="1:27" ht="28.8" x14ac:dyDescent="0.3">
      <c r="A447" s="345" t="s">
        <v>2119</v>
      </c>
      <c r="B447" s="805"/>
      <c r="C447" s="802"/>
      <c r="D447" s="802"/>
      <c r="E447" s="803"/>
      <c r="F447" s="805">
        <v>68.5</v>
      </c>
      <c r="G447" s="803"/>
      <c r="H447" s="345">
        <v>480.3</v>
      </c>
      <c r="I447" s="345">
        <v>0</v>
      </c>
      <c r="J447" s="345">
        <v>83.5</v>
      </c>
      <c r="K447" s="345">
        <v>460.1</v>
      </c>
      <c r="L447" s="346"/>
      <c r="M447" s="346"/>
      <c r="N447" s="346"/>
      <c r="O447" s="345"/>
      <c r="P447" s="345"/>
      <c r="Q447" s="345"/>
      <c r="R447" s="345">
        <v>0.2</v>
      </c>
      <c r="S447" s="345">
        <v>60.3</v>
      </c>
      <c r="T447" s="345">
        <v>392</v>
      </c>
      <c r="U447" s="345">
        <v>0</v>
      </c>
      <c r="V447" s="345">
        <v>68.599999999999994</v>
      </c>
      <c r="W447" s="345">
        <v>458</v>
      </c>
      <c r="X447" s="345">
        <v>0</v>
      </c>
      <c r="Y447" s="345">
        <v>69</v>
      </c>
      <c r="Z447" s="345">
        <v>477.2</v>
      </c>
      <c r="AA447">
        <f t="shared" si="6"/>
        <v>0</v>
      </c>
    </row>
    <row r="448" spans="1:27" ht="28.8" x14ac:dyDescent="0.3">
      <c r="A448" s="345" t="s">
        <v>2120</v>
      </c>
      <c r="B448" s="805"/>
      <c r="C448" s="802"/>
      <c r="D448" s="802"/>
      <c r="E448" s="803"/>
      <c r="F448" s="805">
        <v>74.5</v>
      </c>
      <c r="G448" s="803"/>
      <c r="H448" s="345">
        <v>486.3</v>
      </c>
      <c r="I448" s="345">
        <v>2</v>
      </c>
      <c r="J448" s="345">
        <v>85.5</v>
      </c>
      <c r="K448" s="345">
        <v>462.1</v>
      </c>
      <c r="L448" s="346"/>
      <c r="M448" s="346"/>
      <c r="N448" s="346"/>
      <c r="O448" s="345"/>
      <c r="P448" s="345"/>
      <c r="Q448" s="345"/>
      <c r="R448" s="345">
        <v>14.4</v>
      </c>
      <c r="S448" s="345">
        <v>74.7</v>
      </c>
      <c r="T448" s="345">
        <v>406.4</v>
      </c>
      <c r="U448" s="345">
        <v>18.5</v>
      </c>
      <c r="V448" s="345">
        <v>87.1</v>
      </c>
      <c r="W448" s="345">
        <v>476.5</v>
      </c>
      <c r="X448" s="345">
        <v>21</v>
      </c>
      <c r="Y448" s="345">
        <v>90</v>
      </c>
      <c r="Z448" s="345">
        <v>498.2</v>
      </c>
      <c r="AA448">
        <f t="shared" si="6"/>
        <v>2</v>
      </c>
    </row>
    <row r="449" spans="1:27" ht="28.8" x14ac:dyDescent="0.3">
      <c r="A449" s="345" t="s">
        <v>2121</v>
      </c>
      <c r="B449" s="805"/>
      <c r="C449" s="802"/>
      <c r="D449" s="802"/>
      <c r="E449" s="803"/>
      <c r="F449" s="805">
        <v>115.5</v>
      </c>
      <c r="G449" s="803"/>
      <c r="H449" s="345">
        <v>527.29999999999995</v>
      </c>
      <c r="I449" s="345">
        <v>57.5</v>
      </c>
      <c r="J449" s="345">
        <v>143</v>
      </c>
      <c r="K449" s="345">
        <v>519.6</v>
      </c>
      <c r="L449" s="346"/>
      <c r="M449" s="346"/>
      <c r="N449" s="346"/>
      <c r="O449" s="345"/>
      <c r="P449" s="345"/>
      <c r="Q449" s="345"/>
      <c r="R449" s="345">
        <v>36.4</v>
      </c>
      <c r="S449" s="345">
        <v>111.1</v>
      </c>
      <c r="T449" s="345">
        <v>442.8</v>
      </c>
      <c r="U449" s="345">
        <v>48</v>
      </c>
      <c r="V449" s="345">
        <v>135.1</v>
      </c>
      <c r="W449" s="345">
        <v>524.5</v>
      </c>
      <c r="X449" s="345">
        <v>45</v>
      </c>
      <c r="Y449" s="345">
        <v>135</v>
      </c>
      <c r="Z449" s="345">
        <v>543.20000000000005</v>
      </c>
      <c r="AA449">
        <f t="shared" si="6"/>
        <v>57.5</v>
      </c>
    </row>
    <row r="450" spans="1:27" ht="28.8" x14ac:dyDescent="0.3">
      <c r="A450" s="345" t="s">
        <v>2122</v>
      </c>
      <c r="B450" s="805"/>
      <c r="C450" s="802"/>
      <c r="D450" s="802"/>
      <c r="E450" s="803"/>
      <c r="F450" s="805">
        <v>116</v>
      </c>
      <c r="G450" s="803"/>
      <c r="H450" s="345">
        <v>527.79999999999995</v>
      </c>
      <c r="I450" s="345">
        <v>0.5</v>
      </c>
      <c r="J450" s="345">
        <v>143.5</v>
      </c>
      <c r="K450" s="345">
        <v>520.1</v>
      </c>
      <c r="L450" s="346"/>
      <c r="M450" s="346"/>
      <c r="N450" s="346"/>
      <c r="O450" s="345"/>
      <c r="P450" s="345"/>
      <c r="Q450" s="345"/>
      <c r="R450" s="345">
        <v>0.4</v>
      </c>
      <c r="S450" s="345">
        <v>111.5</v>
      </c>
      <c r="T450" s="345">
        <v>443.2</v>
      </c>
      <c r="U450" s="345">
        <v>0.5</v>
      </c>
      <c r="V450" s="345">
        <v>135.6</v>
      </c>
      <c r="W450" s="345">
        <v>525</v>
      </c>
      <c r="X450" s="345">
        <v>0.5</v>
      </c>
      <c r="Y450" s="345">
        <v>135.5</v>
      </c>
      <c r="Z450" s="345">
        <v>543.70000000000005</v>
      </c>
      <c r="AA450">
        <f t="shared" si="6"/>
        <v>0.5</v>
      </c>
    </row>
    <row r="451" spans="1:27" ht="28.8" x14ac:dyDescent="0.3">
      <c r="A451" s="345" t="s">
        <v>2123</v>
      </c>
      <c r="B451" s="805"/>
      <c r="C451" s="802"/>
      <c r="D451" s="802"/>
      <c r="E451" s="803"/>
      <c r="F451" s="805">
        <v>116</v>
      </c>
      <c r="G451" s="803"/>
      <c r="H451" s="345">
        <v>527.79999999999995</v>
      </c>
      <c r="I451" s="345">
        <v>2</v>
      </c>
      <c r="J451" s="345">
        <v>145.5</v>
      </c>
      <c r="K451" s="345">
        <v>522.1</v>
      </c>
      <c r="L451" s="346"/>
      <c r="M451" s="346"/>
      <c r="N451" s="346"/>
      <c r="O451" s="345"/>
      <c r="P451" s="345"/>
      <c r="Q451" s="345"/>
      <c r="R451" s="345">
        <v>0.2</v>
      </c>
      <c r="S451" s="345">
        <v>111.7</v>
      </c>
      <c r="T451" s="345">
        <v>443.4</v>
      </c>
      <c r="U451" s="345">
        <v>0.5</v>
      </c>
      <c r="V451" s="345">
        <v>136.1</v>
      </c>
      <c r="W451" s="345">
        <v>525.5</v>
      </c>
      <c r="X451" s="345">
        <v>0.5</v>
      </c>
      <c r="Y451" s="345">
        <v>136</v>
      </c>
      <c r="Z451" s="345">
        <v>544.20000000000005</v>
      </c>
      <c r="AA451">
        <f t="shared" si="6"/>
        <v>2</v>
      </c>
    </row>
    <row r="452" spans="1:27" ht="28.8" x14ac:dyDescent="0.3">
      <c r="A452" s="345" t="s">
        <v>2124</v>
      </c>
      <c r="B452" s="805"/>
      <c r="C452" s="802"/>
      <c r="D452" s="802"/>
      <c r="E452" s="803"/>
      <c r="F452" s="805">
        <v>116</v>
      </c>
      <c r="G452" s="803"/>
      <c r="H452" s="345">
        <v>527.79999999999995</v>
      </c>
      <c r="I452" s="345">
        <v>0</v>
      </c>
      <c r="J452" s="345">
        <v>145.5</v>
      </c>
      <c r="K452" s="345">
        <v>522.1</v>
      </c>
      <c r="L452" s="346"/>
      <c r="M452" s="346"/>
      <c r="N452" s="346"/>
      <c r="O452" s="345"/>
      <c r="P452" s="345"/>
      <c r="Q452" s="345"/>
      <c r="R452" s="345">
        <v>0</v>
      </c>
      <c r="S452" s="345">
        <v>111.7</v>
      </c>
      <c r="T452" s="345">
        <v>443.4</v>
      </c>
      <c r="U452" s="345">
        <v>0</v>
      </c>
      <c r="V452" s="345">
        <v>136.1</v>
      </c>
      <c r="W452" s="345">
        <v>525.5</v>
      </c>
      <c r="X452" s="345">
        <v>0</v>
      </c>
      <c r="Y452" s="345">
        <v>136</v>
      </c>
      <c r="Z452" s="345">
        <v>544.20000000000005</v>
      </c>
      <c r="AA452">
        <f t="shared" si="6"/>
        <v>0</v>
      </c>
    </row>
    <row r="453" spans="1:27" ht="28.8" x14ac:dyDescent="0.3">
      <c r="A453" s="345" t="s">
        <v>2125</v>
      </c>
      <c r="B453" s="805"/>
      <c r="C453" s="802"/>
      <c r="D453" s="802"/>
      <c r="E453" s="803"/>
      <c r="F453" s="805">
        <v>125</v>
      </c>
      <c r="G453" s="803"/>
      <c r="H453" s="345">
        <v>536.79999999999995</v>
      </c>
      <c r="I453" s="345">
        <v>3.5</v>
      </c>
      <c r="J453" s="345">
        <v>149</v>
      </c>
      <c r="K453" s="345">
        <v>525.6</v>
      </c>
      <c r="L453" s="346"/>
      <c r="M453" s="346"/>
      <c r="N453" s="346"/>
      <c r="O453" s="345"/>
      <c r="P453" s="345"/>
      <c r="Q453" s="345"/>
      <c r="R453" s="345">
        <v>6.4</v>
      </c>
      <c r="S453" s="345">
        <v>118.1</v>
      </c>
      <c r="T453" s="345">
        <v>449.8</v>
      </c>
      <c r="U453" s="345">
        <v>7</v>
      </c>
      <c r="V453" s="345">
        <v>143.1</v>
      </c>
      <c r="W453" s="345">
        <v>532.5</v>
      </c>
      <c r="X453" s="345">
        <v>4</v>
      </c>
      <c r="Y453" s="345">
        <v>140</v>
      </c>
      <c r="Z453" s="345">
        <v>548.20000000000005</v>
      </c>
      <c r="AA453">
        <f t="shared" si="6"/>
        <v>3.5</v>
      </c>
    </row>
    <row r="454" spans="1:27" ht="28.8" x14ac:dyDescent="0.3">
      <c r="A454" s="345" t="s">
        <v>2126</v>
      </c>
      <c r="B454" s="805"/>
      <c r="C454" s="802"/>
      <c r="D454" s="802"/>
      <c r="E454" s="803"/>
      <c r="F454" s="805">
        <v>125</v>
      </c>
      <c r="G454" s="803"/>
      <c r="H454" s="345">
        <v>536.79999999999995</v>
      </c>
      <c r="I454" s="345">
        <v>0</v>
      </c>
      <c r="J454" s="345">
        <v>149</v>
      </c>
      <c r="K454" s="345">
        <v>525.6</v>
      </c>
      <c r="L454" s="346"/>
      <c r="M454" s="346"/>
      <c r="N454" s="346"/>
      <c r="O454" s="345"/>
      <c r="P454" s="345"/>
      <c r="Q454" s="345"/>
      <c r="R454" s="345">
        <v>0</v>
      </c>
      <c r="S454" s="345">
        <v>118.1</v>
      </c>
      <c r="T454" s="345">
        <v>449.8</v>
      </c>
      <c r="U454" s="345">
        <v>0</v>
      </c>
      <c r="V454" s="345">
        <v>143.1</v>
      </c>
      <c r="W454" s="345">
        <v>532.5</v>
      </c>
      <c r="X454" s="345">
        <v>0</v>
      </c>
      <c r="Y454" s="345">
        <v>140</v>
      </c>
      <c r="Z454" s="345">
        <v>548.20000000000005</v>
      </c>
      <c r="AA454">
        <f t="shared" si="6"/>
        <v>0</v>
      </c>
    </row>
    <row r="455" spans="1:27" ht="28.8" x14ac:dyDescent="0.3">
      <c r="A455" s="345" t="s">
        <v>2127</v>
      </c>
      <c r="B455" s="805"/>
      <c r="C455" s="802"/>
      <c r="D455" s="802"/>
      <c r="E455" s="803"/>
      <c r="F455" s="805">
        <v>125.5</v>
      </c>
      <c r="G455" s="803"/>
      <c r="H455" s="345">
        <v>537.29999999999995</v>
      </c>
      <c r="I455" s="345">
        <v>0.5</v>
      </c>
      <c r="J455" s="345">
        <v>149.5</v>
      </c>
      <c r="K455" s="345">
        <v>526.1</v>
      </c>
      <c r="L455" s="346"/>
      <c r="M455" s="346"/>
      <c r="N455" s="346"/>
      <c r="O455" s="345"/>
      <c r="P455" s="345"/>
      <c r="Q455" s="345"/>
      <c r="R455" s="345">
        <v>0.2</v>
      </c>
      <c r="S455" s="345">
        <v>118.3</v>
      </c>
      <c r="T455" s="345">
        <v>450</v>
      </c>
      <c r="U455" s="345">
        <v>0.3</v>
      </c>
      <c r="V455" s="345">
        <v>143.4</v>
      </c>
      <c r="W455" s="345">
        <v>532.79999999999995</v>
      </c>
      <c r="X455" s="345">
        <v>0.5</v>
      </c>
      <c r="Y455" s="345">
        <v>140.5</v>
      </c>
      <c r="Z455" s="345">
        <v>548.70000000000005</v>
      </c>
      <c r="AA455">
        <f t="shared" ref="AA455:AA519" si="7">MAX(B455+I455+L455+O455)</f>
        <v>0.5</v>
      </c>
    </row>
    <row r="456" spans="1:27" ht="28.8" x14ac:dyDescent="0.3">
      <c r="A456" s="345" t="s">
        <v>2128</v>
      </c>
      <c r="B456" s="805"/>
      <c r="C456" s="802"/>
      <c r="D456" s="802"/>
      <c r="E456" s="803"/>
      <c r="F456" s="805">
        <v>125.5</v>
      </c>
      <c r="G456" s="803"/>
      <c r="H456" s="345">
        <v>537.29999999999995</v>
      </c>
      <c r="I456" s="345">
        <v>0</v>
      </c>
      <c r="J456" s="345">
        <v>149.5</v>
      </c>
      <c r="K456" s="345">
        <v>526.1</v>
      </c>
      <c r="L456" s="346"/>
      <c r="M456" s="346"/>
      <c r="N456" s="346"/>
      <c r="O456" s="345"/>
      <c r="P456" s="345"/>
      <c r="Q456" s="345"/>
      <c r="R456" s="345">
        <v>0.2</v>
      </c>
      <c r="S456" s="345">
        <v>118.5</v>
      </c>
      <c r="T456" s="345">
        <v>450.2</v>
      </c>
      <c r="U456" s="345">
        <v>0</v>
      </c>
      <c r="V456" s="345">
        <v>143.4</v>
      </c>
      <c r="W456" s="345">
        <v>532.79999999999995</v>
      </c>
      <c r="X456" s="345">
        <v>0</v>
      </c>
      <c r="Y456" s="345">
        <v>140.5</v>
      </c>
      <c r="Z456" s="345">
        <v>548.70000000000005</v>
      </c>
      <c r="AA456">
        <f t="shared" si="7"/>
        <v>0</v>
      </c>
    </row>
    <row r="457" spans="1:27" s="362" customFormat="1" ht="28.8" x14ac:dyDescent="0.3">
      <c r="A457" s="359" t="s">
        <v>2129</v>
      </c>
      <c r="B457" s="811"/>
      <c r="C457" s="812"/>
      <c r="D457" s="812"/>
      <c r="E457" s="813"/>
      <c r="F457" s="811">
        <v>162</v>
      </c>
      <c r="G457" s="813"/>
      <c r="H457" s="359">
        <v>573.79999999999995</v>
      </c>
      <c r="I457" s="359">
        <v>38</v>
      </c>
      <c r="J457" s="359">
        <v>187.5</v>
      </c>
      <c r="K457" s="359">
        <v>564.1</v>
      </c>
      <c r="L457" s="359"/>
      <c r="M457" s="359"/>
      <c r="N457" s="359"/>
      <c r="O457" s="359"/>
      <c r="P457" s="359"/>
      <c r="Q457" s="359"/>
      <c r="R457" s="359">
        <v>19</v>
      </c>
      <c r="S457" s="359">
        <v>137.5</v>
      </c>
      <c r="T457" s="359">
        <v>469.2</v>
      </c>
      <c r="U457" s="359">
        <v>23.5</v>
      </c>
      <c r="V457" s="359">
        <v>166.9</v>
      </c>
      <c r="W457" s="359">
        <v>556.29999999999995</v>
      </c>
      <c r="X457" s="359">
        <v>14</v>
      </c>
      <c r="Y457" s="359">
        <v>154.5</v>
      </c>
      <c r="Z457" s="359">
        <v>562.70000000000005</v>
      </c>
      <c r="AA457" s="362">
        <f t="shared" si="7"/>
        <v>38</v>
      </c>
    </row>
    <row r="458" spans="1:27" ht="28.8" x14ac:dyDescent="0.3">
      <c r="A458" s="345" t="s">
        <v>2130</v>
      </c>
      <c r="B458" s="805"/>
      <c r="C458" s="802"/>
      <c r="D458" s="802"/>
      <c r="E458" s="803"/>
      <c r="F458" s="805">
        <v>0</v>
      </c>
      <c r="G458" s="803"/>
      <c r="H458" s="345">
        <v>573.79999999999995</v>
      </c>
      <c r="I458" s="345">
        <v>0</v>
      </c>
      <c r="J458" s="345">
        <v>0</v>
      </c>
      <c r="K458" s="345">
        <v>564.1</v>
      </c>
      <c r="L458" s="346"/>
      <c r="M458" s="346"/>
      <c r="N458" s="346"/>
      <c r="O458" s="345"/>
      <c r="P458" s="345"/>
      <c r="Q458" s="345"/>
      <c r="R458" s="345">
        <v>0.2</v>
      </c>
      <c r="S458" s="345">
        <v>0.2</v>
      </c>
      <c r="T458" s="345">
        <v>469.4</v>
      </c>
      <c r="U458" s="345">
        <v>0</v>
      </c>
      <c r="V458" s="345">
        <v>0</v>
      </c>
      <c r="W458" s="345">
        <v>556.29999999999995</v>
      </c>
      <c r="X458" s="345">
        <v>0</v>
      </c>
      <c r="Y458" s="345">
        <v>0</v>
      </c>
      <c r="Z458" s="345">
        <v>562.70000000000005</v>
      </c>
      <c r="AA458">
        <f t="shared" si="7"/>
        <v>0</v>
      </c>
    </row>
    <row r="459" spans="1:27" ht="28.8" x14ac:dyDescent="0.3">
      <c r="A459" s="345" t="s">
        <v>2131</v>
      </c>
      <c r="B459" s="805"/>
      <c r="C459" s="802"/>
      <c r="D459" s="802"/>
      <c r="E459" s="803"/>
      <c r="F459" s="805">
        <v>2</v>
      </c>
      <c r="G459" s="803"/>
      <c r="H459" s="345">
        <v>575.79999999999995</v>
      </c>
      <c r="I459" s="345">
        <v>1.5</v>
      </c>
      <c r="J459" s="345">
        <v>1.5</v>
      </c>
      <c r="K459" s="345">
        <v>565.6</v>
      </c>
      <c r="L459" s="346"/>
      <c r="M459" s="346"/>
      <c r="N459" s="346"/>
      <c r="O459" s="345"/>
      <c r="P459" s="345"/>
      <c r="Q459" s="345"/>
      <c r="R459" s="345">
        <v>2</v>
      </c>
      <c r="S459" s="345">
        <v>2.2000000000000002</v>
      </c>
      <c r="T459" s="345">
        <v>471.4</v>
      </c>
      <c r="U459" s="345">
        <v>3.5</v>
      </c>
      <c r="V459" s="345">
        <v>3.5</v>
      </c>
      <c r="W459" s="345">
        <v>559.79999999999995</v>
      </c>
      <c r="X459" s="345">
        <v>1.5</v>
      </c>
      <c r="Y459" s="345">
        <v>1.5</v>
      </c>
      <c r="Z459" s="345">
        <v>564.20000000000005</v>
      </c>
      <c r="AA459">
        <f t="shared" si="7"/>
        <v>1.5</v>
      </c>
    </row>
    <row r="460" spans="1:27" ht="28.8" x14ac:dyDescent="0.3">
      <c r="A460" s="345" t="s">
        <v>2132</v>
      </c>
      <c r="B460" s="805"/>
      <c r="C460" s="802"/>
      <c r="D460" s="802"/>
      <c r="E460" s="803"/>
      <c r="F460" s="805">
        <v>2</v>
      </c>
      <c r="G460" s="803"/>
      <c r="H460" s="345">
        <v>575.79999999999995</v>
      </c>
      <c r="I460" s="345">
        <v>0</v>
      </c>
      <c r="J460" s="345">
        <v>1.5</v>
      </c>
      <c r="K460" s="345">
        <v>565.6</v>
      </c>
      <c r="L460" s="346"/>
      <c r="M460" s="346"/>
      <c r="N460" s="346"/>
      <c r="O460" s="345"/>
      <c r="P460" s="345"/>
      <c r="Q460" s="345"/>
      <c r="R460" s="345">
        <v>0</v>
      </c>
      <c r="S460" s="345">
        <v>2.2000000000000002</v>
      </c>
      <c r="T460" s="345">
        <v>471.4</v>
      </c>
      <c r="U460" s="345">
        <v>0</v>
      </c>
      <c r="V460" s="345">
        <v>3.5</v>
      </c>
      <c r="W460" s="345">
        <v>559.79999999999995</v>
      </c>
      <c r="X460" s="345">
        <v>0</v>
      </c>
      <c r="Y460" s="345">
        <v>1.5</v>
      </c>
      <c r="Z460" s="345">
        <v>564.20000000000005</v>
      </c>
      <c r="AA460">
        <f t="shared" si="7"/>
        <v>0</v>
      </c>
    </row>
    <row r="461" spans="1:27" ht="28.8" x14ac:dyDescent="0.3">
      <c r="A461" s="345" t="s">
        <v>2133</v>
      </c>
      <c r="B461" s="805"/>
      <c r="C461" s="802"/>
      <c r="D461" s="802"/>
      <c r="E461" s="803"/>
      <c r="F461" s="805">
        <v>2</v>
      </c>
      <c r="G461" s="803"/>
      <c r="H461" s="345">
        <v>575.79999999999995</v>
      </c>
      <c r="I461" s="345">
        <v>2</v>
      </c>
      <c r="J461" s="345">
        <v>3.5</v>
      </c>
      <c r="K461" s="345">
        <v>567.6</v>
      </c>
      <c r="L461" s="346"/>
      <c r="M461" s="346"/>
      <c r="N461" s="346"/>
      <c r="O461" s="345"/>
      <c r="P461" s="345"/>
      <c r="Q461" s="345"/>
      <c r="R461" s="345">
        <v>0</v>
      </c>
      <c r="S461" s="345">
        <v>2.2000000000000002</v>
      </c>
      <c r="T461" s="345">
        <v>471.4</v>
      </c>
      <c r="U461" s="345">
        <v>0</v>
      </c>
      <c r="V461" s="345">
        <v>3.5</v>
      </c>
      <c r="W461" s="345">
        <v>559.79999999999995</v>
      </c>
      <c r="X461" s="345">
        <v>0</v>
      </c>
      <c r="Y461" s="345">
        <v>1.5</v>
      </c>
      <c r="Z461" s="345">
        <v>564.20000000000005</v>
      </c>
      <c r="AA461">
        <f t="shared" si="7"/>
        <v>2</v>
      </c>
    </row>
    <row r="462" spans="1:27" ht="28.8" x14ac:dyDescent="0.3">
      <c r="A462" s="345" t="s">
        <v>2134</v>
      </c>
      <c r="B462" s="805"/>
      <c r="C462" s="802"/>
      <c r="D462" s="802"/>
      <c r="E462" s="803"/>
      <c r="F462" s="805">
        <v>7</v>
      </c>
      <c r="G462" s="803"/>
      <c r="H462" s="345">
        <v>580.79999999999995</v>
      </c>
      <c r="I462" s="345">
        <v>0.5</v>
      </c>
      <c r="J462" s="345">
        <v>4</v>
      </c>
      <c r="K462" s="345">
        <v>568.1</v>
      </c>
      <c r="L462" s="346"/>
      <c r="M462" s="346"/>
      <c r="N462" s="346"/>
      <c r="O462" s="345"/>
      <c r="P462" s="345"/>
      <c r="Q462" s="345"/>
      <c r="R462" s="345">
        <v>0</v>
      </c>
      <c r="S462" s="345">
        <v>2.2000000000000002</v>
      </c>
      <c r="T462" s="345">
        <v>471.4</v>
      </c>
      <c r="U462" s="345">
        <v>0</v>
      </c>
      <c r="V462" s="345">
        <v>3.5</v>
      </c>
      <c r="W462" s="345">
        <v>559.79999999999995</v>
      </c>
      <c r="X462" s="345">
        <v>0.5</v>
      </c>
      <c r="Y462" s="345">
        <v>2</v>
      </c>
      <c r="Z462" s="345">
        <v>564.70000000000005</v>
      </c>
      <c r="AA462">
        <f t="shared" si="7"/>
        <v>0.5</v>
      </c>
    </row>
    <row r="463" spans="1:27" ht="28.8" x14ac:dyDescent="0.3">
      <c r="A463" s="345" t="s">
        <v>2135</v>
      </c>
      <c r="B463" s="805"/>
      <c r="C463" s="802"/>
      <c r="D463" s="802"/>
      <c r="E463" s="803"/>
      <c r="F463" s="805">
        <v>7</v>
      </c>
      <c r="G463" s="803"/>
      <c r="H463" s="345">
        <v>580.79999999999995</v>
      </c>
      <c r="I463" s="345">
        <v>0</v>
      </c>
      <c r="J463" s="345">
        <v>4</v>
      </c>
      <c r="K463" s="345">
        <v>568.1</v>
      </c>
      <c r="L463" s="346"/>
      <c r="M463" s="346"/>
      <c r="N463" s="346"/>
      <c r="O463" s="345"/>
      <c r="P463" s="345"/>
      <c r="Q463" s="345"/>
      <c r="R463" s="345">
        <v>0.2</v>
      </c>
      <c r="S463" s="345">
        <v>2.4</v>
      </c>
      <c r="T463" s="345">
        <v>471.6</v>
      </c>
      <c r="U463" s="345">
        <v>0</v>
      </c>
      <c r="V463" s="345">
        <v>3.5</v>
      </c>
      <c r="W463" s="345">
        <v>559.79999999999995</v>
      </c>
      <c r="X463" s="345">
        <v>0</v>
      </c>
      <c r="Y463" s="345">
        <v>2</v>
      </c>
      <c r="Z463" s="345">
        <v>564.70000000000005</v>
      </c>
      <c r="AA463">
        <f t="shared" si="7"/>
        <v>0</v>
      </c>
    </row>
    <row r="464" spans="1:27" ht="28.8" x14ac:dyDescent="0.3">
      <c r="A464" s="345" t="s">
        <v>2136</v>
      </c>
      <c r="B464" s="805"/>
      <c r="C464" s="802"/>
      <c r="D464" s="802"/>
      <c r="E464" s="803"/>
      <c r="F464" s="805">
        <v>7</v>
      </c>
      <c r="G464" s="803"/>
      <c r="H464" s="345">
        <v>580.79999999999995</v>
      </c>
      <c r="I464" s="345">
        <v>0</v>
      </c>
      <c r="J464" s="345">
        <v>4</v>
      </c>
      <c r="K464" s="345">
        <v>568.1</v>
      </c>
      <c r="L464" s="346"/>
      <c r="M464" s="346"/>
      <c r="N464" s="346"/>
      <c r="O464" s="345"/>
      <c r="P464" s="345"/>
      <c r="Q464" s="345"/>
      <c r="R464" s="345">
        <v>0</v>
      </c>
      <c r="S464" s="345">
        <v>2.4</v>
      </c>
      <c r="T464" s="345">
        <v>471.6</v>
      </c>
      <c r="U464" s="345">
        <v>0</v>
      </c>
      <c r="V464" s="345">
        <v>3.5</v>
      </c>
      <c r="W464" s="345">
        <v>559.79999999999995</v>
      </c>
      <c r="X464" s="345">
        <v>0</v>
      </c>
      <c r="Y464" s="345">
        <v>2</v>
      </c>
      <c r="Z464" s="345">
        <v>564.70000000000005</v>
      </c>
      <c r="AA464">
        <f t="shared" si="7"/>
        <v>0</v>
      </c>
    </row>
    <row r="465" spans="1:27" ht="28.8" x14ac:dyDescent="0.3">
      <c r="A465" s="345" t="s">
        <v>2137</v>
      </c>
      <c r="B465" s="805"/>
      <c r="C465" s="802"/>
      <c r="D465" s="802"/>
      <c r="E465" s="803"/>
      <c r="F465" s="805">
        <v>7</v>
      </c>
      <c r="G465" s="803"/>
      <c r="H465" s="345">
        <v>580.79999999999995</v>
      </c>
      <c r="I465" s="345">
        <v>0</v>
      </c>
      <c r="J465" s="345">
        <v>4</v>
      </c>
      <c r="K465" s="345">
        <v>568.1</v>
      </c>
      <c r="L465" s="346"/>
      <c r="M465" s="346"/>
      <c r="N465" s="346"/>
      <c r="O465" s="345"/>
      <c r="P465" s="345"/>
      <c r="Q465" s="345"/>
      <c r="R465" s="345">
        <v>0</v>
      </c>
      <c r="S465" s="345">
        <v>2.4</v>
      </c>
      <c r="T465" s="345">
        <v>471.6</v>
      </c>
      <c r="U465" s="345">
        <v>0</v>
      </c>
      <c r="V465" s="345">
        <v>3.5</v>
      </c>
      <c r="W465" s="345">
        <v>559.79999999999995</v>
      </c>
      <c r="X465" s="345">
        <v>0</v>
      </c>
      <c r="Y465" s="345">
        <v>2</v>
      </c>
      <c r="Z465" s="345">
        <v>564.70000000000005</v>
      </c>
      <c r="AA465">
        <f t="shared" si="7"/>
        <v>0</v>
      </c>
    </row>
    <row r="466" spans="1:27" ht="28.8" x14ac:dyDescent="0.3">
      <c r="A466" s="345" t="s">
        <v>2138</v>
      </c>
      <c r="B466" s="805"/>
      <c r="C466" s="802"/>
      <c r="D466" s="802"/>
      <c r="E466" s="803"/>
      <c r="F466" s="805">
        <v>12</v>
      </c>
      <c r="G466" s="803"/>
      <c r="H466" s="345">
        <v>585.79999999999995</v>
      </c>
      <c r="I466" s="345">
        <v>8.5</v>
      </c>
      <c r="J466" s="345">
        <v>12.5</v>
      </c>
      <c r="K466" s="345">
        <v>576.6</v>
      </c>
      <c r="L466" s="346"/>
      <c r="M466" s="346"/>
      <c r="N466" s="346"/>
      <c r="O466" s="345"/>
      <c r="P466" s="345"/>
      <c r="Q466" s="345"/>
      <c r="R466" s="345">
        <v>2.2000000000000002</v>
      </c>
      <c r="S466" s="345">
        <v>4.5999999999999996</v>
      </c>
      <c r="T466" s="345">
        <v>473.8</v>
      </c>
      <c r="U466" s="345">
        <v>1.5</v>
      </c>
      <c r="V466" s="345">
        <v>5</v>
      </c>
      <c r="W466" s="345">
        <v>561.29999999999995</v>
      </c>
      <c r="X466" s="345">
        <v>2</v>
      </c>
      <c r="Y466" s="345">
        <v>4</v>
      </c>
      <c r="Z466" s="345">
        <v>566.70000000000005</v>
      </c>
      <c r="AA466">
        <f t="shared" si="7"/>
        <v>8.5</v>
      </c>
    </row>
    <row r="467" spans="1:27" ht="28.8" x14ac:dyDescent="0.3">
      <c r="A467" s="345" t="s">
        <v>2139</v>
      </c>
      <c r="B467" s="805"/>
      <c r="C467" s="802"/>
      <c r="D467" s="802"/>
      <c r="E467" s="803"/>
      <c r="F467" s="805">
        <v>12</v>
      </c>
      <c r="G467" s="803"/>
      <c r="H467" s="345">
        <v>585.79999999999995</v>
      </c>
      <c r="I467" s="345">
        <v>0</v>
      </c>
      <c r="J467" s="345">
        <v>12.5</v>
      </c>
      <c r="K467" s="345">
        <v>576.6</v>
      </c>
      <c r="L467" s="346"/>
      <c r="M467" s="346"/>
      <c r="N467" s="346"/>
      <c r="O467" s="345"/>
      <c r="P467" s="345"/>
      <c r="Q467" s="345"/>
      <c r="R467" s="345">
        <v>0.2</v>
      </c>
      <c r="S467" s="345">
        <v>4.8</v>
      </c>
      <c r="T467" s="345">
        <v>474</v>
      </c>
      <c r="U467" s="345">
        <v>0</v>
      </c>
      <c r="V467" s="345">
        <v>5</v>
      </c>
      <c r="W467" s="345">
        <v>561.29999999999995</v>
      </c>
      <c r="X467" s="345">
        <v>0</v>
      </c>
      <c r="Y467" s="345">
        <v>4</v>
      </c>
      <c r="Z467" s="345">
        <v>566.70000000000005</v>
      </c>
      <c r="AA467">
        <f t="shared" si="7"/>
        <v>0</v>
      </c>
    </row>
    <row r="468" spans="1:27" ht="28.8" x14ac:dyDescent="0.3">
      <c r="A468" s="345" t="s">
        <v>2140</v>
      </c>
      <c r="B468" s="805"/>
      <c r="C468" s="802"/>
      <c r="D468" s="802"/>
      <c r="E468" s="803"/>
      <c r="F468" s="805">
        <v>12</v>
      </c>
      <c r="G468" s="803"/>
      <c r="H468" s="345">
        <v>585.79999999999995</v>
      </c>
      <c r="I468" s="345">
        <v>0</v>
      </c>
      <c r="J468" s="345">
        <v>12.5</v>
      </c>
      <c r="K468" s="345">
        <v>576.6</v>
      </c>
      <c r="L468" s="346"/>
      <c r="M468" s="346"/>
      <c r="N468" s="346"/>
      <c r="O468" s="345"/>
      <c r="P468" s="345"/>
      <c r="Q468" s="345"/>
      <c r="R468" s="345">
        <v>0</v>
      </c>
      <c r="S468" s="345">
        <v>4.8</v>
      </c>
      <c r="T468" s="345">
        <v>474</v>
      </c>
      <c r="U468" s="345">
        <v>0</v>
      </c>
      <c r="V468" s="345">
        <v>5</v>
      </c>
      <c r="W468" s="345">
        <v>561.29999999999995</v>
      </c>
      <c r="X468" s="345">
        <v>0</v>
      </c>
      <c r="Y468" s="345">
        <v>4</v>
      </c>
      <c r="Z468" s="345">
        <v>566.70000000000005</v>
      </c>
      <c r="AA468">
        <f t="shared" si="7"/>
        <v>0</v>
      </c>
    </row>
    <row r="469" spans="1:27" ht="28.8" x14ac:dyDescent="0.3">
      <c r="A469" s="345" t="s">
        <v>2141</v>
      </c>
      <c r="B469" s="805"/>
      <c r="C469" s="802"/>
      <c r="D469" s="802"/>
      <c r="E469" s="803"/>
      <c r="F469" s="805">
        <v>15</v>
      </c>
      <c r="G469" s="803"/>
      <c r="H469" s="345">
        <v>588.79999999999995</v>
      </c>
      <c r="I469" s="345">
        <v>2</v>
      </c>
      <c r="J469" s="345">
        <v>14.5</v>
      </c>
      <c r="K469" s="345">
        <v>578.6</v>
      </c>
      <c r="L469" s="346"/>
      <c r="M469" s="346"/>
      <c r="N469" s="346"/>
      <c r="O469" s="345"/>
      <c r="P469" s="345"/>
      <c r="Q469" s="345"/>
      <c r="R469" s="345">
        <v>2.4</v>
      </c>
      <c r="S469" s="345">
        <v>7.2</v>
      </c>
      <c r="T469" s="345">
        <v>476.4</v>
      </c>
      <c r="U469" s="345">
        <v>3</v>
      </c>
      <c r="V469" s="345">
        <v>8</v>
      </c>
      <c r="W469" s="345">
        <v>564.29999999999995</v>
      </c>
      <c r="X469" s="345">
        <v>3.5</v>
      </c>
      <c r="Y469" s="345">
        <v>7.5</v>
      </c>
      <c r="Z469" s="345">
        <v>570.20000000000005</v>
      </c>
      <c r="AA469">
        <f t="shared" si="7"/>
        <v>2</v>
      </c>
    </row>
    <row r="470" spans="1:27" ht="28.8" x14ac:dyDescent="0.3">
      <c r="A470" s="345" t="s">
        <v>2142</v>
      </c>
      <c r="B470" s="805"/>
      <c r="C470" s="802"/>
      <c r="D470" s="802"/>
      <c r="E470" s="803"/>
      <c r="F470" s="805">
        <v>24.5</v>
      </c>
      <c r="G470" s="803"/>
      <c r="H470" s="345">
        <v>598.29999999999995</v>
      </c>
      <c r="I470" s="345">
        <v>10.5</v>
      </c>
      <c r="J470" s="345">
        <v>25</v>
      </c>
      <c r="K470" s="345">
        <v>589.1</v>
      </c>
      <c r="L470" s="346"/>
      <c r="M470" s="346"/>
      <c r="N470" s="346"/>
      <c r="O470" s="345"/>
      <c r="P470" s="345"/>
      <c r="Q470" s="345"/>
      <c r="R470" s="345">
        <v>24.6</v>
      </c>
      <c r="S470" s="345">
        <v>31.8</v>
      </c>
      <c r="T470" s="345">
        <v>501</v>
      </c>
      <c r="U470" s="345">
        <v>27</v>
      </c>
      <c r="V470" s="345">
        <v>35</v>
      </c>
      <c r="W470" s="345">
        <v>591.29999999999995</v>
      </c>
      <c r="X470" s="345">
        <v>25</v>
      </c>
      <c r="Y470" s="345">
        <v>32.5</v>
      </c>
      <c r="Z470" s="345">
        <v>595.20000000000005</v>
      </c>
      <c r="AA470">
        <f t="shared" si="7"/>
        <v>10.5</v>
      </c>
    </row>
    <row r="471" spans="1:27" ht="28.8" x14ac:dyDescent="0.3">
      <c r="A471" s="345" t="s">
        <v>2143</v>
      </c>
      <c r="B471" s="805"/>
      <c r="C471" s="802"/>
      <c r="D471" s="802"/>
      <c r="E471" s="803"/>
      <c r="F471" s="805">
        <v>24.5</v>
      </c>
      <c r="G471" s="803"/>
      <c r="H471" s="345">
        <v>598.29999999999995</v>
      </c>
      <c r="I471" s="345">
        <v>0</v>
      </c>
      <c r="J471" s="345">
        <v>25</v>
      </c>
      <c r="K471" s="345">
        <v>589.1</v>
      </c>
      <c r="L471" s="346"/>
      <c r="M471" s="346"/>
      <c r="N471" s="346"/>
      <c r="O471" s="345"/>
      <c r="P471" s="345"/>
      <c r="Q471" s="345"/>
      <c r="R471" s="345">
        <v>0</v>
      </c>
      <c r="S471" s="345">
        <v>31.8</v>
      </c>
      <c r="T471" s="345">
        <v>501</v>
      </c>
      <c r="U471" s="345">
        <v>0</v>
      </c>
      <c r="V471" s="345">
        <v>35</v>
      </c>
      <c r="W471" s="345">
        <v>591.29999999999995</v>
      </c>
      <c r="X471" s="345">
        <v>0</v>
      </c>
      <c r="Y471" s="345">
        <v>32.5</v>
      </c>
      <c r="Z471" s="345">
        <v>595.20000000000005</v>
      </c>
      <c r="AA471">
        <f t="shared" si="7"/>
        <v>0</v>
      </c>
    </row>
    <row r="472" spans="1:27" ht="28.8" x14ac:dyDescent="0.3">
      <c r="A472" s="345" t="s">
        <v>2144</v>
      </c>
      <c r="B472" s="805"/>
      <c r="C472" s="802"/>
      <c r="D472" s="802"/>
      <c r="E472" s="803"/>
      <c r="F472" s="805">
        <v>24.5</v>
      </c>
      <c r="G472" s="803"/>
      <c r="H472" s="345">
        <v>598.29999999999995</v>
      </c>
      <c r="I472" s="345">
        <v>0</v>
      </c>
      <c r="J472" s="345">
        <v>25</v>
      </c>
      <c r="K472" s="345">
        <v>589.1</v>
      </c>
      <c r="L472" s="346"/>
      <c r="M472" s="346"/>
      <c r="N472" s="346"/>
      <c r="O472" s="345"/>
      <c r="P472" s="345"/>
      <c r="Q472" s="345"/>
      <c r="R472" s="345">
        <v>0</v>
      </c>
      <c r="S472" s="345">
        <v>31.8</v>
      </c>
      <c r="T472" s="345">
        <v>501</v>
      </c>
      <c r="U472" s="345">
        <v>0</v>
      </c>
      <c r="V472" s="345">
        <v>35</v>
      </c>
      <c r="W472" s="345">
        <v>591.29999999999995</v>
      </c>
      <c r="X472" s="345">
        <v>0</v>
      </c>
      <c r="Y472" s="345">
        <v>32.5</v>
      </c>
      <c r="Z472" s="345">
        <v>595.20000000000005</v>
      </c>
      <c r="AA472">
        <f t="shared" si="7"/>
        <v>0</v>
      </c>
    </row>
    <row r="473" spans="1:27" ht="28.8" x14ac:dyDescent="0.3">
      <c r="A473" s="345" t="s">
        <v>2145</v>
      </c>
      <c r="B473" s="805"/>
      <c r="C473" s="802"/>
      <c r="D473" s="802"/>
      <c r="E473" s="803"/>
      <c r="F473" s="805">
        <v>24.5</v>
      </c>
      <c r="G473" s="803"/>
      <c r="H473" s="345">
        <v>598.29999999999995</v>
      </c>
      <c r="I473" s="345">
        <v>0</v>
      </c>
      <c r="J473" s="345">
        <v>25</v>
      </c>
      <c r="K473" s="345">
        <v>589.1</v>
      </c>
      <c r="L473" s="346"/>
      <c r="M473" s="346"/>
      <c r="N473" s="346"/>
      <c r="O473" s="345"/>
      <c r="P473" s="345"/>
      <c r="Q473" s="345"/>
      <c r="R473" s="345">
        <v>0</v>
      </c>
      <c r="S473" s="345">
        <v>31.8</v>
      </c>
      <c r="T473" s="345">
        <v>501</v>
      </c>
      <c r="U473" s="345">
        <v>0</v>
      </c>
      <c r="V473" s="345">
        <v>35</v>
      </c>
      <c r="W473" s="345">
        <v>591.29999999999995</v>
      </c>
      <c r="X473" s="345">
        <v>0</v>
      </c>
      <c r="Y473" s="345">
        <v>32.5</v>
      </c>
      <c r="Z473" s="345">
        <v>595.20000000000005</v>
      </c>
      <c r="AA473">
        <f t="shared" si="7"/>
        <v>0</v>
      </c>
    </row>
    <row r="474" spans="1:27" ht="28.8" x14ac:dyDescent="0.3">
      <c r="A474" s="345" t="s">
        <v>2146</v>
      </c>
      <c r="B474" s="805"/>
      <c r="C474" s="802"/>
      <c r="D474" s="802"/>
      <c r="E474" s="803"/>
      <c r="F474" s="805">
        <v>60</v>
      </c>
      <c r="G474" s="803"/>
      <c r="H474" s="345">
        <v>633.79999999999995</v>
      </c>
      <c r="I474" s="345">
        <v>10.5</v>
      </c>
      <c r="J474" s="345">
        <v>35.5</v>
      </c>
      <c r="K474" s="345">
        <v>599.6</v>
      </c>
      <c r="L474" s="346"/>
      <c r="M474" s="346"/>
      <c r="N474" s="346"/>
      <c r="O474" s="345"/>
      <c r="P474" s="345"/>
      <c r="Q474" s="345"/>
      <c r="R474" s="345">
        <v>33.4</v>
      </c>
      <c r="S474" s="345">
        <v>65.2</v>
      </c>
      <c r="T474" s="345">
        <v>534.4</v>
      </c>
      <c r="U474" s="345">
        <v>37</v>
      </c>
      <c r="V474" s="345">
        <v>72</v>
      </c>
      <c r="W474" s="345">
        <v>628.29999999999995</v>
      </c>
      <c r="X474" s="345">
        <v>25</v>
      </c>
      <c r="Y474" s="345">
        <v>57.5</v>
      </c>
      <c r="Z474" s="345">
        <v>620.20000000000005</v>
      </c>
      <c r="AA474">
        <f t="shared" si="7"/>
        <v>10.5</v>
      </c>
    </row>
    <row r="475" spans="1:27" ht="28.8" x14ac:dyDescent="0.3">
      <c r="A475" s="345" t="s">
        <v>2147</v>
      </c>
      <c r="B475" s="805"/>
      <c r="C475" s="802"/>
      <c r="D475" s="802"/>
      <c r="E475" s="803"/>
      <c r="F475" s="805">
        <v>68</v>
      </c>
      <c r="G475" s="803"/>
      <c r="H475" s="345">
        <v>641.79999999999995</v>
      </c>
      <c r="I475" s="345">
        <v>15.5</v>
      </c>
      <c r="J475" s="345">
        <v>51</v>
      </c>
      <c r="K475" s="345">
        <v>615.1</v>
      </c>
      <c r="L475" s="346"/>
      <c r="M475" s="346"/>
      <c r="N475" s="346"/>
      <c r="O475" s="345"/>
      <c r="P475" s="345"/>
      <c r="Q475" s="345"/>
      <c r="R475" s="345">
        <v>6.2</v>
      </c>
      <c r="S475" s="345">
        <v>71.400000000000006</v>
      </c>
      <c r="T475" s="345">
        <v>540.6</v>
      </c>
      <c r="U475" s="345">
        <v>7</v>
      </c>
      <c r="V475" s="345">
        <v>79</v>
      </c>
      <c r="W475" s="345">
        <v>635.29999999999995</v>
      </c>
      <c r="X475" s="345">
        <v>6</v>
      </c>
      <c r="Y475" s="345">
        <v>63.5</v>
      </c>
      <c r="Z475" s="345">
        <v>626.20000000000005</v>
      </c>
      <c r="AA475">
        <f t="shared" si="7"/>
        <v>15.5</v>
      </c>
    </row>
    <row r="476" spans="1:27" ht="28.8" x14ac:dyDescent="0.3">
      <c r="A476" s="345" t="s">
        <v>2148</v>
      </c>
      <c r="B476" s="805"/>
      <c r="C476" s="802"/>
      <c r="D476" s="802"/>
      <c r="E476" s="803"/>
      <c r="F476" s="805">
        <v>84</v>
      </c>
      <c r="G476" s="803"/>
      <c r="H476" s="345">
        <v>657.8</v>
      </c>
      <c r="I476" s="345">
        <v>13.5</v>
      </c>
      <c r="J476" s="345">
        <v>64.5</v>
      </c>
      <c r="K476" s="345">
        <v>628.6</v>
      </c>
      <c r="L476" s="346"/>
      <c r="M476" s="346"/>
      <c r="N476" s="346"/>
      <c r="O476" s="345"/>
      <c r="P476" s="345"/>
      <c r="Q476" s="345"/>
      <c r="R476" s="345">
        <v>15.8</v>
      </c>
      <c r="S476" s="345">
        <v>87.2</v>
      </c>
      <c r="T476" s="345">
        <v>556.4</v>
      </c>
      <c r="U476" s="345">
        <v>16.5</v>
      </c>
      <c r="V476" s="345">
        <v>95.5</v>
      </c>
      <c r="W476" s="345">
        <v>651.79999999999995</v>
      </c>
      <c r="X476" s="345">
        <v>17</v>
      </c>
      <c r="Y476" s="345">
        <v>80.5</v>
      </c>
      <c r="Z476" s="345">
        <v>643.20000000000005</v>
      </c>
      <c r="AA476">
        <f t="shared" si="7"/>
        <v>13.5</v>
      </c>
    </row>
    <row r="477" spans="1:27" ht="28.8" x14ac:dyDescent="0.3">
      <c r="A477" s="345" t="s">
        <v>2149</v>
      </c>
      <c r="B477" s="805"/>
      <c r="C477" s="802"/>
      <c r="D477" s="802"/>
      <c r="E477" s="803"/>
      <c r="F477" s="805">
        <v>89.5</v>
      </c>
      <c r="G477" s="803"/>
      <c r="H477" s="345">
        <v>663.3</v>
      </c>
      <c r="I477" s="345">
        <v>7</v>
      </c>
      <c r="J477" s="345">
        <v>71.5</v>
      </c>
      <c r="K477" s="345">
        <v>635.6</v>
      </c>
      <c r="L477" s="346"/>
      <c r="M477" s="346"/>
      <c r="N477" s="346"/>
      <c r="O477" s="345"/>
      <c r="P477" s="345"/>
      <c r="Q477" s="345"/>
      <c r="R477" s="345">
        <v>3</v>
      </c>
      <c r="S477" s="345">
        <v>90.2</v>
      </c>
      <c r="T477" s="345">
        <v>559.4</v>
      </c>
      <c r="U477" s="345">
        <v>4.5</v>
      </c>
      <c r="V477" s="345">
        <v>100</v>
      </c>
      <c r="W477" s="345">
        <v>656.3</v>
      </c>
      <c r="X477" s="345">
        <v>5</v>
      </c>
      <c r="Y477" s="345">
        <v>85.5</v>
      </c>
      <c r="Z477" s="345">
        <v>648.20000000000005</v>
      </c>
      <c r="AA477">
        <f t="shared" si="7"/>
        <v>7</v>
      </c>
    </row>
    <row r="478" spans="1:27" ht="28.8" x14ac:dyDescent="0.3">
      <c r="A478" s="345" t="s">
        <v>2150</v>
      </c>
      <c r="B478" s="805"/>
      <c r="C478" s="802"/>
      <c r="D478" s="802"/>
      <c r="E478" s="803"/>
      <c r="F478" s="805">
        <v>99.5</v>
      </c>
      <c r="G478" s="803"/>
      <c r="H478" s="345">
        <v>673.3</v>
      </c>
      <c r="I478" s="345">
        <v>10.5</v>
      </c>
      <c r="J478" s="345">
        <v>82</v>
      </c>
      <c r="K478" s="345">
        <v>646.1</v>
      </c>
      <c r="L478" s="346"/>
      <c r="M478" s="346"/>
      <c r="N478" s="346"/>
      <c r="O478" s="345"/>
      <c r="P478" s="345"/>
      <c r="Q478" s="345"/>
      <c r="R478" s="345">
        <v>32.4</v>
      </c>
      <c r="S478" s="345">
        <v>122.6</v>
      </c>
      <c r="T478" s="345">
        <v>591.79999999999995</v>
      </c>
      <c r="U478" s="345">
        <v>34.5</v>
      </c>
      <c r="V478" s="345">
        <v>134.5</v>
      </c>
      <c r="W478" s="345">
        <v>690.8</v>
      </c>
      <c r="X478" s="345">
        <v>36</v>
      </c>
      <c r="Y478" s="345">
        <v>121.5</v>
      </c>
      <c r="Z478" s="345">
        <v>684.2</v>
      </c>
      <c r="AA478">
        <f t="shared" si="7"/>
        <v>10.5</v>
      </c>
    </row>
    <row r="479" spans="1:27" ht="28.8" x14ac:dyDescent="0.3">
      <c r="A479" s="345" t="s">
        <v>2151</v>
      </c>
      <c r="B479" s="805"/>
      <c r="C479" s="802"/>
      <c r="D479" s="802"/>
      <c r="E479" s="803"/>
      <c r="F479" s="805">
        <v>103.5</v>
      </c>
      <c r="G479" s="803"/>
      <c r="H479" s="345">
        <v>677.3</v>
      </c>
      <c r="I479" s="345">
        <v>4.5</v>
      </c>
      <c r="J479" s="345">
        <v>86.5</v>
      </c>
      <c r="K479" s="345">
        <v>650.6</v>
      </c>
      <c r="L479" s="346"/>
      <c r="M479" s="346"/>
      <c r="N479" s="346"/>
      <c r="O479" s="345"/>
      <c r="P479" s="345"/>
      <c r="Q479" s="345"/>
      <c r="R479" s="345">
        <v>0</v>
      </c>
      <c r="S479" s="345">
        <v>122.6</v>
      </c>
      <c r="T479" s="345">
        <v>591.79999999999995</v>
      </c>
      <c r="U479" s="345">
        <v>5.5</v>
      </c>
      <c r="V479" s="345">
        <v>140</v>
      </c>
      <c r="W479" s="345">
        <v>696.3</v>
      </c>
      <c r="X479" s="345">
        <v>7</v>
      </c>
      <c r="Y479" s="345">
        <v>128.5</v>
      </c>
      <c r="Z479" s="345">
        <v>691.2</v>
      </c>
      <c r="AA479">
        <f t="shared" si="7"/>
        <v>4.5</v>
      </c>
    </row>
    <row r="480" spans="1:27" ht="28.8" x14ac:dyDescent="0.3">
      <c r="A480" s="345" t="s">
        <v>2152</v>
      </c>
      <c r="B480" s="805"/>
      <c r="C480" s="802"/>
      <c r="D480" s="802"/>
      <c r="E480" s="803"/>
      <c r="F480" s="805">
        <v>105.5</v>
      </c>
      <c r="G480" s="803"/>
      <c r="H480" s="345">
        <v>679.3</v>
      </c>
      <c r="I480" s="345">
        <v>6</v>
      </c>
      <c r="J480" s="345">
        <v>92.5</v>
      </c>
      <c r="K480" s="345">
        <v>656.6</v>
      </c>
      <c r="L480" s="346"/>
      <c r="M480" s="346"/>
      <c r="N480" s="346"/>
      <c r="O480" s="345"/>
      <c r="P480" s="345"/>
      <c r="Q480" s="345"/>
      <c r="R480" s="345">
        <v>0</v>
      </c>
      <c r="S480" s="345">
        <v>122.6</v>
      </c>
      <c r="T480" s="345">
        <v>591.79999999999995</v>
      </c>
      <c r="U480" s="345">
        <v>6.5</v>
      </c>
      <c r="V480" s="345">
        <v>146.5</v>
      </c>
      <c r="W480" s="345">
        <v>702.8</v>
      </c>
      <c r="X480" s="345">
        <v>8</v>
      </c>
      <c r="Y480" s="345">
        <v>136.5</v>
      </c>
      <c r="Z480" s="345">
        <v>699.2</v>
      </c>
      <c r="AA480">
        <f t="shared" si="7"/>
        <v>6</v>
      </c>
    </row>
    <row r="481" spans="1:27" ht="28.8" x14ac:dyDescent="0.3">
      <c r="A481" s="345" t="s">
        <v>2153</v>
      </c>
      <c r="B481" s="805"/>
      <c r="C481" s="802"/>
      <c r="D481" s="802"/>
      <c r="E481" s="803"/>
      <c r="F481" s="805">
        <v>111.5</v>
      </c>
      <c r="G481" s="803"/>
      <c r="H481" s="345">
        <v>685.3</v>
      </c>
      <c r="I481" s="345">
        <v>8</v>
      </c>
      <c r="J481" s="345">
        <v>100.5</v>
      </c>
      <c r="K481" s="345">
        <v>664.6</v>
      </c>
      <c r="L481" s="346"/>
      <c r="M481" s="346"/>
      <c r="N481" s="346"/>
      <c r="O481" s="345"/>
      <c r="P481" s="345"/>
      <c r="Q481" s="345"/>
      <c r="R481" s="345">
        <v>0</v>
      </c>
      <c r="S481" s="345">
        <v>122.6</v>
      </c>
      <c r="T481" s="345">
        <v>591.79999999999995</v>
      </c>
      <c r="U481" s="345">
        <v>6</v>
      </c>
      <c r="V481" s="345">
        <v>152.5</v>
      </c>
      <c r="W481" s="345">
        <v>708.8</v>
      </c>
      <c r="X481" s="345">
        <v>6</v>
      </c>
      <c r="Y481" s="345">
        <v>142.5</v>
      </c>
      <c r="Z481" s="345">
        <v>705.2</v>
      </c>
      <c r="AA481">
        <f t="shared" si="7"/>
        <v>8</v>
      </c>
    </row>
    <row r="482" spans="1:27" ht="28.8" x14ac:dyDescent="0.3">
      <c r="A482" s="345" t="s">
        <v>2154</v>
      </c>
      <c r="B482" s="805"/>
      <c r="C482" s="802"/>
      <c r="D482" s="802"/>
      <c r="E482" s="803"/>
      <c r="F482" s="805">
        <v>112.5</v>
      </c>
      <c r="G482" s="803"/>
      <c r="H482" s="345">
        <v>686.3</v>
      </c>
      <c r="I482" s="345">
        <v>1.5</v>
      </c>
      <c r="J482" s="345">
        <v>102</v>
      </c>
      <c r="K482" s="345">
        <v>666.1</v>
      </c>
      <c r="L482" s="346"/>
      <c r="M482" s="346"/>
      <c r="N482" s="346"/>
      <c r="O482" s="345"/>
      <c r="P482" s="345"/>
      <c r="Q482" s="345"/>
      <c r="R482" s="345">
        <v>0.4</v>
      </c>
      <c r="S482" s="345">
        <v>123</v>
      </c>
      <c r="T482" s="345">
        <v>592.20000000000005</v>
      </c>
      <c r="U482" s="345">
        <v>0.5</v>
      </c>
      <c r="V482" s="345">
        <v>153</v>
      </c>
      <c r="W482" s="345">
        <v>709.3</v>
      </c>
      <c r="X482" s="345">
        <v>0.5</v>
      </c>
      <c r="Y482" s="345">
        <v>143</v>
      </c>
      <c r="Z482" s="345">
        <v>705.7</v>
      </c>
      <c r="AA482">
        <f t="shared" si="7"/>
        <v>1.5</v>
      </c>
    </row>
    <row r="483" spans="1:27" ht="28.8" x14ac:dyDescent="0.3">
      <c r="A483" s="345" t="s">
        <v>2155</v>
      </c>
      <c r="B483" s="805"/>
      <c r="C483" s="802"/>
      <c r="D483" s="802"/>
      <c r="E483" s="803"/>
      <c r="F483" s="805">
        <v>112.5</v>
      </c>
      <c r="G483" s="803"/>
      <c r="H483" s="345">
        <v>686.3</v>
      </c>
      <c r="I483" s="345">
        <v>0.5</v>
      </c>
      <c r="J483" s="345">
        <v>102.5</v>
      </c>
      <c r="K483" s="345">
        <v>666.6</v>
      </c>
      <c r="L483" s="346"/>
      <c r="M483" s="346"/>
      <c r="N483" s="346"/>
      <c r="O483" s="345"/>
      <c r="P483" s="345"/>
      <c r="Q483" s="345"/>
      <c r="R483" s="345">
        <v>0.4</v>
      </c>
      <c r="S483" s="345">
        <v>123.4</v>
      </c>
      <c r="T483" s="345">
        <v>592.6</v>
      </c>
      <c r="U483" s="345">
        <v>0.5</v>
      </c>
      <c r="V483" s="345">
        <v>153.5</v>
      </c>
      <c r="W483" s="345">
        <v>709.8</v>
      </c>
      <c r="X483" s="345">
        <v>0</v>
      </c>
      <c r="Y483" s="345">
        <v>143</v>
      </c>
      <c r="Z483" s="345">
        <v>705.7</v>
      </c>
      <c r="AA483">
        <f t="shared" si="7"/>
        <v>0.5</v>
      </c>
    </row>
    <row r="484" spans="1:27" ht="28.8" x14ac:dyDescent="0.3">
      <c r="A484" s="345" t="s">
        <v>2156</v>
      </c>
      <c r="B484" s="805"/>
      <c r="C484" s="802"/>
      <c r="D484" s="802"/>
      <c r="E484" s="803"/>
      <c r="F484" s="805">
        <v>115.5</v>
      </c>
      <c r="G484" s="803"/>
      <c r="H484" s="345">
        <v>689.3</v>
      </c>
      <c r="I484" s="345">
        <v>4</v>
      </c>
      <c r="J484" s="345">
        <v>106.5</v>
      </c>
      <c r="K484" s="345">
        <v>670.6</v>
      </c>
      <c r="L484" s="346"/>
      <c r="M484" s="346"/>
      <c r="N484" s="346"/>
      <c r="O484" s="345"/>
      <c r="P484" s="345"/>
      <c r="Q484" s="345"/>
      <c r="R484" s="345">
        <v>0</v>
      </c>
      <c r="S484" s="345">
        <v>123.4</v>
      </c>
      <c r="T484" s="345">
        <v>592.6</v>
      </c>
      <c r="U484" s="345">
        <v>5</v>
      </c>
      <c r="V484" s="345">
        <v>158.5</v>
      </c>
      <c r="W484" s="345">
        <v>714.8</v>
      </c>
      <c r="X484" s="345">
        <v>5</v>
      </c>
      <c r="Y484" s="345">
        <v>148</v>
      </c>
      <c r="Z484" s="345">
        <v>710.7</v>
      </c>
      <c r="AA484">
        <f t="shared" si="7"/>
        <v>4</v>
      </c>
    </row>
    <row r="485" spans="1:27" ht="28.8" x14ac:dyDescent="0.3">
      <c r="A485" s="345" t="s">
        <v>2157</v>
      </c>
      <c r="B485" s="805"/>
      <c r="C485" s="802"/>
      <c r="D485" s="802"/>
      <c r="E485" s="803"/>
      <c r="F485" s="805">
        <v>134.5</v>
      </c>
      <c r="G485" s="803"/>
      <c r="H485" s="345">
        <v>708.3</v>
      </c>
      <c r="I485" s="345">
        <v>17.5</v>
      </c>
      <c r="J485" s="345">
        <v>124</v>
      </c>
      <c r="K485" s="345">
        <v>688.1</v>
      </c>
      <c r="L485" s="346"/>
      <c r="M485" s="346"/>
      <c r="N485" s="346"/>
      <c r="O485" s="345"/>
      <c r="P485" s="345"/>
      <c r="Q485" s="345"/>
      <c r="R485" s="345">
        <v>13.6</v>
      </c>
      <c r="S485" s="345">
        <v>137</v>
      </c>
      <c r="T485" s="345">
        <v>606.20000000000005</v>
      </c>
      <c r="U485" s="345">
        <v>17.5</v>
      </c>
      <c r="V485" s="345">
        <v>176</v>
      </c>
      <c r="W485" s="345">
        <v>732.3</v>
      </c>
      <c r="X485" s="345">
        <v>22</v>
      </c>
      <c r="Y485" s="345">
        <v>170</v>
      </c>
      <c r="Z485" s="345">
        <v>732.7</v>
      </c>
      <c r="AA485">
        <f t="shared" si="7"/>
        <v>17.5</v>
      </c>
    </row>
    <row r="486" spans="1:27" ht="28.8" x14ac:dyDescent="0.3">
      <c r="A486" s="345" t="s">
        <v>2158</v>
      </c>
      <c r="B486" s="805"/>
      <c r="C486" s="802"/>
      <c r="D486" s="802"/>
      <c r="E486" s="803"/>
      <c r="F486" s="805">
        <v>150.5</v>
      </c>
      <c r="G486" s="803"/>
      <c r="H486" s="345">
        <v>724.3</v>
      </c>
      <c r="I486" s="345">
        <v>12.5</v>
      </c>
      <c r="J486" s="345">
        <v>136.5</v>
      </c>
      <c r="K486" s="345">
        <v>700.6</v>
      </c>
      <c r="L486" s="346"/>
      <c r="M486" s="346"/>
      <c r="N486" s="346"/>
      <c r="O486" s="345"/>
      <c r="P486" s="345"/>
      <c r="Q486" s="345"/>
      <c r="R486" s="345">
        <v>15.2</v>
      </c>
      <c r="S486" s="345">
        <v>152.19999999999999</v>
      </c>
      <c r="T486" s="345">
        <v>621.4</v>
      </c>
      <c r="U486" s="345">
        <v>17</v>
      </c>
      <c r="V486" s="345">
        <v>193</v>
      </c>
      <c r="W486" s="345">
        <v>749.3</v>
      </c>
      <c r="X486" s="345">
        <v>16</v>
      </c>
      <c r="Y486" s="345">
        <v>186</v>
      </c>
      <c r="Z486" s="345">
        <v>748.7</v>
      </c>
      <c r="AA486">
        <f t="shared" si="7"/>
        <v>12.5</v>
      </c>
    </row>
    <row r="487" spans="1:27" s="362" customFormat="1" ht="28.8" x14ac:dyDescent="0.3">
      <c r="A487" s="359" t="s">
        <v>2159</v>
      </c>
      <c r="B487" s="811"/>
      <c r="C487" s="812"/>
      <c r="D487" s="812"/>
      <c r="E487" s="813"/>
      <c r="F487" s="811">
        <v>163</v>
      </c>
      <c r="G487" s="813"/>
      <c r="H487" s="359">
        <v>736.8</v>
      </c>
      <c r="I487" s="359">
        <v>11</v>
      </c>
      <c r="J487" s="359">
        <v>147.5</v>
      </c>
      <c r="K487" s="359">
        <v>711.6</v>
      </c>
      <c r="L487" s="359"/>
      <c r="M487" s="359"/>
      <c r="N487" s="359"/>
      <c r="O487" s="359"/>
      <c r="P487" s="359"/>
      <c r="Q487" s="359"/>
      <c r="R487" s="359">
        <v>8.8000000000000007</v>
      </c>
      <c r="S487" s="359">
        <v>161</v>
      </c>
      <c r="T487" s="359">
        <v>630.20000000000005</v>
      </c>
      <c r="U487" s="359">
        <v>11.5</v>
      </c>
      <c r="V487" s="359">
        <v>204.5</v>
      </c>
      <c r="W487" s="359">
        <v>760.8</v>
      </c>
      <c r="X487" s="359">
        <v>11.5</v>
      </c>
      <c r="Y487" s="359">
        <v>197.5</v>
      </c>
      <c r="Z487" s="359">
        <v>760.2</v>
      </c>
      <c r="AA487" s="362">
        <f t="shared" si="7"/>
        <v>11</v>
      </c>
    </row>
    <row r="488" spans="1:27" ht="28.8" x14ac:dyDescent="0.3">
      <c r="A488" s="345" t="s">
        <v>2160</v>
      </c>
      <c r="B488" s="805"/>
      <c r="C488" s="802"/>
      <c r="D488" s="802"/>
      <c r="E488" s="803"/>
      <c r="F488" s="805">
        <v>0</v>
      </c>
      <c r="G488" s="803"/>
      <c r="H488" s="345">
        <v>736.8</v>
      </c>
      <c r="I488" s="345">
        <v>0</v>
      </c>
      <c r="J488" s="345">
        <v>0</v>
      </c>
      <c r="K488" s="345">
        <v>711.6</v>
      </c>
      <c r="L488" s="346"/>
      <c r="M488" s="346"/>
      <c r="N488" s="346"/>
      <c r="O488" s="345"/>
      <c r="P488" s="345"/>
      <c r="Q488" s="345"/>
      <c r="R488" s="345">
        <v>0</v>
      </c>
      <c r="S488" s="345">
        <v>0</v>
      </c>
      <c r="T488" s="345">
        <v>630.20000000000005</v>
      </c>
      <c r="U488" s="345">
        <v>0</v>
      </c>
      <c r="V488" s="345">
        <v>0</v>
      </c>
      <c r="W488" s="345">
        <v>760.8</v>
      </c>
      <c r="X488" s="345">
        <v>0</v>
      </c>
      <c r="Y488" s="345">
        <v>0</v>
      </c>
      <c r="Z488" s="345">
        <v>760.2</v>
      </c>
      <c r="AA488">
        <f t="shared" si="7"/>
        <v>0</v>
      </c>
    </row>
    <row r="489" spans="1:27" ht="28.8" x14ac:dyDescent="0.3">
      <c r="A489" s="345" t="s">
        <v>2161</v>
      </c>
      <c r="B489" s="805"/>
      <c r="C489" s="802"/>
      <c r="D489" s="802"/>
      <c r="E489" s="803"/>
      <c r="F489" s="805">
        <v>5</v>
      </c>
      <c r="G489" s="803"/>
      <c r="H489" s="345">
        <v>741.8</v>
      </c>
      <c r="I489" s="345">
        <v>4</v>
      </c>
      <c r="J489" s="345">
        <v>4</v>
      </c>
      <c r="K489" s="345">
        <v>715.6</v>
      </c>
      <c r="L489" s="346"/>
      <c r="M489" s="346"/>
      <c r="N489" s="346"/>
      <c r="O489" s="345"/>
      <c r="P489" s="345"/>
      <c r="Q489" s="345"/>
      <c r="R489" s="345">
        <v>4</v>
      </c>
      <c r="S489" s="345">
        <v>4</v>
      </c>
      <c r="T489" s="345">
        <v>634.20000000000005</v>
      </c>
      <c r="U489" s="345">
        <v>4.5</v>
      </c>
      <c r="V489" s="345">
        <v>4.5</v>
      </c>
      <c r="W489" s="345">
        <v>765.3</v>
      </c>
      <c r="X489" s="345">
        <v>4.5</v>
      </c>
      <c r="Y489" s="345">
        <v>4.5</v>
      </c>
      <c r="Z489" s="345">
        <v>764.7</v>
      </c>
      <c r="AA489">
        <f t="shared" si="7"/>
        <v>4</v>
      </c>
    </row>
    <row r="490" spans="1:27" ht="28.8" x14ac:dyDescent="0.3">
      <c r="A490" s="345" t="s">
        <v>2162</v>
      </c>
      <c r="B490" s="805"/>
      <c r="C490" s="802"/>
      <c r="D490" s="802"/>
      <c r="E490" s="803"/>
      <c r="F490" s="805">
        <v>5</v>
      </c>
      <c r="G490" s="803"/>
      <c r="H490" s="345">
        <v>741.8</v>
      </c>
      <c r="I490" s="345">
        <v>0</v>
      </c>
      <c r="J490" s="345">
        <v>4</v>
      </c>
      <c r="K490" s="345">
        <v>715.6</v>
      </c>
      <c r="L490" s="346"/>
      <c r="M490" s="346"/>
      <c r="N490" s="346"/>
      <c r="O490" s="345"/>
      <c r="P490" s="345"/>
      <c r="Q490" s="345"/>
      <c r="R490" s="345">
        <v>0</v>
      </c>
      <c r="S490" s="345">
        <v>4</v>
      </c>
      <c r="T490" s="345">
        <v>634.20000000000005</v>
      </c>
      <c r="U490" s="345">
        <v>0</v>
      </c>
      <c r="V490" s="345">
        <v>4.5</v>
      </c>
      <c r="W490" s="345">
        <v>765.3</v>
      </c>
      <c r="X490" s="345">
        <v>0</v>
      </c>
      <c r="Y490" s="345">
        <v>4.5</v>
      </c>
      <c r="Z490" s="345">
        <v>764.7</v>
      </c>
      <c r="AA490">
        <f t="shared" si="7"/>
        <v>0</v>
      </c>
    </row>
    <row r="491" spans="1:27" ht="28.8" x14ac:dyDescent="0.3">
      <c r="A491" s="345" t="s">
        <v>2163</v>
      </c>
      <c r="B491" s="805"/>
      <c r="C491" s="802"/>
      <c r="D491" s="802"/>
      <c r="E491" s="803"/>
      <c r="F491" s="805">
        <v>5</v>
      </c>
      <c r="G491" s="803"/>
      <c r="H491" s="345">
        <v>741.8</v>
      </c>
      <c r="I491" s="345">
        <v>0</v>
      </c>
      <c r="J491" s="345">
        <v>4</v>
      </c>
      <c r="K491" s="345">
        <v>715.6</v>
      </c>
      <c r="L491" s="346"/>
      <c r="M491" s="346"/>
      <c r="N491" s="346"/>
      <c r="O491" s="345"/>
      <c r="P491" s="345"/>
      <c r="Q491" s="345"/>
      <c r="R491" s="345">
        <v>0.2</v>
      </c>
      <c r="S491" s="345">
        <v>4.2</v>
      </c>
      <c r="T491" s="345">
        <v>634.4</v>
      </c>
      <c r="U491" s="345">
        <v>0</v>
      </c>
      <c r="V491" s="345">
        <v>4.5</v>
      </c>
      <c r="W491" s="345">
        <v>765.3</v>
      </c>
      <c r="X491" s="345"/>
      <c r="Y491" s="345"/>
      <c r="Z491" s="345"/>
      <c r="AA491">
        <f t="shared" si="7"/>
        <v>0</v>
      </c>
    </row>
    <row r="492" spans="1:27" ht="28.8" x14ac:dyDescent="0.3">
      <c r="A492" s="345" t="s">
        <v>2164</v>
      </c>
      <c r="B492" s="805"/>
      <c r="C492" s="802"/>
      <c r="D492" s="802"/>
      <c r="E492" s="803"/>
      <c r="F492" s="805">
        <v>9.5</v>
      </c>
      <c r="G492" s="803"/>
      <c r="H492" s="345">
        <v>746.3</v>
      </c>
      <c r="I492" s="345">
        <v>4</v>
      </c>
      <c r="J492" s="345">
        <v>8</v>
      </c>
      <c r="K492" s="345">
        <v>719.6</v>
      </c>
      <c r="L492" s="346"/>
      <c r="M492" s="346"/>
      <c r="N492" s="346"/>
      <c r="O492" s="345"/>
      <c r="P492" s="345"/>
      <c r="Q492" s="345"/>
      <c r="R492" s="345">
        <v>3.2</v>
      </c>
      <c r="S492" s="345">
        <v>7.4</v>
      </c>
      <c r="T492" s="345">
        <v>637.6</v>
      </c>
      <c r="U492" s="345">
        <v>4</v>
      </c>
      <c r="V492" s="345">
        <v>8.5</v>
      </c>
      <c r="W492" s="345">
        <v>769.3</v>
      </c>
      <c r="X492" s="345">
        <v>4</v>
      </c>
      <c r="Y492" s="345">
        <v>8.5</v>
      </c>
      <c r="Z492" s="345">
        <v>768.7</v>
      </c>
      <c r="AA492">
        <f t="shared" si="7"/>
        <v>4</v>
      </c>
    </row>
    <row r="493" spans="1:27" x14ac:dyDescent="0.3">
      <c r="A493" s="345"/>
      <c r="B493" s="345"/>
      <c r="C493" s="341"/>
      <c r="D493" s="341"/>
      <c r="E493" s="342"/>
      <c r="F493" s="345"/>
      <c r="G493" s="342"/>
      <c r="H493" s="345"/>
      <c r="I493" s="345"/>
      <c r="J493" s="345"/>
      <c r="K493" s="345"/>
      <c r="L493" s="346"/>
      <c r="M493" s="346"/>
      <c r="N493" s="346"/>
      <c r="O493" s="345"/>
      <c r="P493" s="345"/>
      <c r="Q493" s="345"/>
      <c r="R493" s="345"/>
      <c r="S493" s="345"/>
      <c r="T493" s="345"/>
      <c r="U493" s="345"/>
      <c r="V493" s="345"/>
      <c r="W493" s="345"/>
      <c r="X493" s="345"/>
      <c r="Y493" s="345"/>
      <c r="Z493" s="345"/>
    </row>
    <row r="494" spans="1:27" ht="28.8" x14ac:dyDescent="0.3">
      <c r="A494" s="345" t="s">
        <v>2165</v>
      </c>
      <c r="B494" s="805"/>
      <c r="C494" s="802"/>
      <c r="D494" s="802"/>
      <c r="E494" s="803"/>
      <c r="F494" s="805">
        <v>24.5</v>
      </c>
      <c r="G494" s="803"/>
      <c r="H494" s="345">
        <v>761.3</v>
      </c>
      <c r="I494" s="345">
        <v>7.5</v>
      </c>
      <c r="J494" s="345">
        <v>15.5</v>
      </c>
      <c r="K494" s="345">
        <v>727.1</v>
      </c>
      <c r="L494" s="346"/>
      <c r="M494" s="346"/>
      <c r="N494" s="346"/>
      <c r="O494" s="345"/>
      <c r="P494" s="345"/>
      <c r="Q494" s="345"/>
      <c r="R494" s="345">
        <v>8</v>
      </c>
      <c r="S494" s="345">
        <v>15.4</v>
      </c>
      <c r="T494" s="345">
        <v>645.6</v>
      </c>
      <c r="U494" s="345">
        <v>10.5</v>
      </c>
      <c r="V494" s="345">
        <v>19</v>
      </c>
      <c r="W494" s="345">
        <v>779.8</v>
      </c>
      <c r="X494" s="345">
        <v>7.5</v>
      </c>
      <c r="Y494" s="345">
        <v>16</v>
      </c>
      <c r="Z494" s="345">
        <v>776.2</v>
      </c>
      <c r="AA494">
        <f t="shared" si="7"/>
        <v>7.5</v>
      </c>
    </row>
    <row r="495" spans="1:27" ht="28.8" x14ac:dyDescent="0.3">
      <c r="A495" s="345" t="s">
        <v>2166</v>
      </c>
      <c r="B495" s="805"/>
      <c r="C495" s="802"/>
      <c r="D495" s="802"/>
      <c r="E495" s="803"/>
      <c r="F495" s="805">
        <v>24.5</v>
      </c>
      <c r="G495" s="803"/>
      <c r="H495" s="345">
        <v>761.3</v>
      </c>
      <c r="I495" s="345">
        <v>0</v>
      </c>
      <c r="J495" s="345">
        <v>15.5</v>
      </c>
      <c r="K495" s="345">
        <v>727.1</v>
      </c>
      <c r="L495" s="346"/>
      <c r="M495" s="346"/>
      <c r="N495" s="346"/>
      <c r="O495" s="345"/>
      <c r="P495" s="345"/>
      <c r="Q495" s="345"/>
      <c r="R495" s="345">
        <v>0</v>
      </c>
      <c r="S495" s="345">
        <v>15.4</v>
      </c>
      <c r="T495" s="345">
        <v>645.6</v>
      </c>
      <c r="U495" s="345">
        <v>0</v>
      </c>
      <c r="V495" s="345">
        <v>19</v>
      </c>
      <c r="W495" s="345">
        <v>779.8</v>
      </c>
      <c r="X495" s="345">
        <v>0</v>
      </c>
      <c r="Y495" s="345">
        <v>16</v>
      </c>
      <c r="Z495" s="345">
        <v>776.2</v>
      </c>
      <c r="AA495">
        <f t="shared" si="7"/>
        <v>0</v>
      </c>
    </row>
    <row r="496" spans="1:27" ht="28.8" x14ac:dyDescent="0.3">
      <c r="A496" s="345" t="s">
        <v>2167</v>
      </c>
      <c r="B496" s="805"/>
      <c r="C496" s="802"/>
      <c r="D496" s="802"/>
      <c r="E496" s="803"/>
      <c r="F496" s="805">
        <v>27</v>
      </c>
      <c r="G496" s="803"/>
      <c r="H496" s="345">
        <v>763.8</v>
      </c>
      <c r="I496" s="345">
        <v>5.5</v>
      </c>
      <c r="J496" s="345">
        <v>21</v>
      </c>
      <c r="K496" s="345">
        <v>732.6</v>
      </c>
      <c r="L496" s="346"/>
      <c r="M496" s="346"/>
      <c r="N496" s="346"/>
      <c r="O496" s="345"/>
      <c r="P496" s="345"/>
      <c r="Q496" s="345"/>
      <c r="R496" s="345">
        <v>1.4</v>
      </c>
      <c r="S496" s="345">
        <v>16.8</v>
      </c>
      <c r="T496" s="345">
        <v>647</v>
      </c>
      <c r="U496" s="345">
        <v>2.5</v>
      </c>
      <c r="V496" s="345">
        <v>21.5</v>
      </c>
      <c r="W496" s="345">
        <v>782.3</v>
      </c>
      <c r="X496" s="345">
        <v>2.5</v>
      </c>
      <c r="Y496" s="345">
        <v>18.5</v>
      </c>
      <c r="Z496" s="345">
        <v>778.7</v>
      </c>
      <c r="AA496">
        <f t="shared" si="7"/>
        <v>5.5</v>
      </c>
    </row>
    <row r="497" spans="1:27" ht="28.8" x14ac:dyDescent="0.3">
      <c r="A497" s="345" t="s">
        <v>2168</v>
      </c>
      <c r="B497" s="805"/>
      <c r="C497" s="802"/>
      <c r="D497" s="802"/>
      <c r="E497" s="803"/>
      <c r="F497" s="805">
        <v>27</v>
      </c>
      <c r="G497" s="803"/>
      <c r="H497" s="345">
        <v>763.8</v>
      </c>
      <c r="I497" s="345">
        <v>1.5</v>
      </c>
      <c r="J497" s="345">
        <v>22.5</v>
      </c>
      <c r="K497" s="345">
        <v>734.1</v>
      </c>
      <c r="L497" s="346"/>
      <c r="M497" s="346"/>
      <c r="N497" s="346"/>
      <c r="O497" s="345"/>
      <c r="P497" s="345"/>
      <c r="Q497" s="345"/>
      <c r="R497" s="345">
        <v>0.4</v>
      </c>
      <c r="S497" s="345">
        <v>17.2</v>
      </c>
      <c r="T497" s="345">
        <v>647.4</v>
      </c>
      <c r="U497" s="345">
        <v>0.5</v>
      </c>
      <c r="V497" s="345">
        <v>22</v>
      </c>
      <c r="W497" s="345">
        <v>782.8</v>
      </c>
      <c r="X497" s="345">
        <v>0.5</v>
      </c>
      <c r="Y497" s="345">
        <v>19</v>
      </c>
      <c r="Z497" s="345">
        <v>779.2</v>
      </c>
      <c r="AA497">
        <f t="shared" si="7"/>
        <v>1.5</v>
      </c>
    </row>
    <row r="498" spans="1:27" ht="28.8" x14ac:dyDescent="0.3">
      <c r="A498" s="345" t="s">
        <v>2169</v>
      </c>
      <c r="B498" s="805"/>
      <c r="C498" s="802"/>
      <c r="D498" s="802"/>
      <c r="E498" s="803"/>
      <c r="F498" s="805">
        <v>34</v>
      </c>
      <c r="G498" s="803"/>
      <c r="H498" s="345">
        <v>770.8</v>
      </c>
      <c r="I498" s="345">
        <v>6</v>
      </c>
      <c r="J498" s="345">
        <v>28.5</v>
      </c>
      <c r="K498" s="345">
        <v>740.1</v>
      </c>
      <c r="L498" s="346"/>
      <c r="M498" s="346"/>
      <c r="N498" s="346"/>
      <c r="O498" s="345"/>
      <c r="P498" s="345"/>
      <c r="Q498" s="345"/>
      <c r="R498" s="345">
        <v>5</v>
      </c>
      <c r="S498" s="345">
        <v>22.2</v>
      </c>
      <c r="T498" s="345">
        <v>652.4</v>
      </c>
      <c r="U498" s="345">
        <v>5.5</v>
      </c>
      <c r="V498" s="345">
        <v>27.5</v>
      </c>
      <c r="W498" s="345">
        <v>788.3</v>
      </c>
      <c r="X498" s="345">
        <v>7</v>
      </c>
      <c r="Y498" s="345">
        <v>26</v>
      </c>
      <c r="Z498" s="345">
        <v>786.2</v>
      </c>
      <c r="AA498">
        <f t="shared" si="7"/>
        <v>6</v>
      </c>
    </row>
    <row r="499" spans="1:27" ht="28.8" x14ac:dyDescent="0.3">
      <c r="A499" s="345" t="s">
        <v>2170</v>
      </c>
      <c r="B499" s="805"/>
      <c r="C499" s="802"/>
      <c r="D499" s="802"/>
      <c r="E499" s="803"/>
      <c r="F499" s="805">
        <v>59.5</v>
      </c>
      <c r="G499" s="803"/>
      <c r="H499" s="345">
        <v>796.3</v>
      </c>
      <c r="I499" s="345">
        <v>27.5</v>
      </c>
      <c r="J499" s="345">
        <v>56</v>
      </c>
      <c r="K499" s="345">
        <v>767.6</v>
      </c>
      <c r="L499" s="346"/>
      <c r="M499" s="346"/>
      <c r="N499" s="346"/>
      <c r="O499" s="345"/>
      <c r="P499" s="345"/>
      <c r="Q499" s="345"/>
      <c r="R499" s="345">
        <v>26</v>
      </c>
      <c r="S499" s="345">
        <v>48.2</v>
      </c>
      <c r="T499" s="345">
        <v>678.4</v>
      </c>
      <c r="U499" s="345">
        <v>30.5</v>
      </c>
      <c r="V499" s="345">
        <v>58</v>
      </c>
      <c r="W499" s="345">
        <v>818.8</v>
      </c>
      <c r="X499" s="345">
        <v>29.5</v>
      </c>
      <c r="Y499" s="345">
        <v>55.5</v>
      </c>
      <c r="Z499" s="345">
        <v>815.7</v>
      </c>
      <c r="AA499">
        <f t="shared" si="7"/>
        <v>27.5</v>
      </c>
    </row>
    <row r="500" spans="1:27" ht="28.8" x14ac:dyDescent="0.3">
      <c r="A500" s="345" t="s">
        <v>2171</v>
      </c>
      <c r="B500" s="805"/>
      <c r="C500" s="802"/>
      <c r="D500" s="802"/>
      <c r="E500" s="803"/>
      <c r="F500" s="805">
        <v>59.8</v>
      </c>
      <c r="G500" s="803"/>
      <c r="H500" s="345">
        <v>796.6</v>
      </c>
      <c r="I500" s="345">
        <v>0.5</v>
      </c>
      <c r="J500" s="345">
        <v>56.5</v>
      </c>
      <c r="K500" s="345">
        <v>768.1</v>
      </c>
      <c r="L500" s="346"/>
      <c r="M500" s="346"/>
      <c r="N500" s="346"/>
      <c r="O500" s="345"/>
      <c r="P500" s="345"/>
      <c r="Q500" s="345"/>
      <c r="R500" s="345">
        <v>0</v>
      </c>
      <c r="S500" s="345">
        <v>48.2</v>
      </c>
      <c r="T500" s="345">
        <v>678.4</v>
      </c>
      <c r="U500" s="345">
        <v>0.5</v>
      </c>
      <c r="V500" s="345">
        <v>58.5</v>
      </c>
      <c r="W500" s="345">
        <v>819.3</v>
      </c>
      <c r="X500" s="345">
        <v>0.4</v>
      </c>
      <c r="Y500" s="345">
        <v>55.9</v>
      </c>
      <c r="Z500" s="345">
        <v>816.1</v>
      </c>
      <c r="AA500">
        <f t="shared" si="7"/>
        <v>0.5</v>
      </c>
    </row>
    <row r="501" spans="1:27" ht="28.8" x14ac:dyDescent="0.3">
      <c r="A501" s="345" t="s">
        <v>2172</v>
      </c>
      <c r="B501" s="805"/>
      <c r="C501" s="802"/>
      <c r="D501" s="802"/>
      <c r="E501" s="803"/>
      <c r="F501" s="805">
        <v>60</v>
      </c>
      <c r="G501" s="803"/>
      <c r="H501" s="345">
        <v>796.8</v>
      </c>
      <c r="I501" s="345">
        <v>0.3</v>
      </c>
      <c r="J501" s="345">
        <v>56.8</v>
      </c>
      <c r="K501" s="345">
        <v>768.4</v>
      </c>
      <c r="L501" s="346"/>
      <c r="M501" s="346"/>
      <c r="N501" s="346"/>
      <c r="O501" s="345"/>
      <c r="P501" s="345"/>
      <c r="Q501" s="345"/>
      <c r="R501" s="345">
        <v>0</v>
      </c>
      <c r="S501" s="345">
        <v>48.2</v>
      </c>
      <c r="T501" s="345">
        <v>678.4</v>
      </c>
      <c r="U501" s="345">
        <v>0.4</v>
      </c>
      <c r="V501" s="345">
        <v>58.9</v>
      </c>
      <c r="W501" s="345">
        <v>819.7</v>
      </c>
      <c r="X501" s="345">
        <v>0.3</v>
      </c>
      <c r="Y501" s="345">
        <v>56.2</v>
      </c>
      <c r="Z501" s="345">
        <v>816.4</v>
      </c>
      <c r="AA501">
        <f t="shared" si="7"/>
        <v>0.3</v>
      </c>
    </row>
    <row r="502" spans="1:27" ht="28.8" x14ac:dyDescent="0.3">
      <c r="A502" s="345" t="s">
        <v>2173</v>
      </c>
      <c r="B502" s="805"/>
      <c r="C502" s="802"/>
      <c r="D502" s="802"/>
      <c r="E502" s="803"/>
      <c r="F502" s="805">
        <v>61.5</v>
      </c>
      <c r="G502" s="803"/>
      <c r="H502" s="345">
        <v>798.3</v>
      </c>
      <c r="I502" s="345">
        <v>1.5</v>
      </c>
      <c r="J502" s="345">
        <v>58.3</v>
      </c>
      <c r="K502" s="345">
        <v>769.9</v>
      </c>
      <c r="L502" s="346"/>
      <c r="M502" s="346"/>
      <c r="N502" s="346"/>
      <c r="O502" s="345"/>
      <c r="P502" s="345"/>
      <c r="Q502" s="345"/>
      <c r="R502" s="345">
        <v>1.6</v>
      </c>
      <c r="S502" s="345">
        <v>49.8</v>
      </c>
      <c r="T502" s="345">
        <v>680</v>
      </c>
      <c r="U502" s="345">
        <v>1.5</v>
      </c>
      <c r="V502" s="345">
        <v>60.4</v>
      </c>
      <c r="W502" s="345">
        <v>821.2</v>
      </c>
      <c r="X502" s="345">
        <v>1.5</v>
      </c>
      <c r="Y502" s="345">
        <v>57.7</v>
      </c>
      <c r="Z502" s="345">
        <v>817.9</v>
      </c>
      <c r="AA502">
        <f t="shared" si="7"/>
        <v>1.5</v>
      </c>
    </row>
    <row r="503" spans="1:27" ht="28.8" x14ac:dyDescent="0.3">
      <c r="A503" s="345" t="s">
        <v>2174</v>
      </c>
      <c r="B503" s="805"/>
      <c r="C503" s="802"/>
      <c r="D503" s="802"/>
      <c r="E503" s="803"/>
      <c r="F503" s="805">
        <v>62</v>
      </c>
      <c r="G503" s="803"/>
      <c r="H503" s="345">
        <v>798.8</v>
      </c>
      <c r="I503" s="345">
        <v>0.5</v>
      </c>
      <c r="J503" s="345">
        <v>58.8</v>
      </c>
      <c r="K503" s="345">
        <v>770.4</v>
      </c>
      <c r="L503" s="346"/>
      <c r="M503" s="346"/>
      <c r="N503" s="346"/>
      <c r="O503" s="345"/>
      <c r="P503" s="345"/>
      <c r="Q503" s="345"/>
      <c r="R503" s="345">
        <v>0.4</v>
      </c>
      <c r="S503" s="345">
        <v>50.2</v>
      </c>
      <c r="T503" s="345">
        <v>680.4</v>
      </c>
      <c r="U503" s="345">
        <v>0.5</v>
      </c>
      <c r="V503" s="345">
        <v>60.9</v>
      </c>
      <c r="W503" s="345">
        <v>821.7</v>
      </c>
      <c r="X503" s="345">
        <v>0.5</v>
      </c>
      <c r="Y503" s="345">
        <v>58.2</v>
      </c>
      <c r="Z503" s="345">
        <v>818.4</v>
      </c>
      <c r="AA503">
        <f t="shared" si="7"/>
        <v>0.5</v>
      </c>
    </row>
    <row r="504" spans="1:27" ht="28.8" x14ac:dyDescent="0.3">
      <c r="A504" s="345" t="s">
        <v>2175</v>
      </c>
      <c r="B504" s="805"/>
      <c r="C504" s="802"/>
      <c r="D504" s="802"/>
      <c r="E504" s="803"/>
      <c r="F504" s="805">
        <v>63.5</v>
      </c>
      <c r="G504" s="803"/>
      <c r="H504" s="345">
        <v>800.3</v>
      </c>
      <c r="I504" s="345">
        <v>0.5</v>
      </c>
      <c r="J504" s="345">
        <v>59.3</v>
      </c>
      <c r="K504" s="345">
        <v>770.9</v>
      </c>
      <c r="L504" s="346"/>
      <c r="M504" s="346"/>
      <c r="N504" s="346"/>
      <c r="O504" s="345"/>
      <c r="P504" s="345"/>
      <c r="Q504" s="345"/>
      <c r="R504" s="345">
        <v>0.4</v>
      </c>
      <c r="S504" s="345">
        <v>50.6</v>
      </c>
      <c r="T504" s="345">
        <v>680.8</v>
      </c>
      <c r="U504" s="345">
        <v>0.5</v>
      </c>
      <c r="V504" s="345">
        <v>61.4</v>
      </c>
      <c r="W504" s="345">
        <v>822.2</v>
      </c>
      <c r="X504" s="345">
        <v>0.5</v>
      </c>
      <c r="Y504" s="345">
        <v>58.7</v>
      </c>
      <c r="Z504" s="345">
        <v>818.9</v>
      </c>
      <c r="AA504">
        <f t="shared" si="7"/>
        <v>0.5</v>
      </c>
    </row>
    <row r="505" spans="1:27" ht="28.8" x14ac:dyDescent="0.3">
      <c r="A505" s="345" t="s">
        <v>2176</v>
      </c>
      <c r="B505" s="805"/>
      <c r="C505" s="802"/>
      <c r="D505" s="802"/>
      <c r="E505" s="803"/>
      <c r="F505" s="805">
        <v>63.5</v>
      </c>
      <c r="G505" s="803"/>
      <c r="H505" s="345">
        <v>800.3</v>
      </c>
      <c r="I505" s="345">
        <v>0</v>
      </c>
      <c r="J505" s="345">
        <v>59.3</v>
      </c>
      <c r="K505" s="345">
        <v>770.9</v>
      </c>
      <c r="L505" s="346"/>
      <c r="M505" s="346"/>
      <c r="N505" s="346"/>
      <c r="O505" s="345"/>
      <c r="P505" s="345"/>
      <c r="Q505" s="345"/>
      <c r="R505" s="345">
        <v>0</v>
      </c>
      <c r="S505" s="345">
        <v>50.6</v>
      </c>
      <c r="T505" s="345">
        <v>680.8</v>
      </c>
      <c r="U505" s="345">
        <v>0.2</v>
      </c>
      <c r="V505" s="345">
        <v>61.6</v>
      </c>
      <c r="W505" s="345">
        <v>822.4</v>
      </c>
      <c r="X505" s="345">
        <v>0</v>
      </c>
      <c r="Y505" s="345">
        <v>58.7</v>
      </c>
      <c r="Z505" s="345">
        <v>818.9</v>
      </c>
      <c r="AA505">
        <f t="shared" si="7"/>
        <v>0</v>
      </c>
    </row>
    <row r="506" spans="1:27" ht="28.8" x14ac:dyDescent="0.3">
      <c r="A506" s="345" t="s">
        <v>2177</v>
      </c>
      <c r="B506" s="805"/>
      <c r="C506" s="802"/>
      <c r="D506" s="802"/>
      <c r="E506" s="803"/>
      <c r="F506" s="805">
        <v>63.9</v>
      </c>
      <c r="G506" s="803"/>
      <c r="H506" s="345">
        <v>800.7</v>
      </c>
      <c r="I506" s="345">
        <v>0.5</v>
      </c>
      <c r="J506" s="345">
        <v>59.8</v>
      </c>
      <c r="K506" s="345">
        <v>771.4</v>
      </c>
      <c r="L506" s="346"/>
      <c r="M506" s="346"/>
      <c r="N506" s="346"/>
      <c r="O506" s="345"/>
      <c r="P506" s="345"/>
      <c r="Q506" s="345"/>
      <c r="R506" s="345">
        <v>0.4</v>
      </c>
      <c r="S506" s="345">
        <v>51</v>
      </c>
      <c r="T506" s="345">
        <v>681.2</v>
      </c>
      <c r="U506" s="345">
        <v>0.5</v>
      </c>
      <c r="V506" s="345">
        <v>62.1</v>
      </c>
      <c r="W506" s="345">
        <v>822.9</v>
      </c>
      <c r="X506" s="345">
        <v>0.4</v>
      </c>
      <c r="Y506" s="345">
        <v>59.1</v>
      </c>
      <c r="Z506" s="345">
        <v>819.3</v>
      </c>
      <c r="AA506">
        <f t="shared" si="7"/>
        <v>0.5</v>
      </c>
    </row>
    <row r="507" spans="1:27" ht="28.8" x14ac:dyDescent="0.3">
      <c r="A507" s="345" t="s">
        <v>2178</v>
      </c>
      <c r="B507" s="805"/>
      <c r="C507" s="802"/>
      <c r="D507" s="802"/>
      <c r="E507" s="803"/>
      <c r="F507" s="805">
        <v>63.9</v>
      </c>
      <c r="G507" s="803"/>
      <c r="H507" s="345">
        <v>800.7</v>
      </c>
      <c r="I507" s="345">
        <v>0</v>
      </c>
      <c r="J507" s="345">
        <v>59.8</v>
      </c>
      <c r="K507" s="345">
        <v>771.4</v>
      </c>
      <c r="L507" s="346"/>
      <c r="M507" s="346"/>
      <c r="N507" s="346"/>
      <c r="O507" s="345"/>
      <c r="P507" s="345"/>
      <c r="Q507" s="345"/>
      <c r="R507" s="345">
        <v>0</v>
      </c>
      <c r="S507" s="345">
        <v>51</v>
      </c>
      <c r="T507" s="345">
        <v>681.2</v>
      </c>
      <c r="U507" s="345">
        <v>0</v>
      </c>
      <c r="V507" s="345">
        <v>62.1</v>
      </c>
      <c r="W507" s="345">
        <v>822.9</v>
      </c>
      <c r="X507" s="345">
        <v>0</v>
      </c>
      <c r="Y507" s="345">
        <v>59.1</v>
      </c>
      <c r="Z507" s="345">
        <v>819.3</v>
      </c>
      <c r="AA507">
        <f t="shared" si="7"/>
        <v>0</v>
      </c>
    </row>
    <row r="508" spans="1:27" ht="28.8" x14ac:dyDescent="0.3">
      <c r="A508" s="345" t="s">
        <v>2179</v>
      </c>
      <c r="B508" s="805"/>
      <c r="C508" s="802"/>
      <c r="D508" s="802"/>
      <c r="E508" s="803"/>
      <c r="F508" s="805">
        <v>65.400000000000006</v>
      </c>
      <c r="G508" s="803"/>
      <c r="H508" s="345">
        <v>802.2</v>
      </c>
      <c r="I508" s="345">
        <v>1</v>
      </c>
      <c r="J508" s="345">
        <v>60.8</v>
      </c>
      <c r="K508" s="345">
        <v>772.4</v>
      </c>
      <c r="L508" s="346"/>
      <c r="M508" s="346"/>
      <c r="N508" s="346"/>
      <c r="O508" s="345"/>
      <c r="P508" s="345"/>
      <c r="Q508" s="345"/>
      <c r="R508" s="345">
        <v>0.4</v>
      </c>
      <c r="S508" s="345">
        <v>51.4</v>
      </c>
      <c r="T508" s="345">
        <v>681.6</v>
      </c>
      <c r="U508" s="345">
        <v>1</v>
      </c>
      <c r="V508" s="345">
        <v>63.1</v>
      </c>
      <c r="W508" s="345">
        <v>823.9</v>
      </c>
      <c r="X508" s="345">
        <v>1</v>
      </c>
      <c r="Y508" s="345">
        <v>60.1</v>
      </c>
      <c r="Z508" s="345">
        <v>820.3</v>
      </c>
      <c r="AA508">
        <f t="shared" si="7"/>
        <v>1</v>
      </c>
    </row>
    <row r="509" spans="1:27" ht="28.8" x14ac:dyDescent="0.3">
      <c r="A509" s="345" t="s">
        <v>2180</v>
      </c>
      <c r="B509" s="805"/>
      <c r="C509" s="802"/>
      <c r="D509" s="802"/>
      <c r="E509" s="803"/>
      <c r="F509" s="805">
        <v>93.9</v>
      </c>
      <c r="G509" s="803"/>
      <c r="H509" s="345">
        <v>830.7</v>
      </c>
      <c r="I509" s="345">
        <v>31.5</v>
      </c>
      <c r="J509" s="345">
        <v>92.3</v>
      </c>
      <c r="K509" s="345">
        <v>803.9</v>
      </c>
      <c r="L509" s="346"/>
      <c r="M509" s="346"/>
      <c r="N509" s="346"/>
      <c r="O509" s="345"/>
      <c r="P509" s="345"/>
      <c r="Q509" s="345"/>
      <c r="R509" s="345">
        <v>35.6</v>
      </c>
      <c r="S509" s="345">
        <v>87</v>
      </c>
      <c r="T509" s="345">
        <v>717.2</v>
      </c>
      <c r="U509" s="345">
        <v>31.5</v>
      </c>
      <c r="V509" s="345">
        <v>94.6</v>
      </c>
      <c r="W509" s="345">
        <v>855.4</v>
      </c>
      <c r="X509" s="345">
        <v>27</v>
      </c>
      <c r="Y509" s="345">
        <v>87.1</v>
      </c>
      <c r="Z509" s="345">
        <v>847.3</v>
      </c>
      <c r="AA509">
        <f t="shared" si="7"/>
        <v>31.5</v>
      </c>
    </row>
    <row r="510" spans="1:27" ht="28.8" x14ac:dyDescent="0.3">
      <c r="A510" s="345" t="s">
        <v>2181</v>
      </c>
      <c r="B510" s="805"/>
      <c r="C510" s="802"/>
      <c r="D510" s="802"/>
      <c r="E510" s="803"/>
      <c r="F510" s="805">
        <v>94.9</v>
      </c>
      <c r="G510" s="803"/>
      <c r="H510" s="345">
        <v>831.7</v>
      </c>
      <c r="I510" s="345">
        <v>0.5</v>
      </c>
      <c r="J510" s="345">
        <v>92.8</v>
      </c>
      <c r="K510" s="345">
        <v>804.4</v>
      </c>
      <c r="L510" s="346"/>
      <c r="M510" s="346"/>
      <c r="N510" s="346"/>
      <c r="O510" s="345"/>
      <c r="P510" s="345"/>
      <c r="Q510" s="345"/>
      <c r="R510" s="345">
        <v>0.4</v>
      </c>
      <c r="S510" s="345">
        <v>87.4</v>
      </c>
      <c r="T510" s="345">
        <v>717.6</v>
      </c>
      <c r="U510" s="345">
        <v>1</v>
      </c>
      <c r="V510" s="345">
        <v>95.6</v>
      </c>
      <c r="W510" s="345">
        <v>856.4</v>
      </c>
      <c r="X510" s="345">
        <v>1</v>
      </c>
      <c r="Y510" s="345">
        <v>88.1</v>
      </c>
      <c r="Z510" s="345">
        <v>848.3</v>
      </c>
      <c r="AA510">
        <f t="shared" si="7"/>
        <v>0.5</v>
      </c>
    </row>
    <row r="511" spans="1:27" ht="28.8" x14ac:dyDescent="0.3">
      <c r="A511" s="345" t="s">
        <v>2182</v>
      </c>
      <c r="B511" s="805"/>
      <c r="C511" s="802"/>
      <c r="D511" s="802"/>
      <c r="E511" s="803"/>
      <c r="F511" s="805">
        <v>95.9</v>
      </c>
      <c r="G511" s="803"/>
      <c r="H511" s="345">
        <v>832.7</v>
      </c>
      <c r="I511" s="345">
        <v>1</v>
      </c>
      <c r="J511" s="345">
        <v>93.8</v>
      </c>
      <c r="K511" s="345">
        <v>805.4</v>
      </c>
      <c r="L511" s="346"/>
      <c r="M511" s="346"/>
      <c r="N511" s="346"/>
      <c r="O511" s="345"/>
      <c r="P511" s="345"/>
      <c r="Q511" s="345"/>
      <c r="R511" s="345">
        <v>1.2</v>
      </c>
      <c r="S511" s="345">
        <v>88.6</v>
      </c>
      <c r="T511" s="345">
        <v>718.8</v>
      </c>
      <c r="U511" s="345">
        <v>1.5</v>
      </c>
      <c r="V511" s="345">
        <v>97.1</v>
      </c>
      <c r="W511" s="345">
        <v>857.9</v>
      </c>
      <c r="X511" s="345">
        <v>1</v>
      </c>
      <c r="Y511" s="345">
        <v>89.1</v>
      </c>
      <c r="Z511" s="345">
        <v>849.3</v>
      </c>
      <c r="AA511">
        <f t="shared" si="7"/>
        <v>1</v>
      </c>
    </row>
    <row r="512" spans="1:27" ht="28.8" x14ac:dyDescent="0.3">
      <c r="A512" s="345" t="s">
        <v>2183</v>
      </c>
      <c r="B512" s="805"/>
      <c r="C512" s="802"/>
      <c r="D512" s="802"/>
      <c r="E512" s="803"/>
      <c r="F512" s="805">
        <v>95.9</v>
      </c>
      <c r="G512" s="803"/>
      <c r="H512" s="345">
        <v>832.7</v>
      </c>
      <c r="I512" s="345">
        <v>0</v>
      </c>
      <c r="J512" s="345">
        <v>93.8</v>
      </c>
      <c r="K512" s="345">
        <v>805.4</v>
      </c>
      <c r="L512" s="346"/>
      <c r="M512" s="346"/>
      <c r="N512" s="346"/>
      <c r="O512" s="345"/>
      <c r="P512" s="345"/>
      <c r="Q512" s="345"/>
      <c r="R512" s="345">
        <v>0.2</v>
      </c>
      <c r="S512" s="345">
        <v>88.8</v>
      </c>
      <c r="T512" s="345">
        <v>719</v>
      </c>
      <c r="U512" s="345">
        <v>0.5</v>
      </c>
      <c r="V512" s="345">
        <v>97.6</v>
      </c>
      <c r="W512" s="345">
        <v>858.4</v>
      </c>
      <c r="X512" s="345">
        <v>0</v>
      </c>
      <c r="Y512" s="345">
        <v>89.1</v>
      </c>
      <c r="Z512" s="345">
        <v>849.3</v>
      </c>
      <c r="AA512">
        <f t="shared" si="7"/>
        <v>0</v>
      </c>
    </row>
    <row r="513" spans="1:27" ht="28.8" x14ac:dyDescent="0.3">
      <c r="A513" s="345" t="s">
        <v>2184</v>
      </c>
      <c r="B513" s="805"/>
      <c r="C513" s="802"/>
      <c r="D513" s="802"/>
      <c r="E513" s="803"/>
      <c r="F513" s="805">
        <v>95.9</v>
      </c>
      <c r="G513" s="803"/>
      <c r="H513" s="345">
        <v>832.7</v>
      </c>
      <c r="I513" s="345">
        <v>0</v>
      </c>
      <c r="J513" s="345">
        <v>93.8</v>
      </c>
      <c r="K513" s="345">
        <v>805.4</v>
      </c>
      <c r="L513" s="346"/>
      <c r="M513" s="346"/>
      <c r="N513" s="346"/>
      <c r="O513" s="345"/>
      <c r="P513" s="345"/>
      <c r="Q513" s="345"/>
      <c r="R513" s="345">
        <v>0</v>
      </c>
      <c r="S513" s="345">
        <v>88.8</v>
      </c>
      <c r="T513" s="345">
        <v>719</v>
      </c>
      <c r="U513" s="345">
        <v>0</v>
      </c>
      <c r="V513" s="345">
        <v>97.6</v>
      </c>
      <c r="W513" s="345">
        <v>858.4</v>
      </c>
      <c r="X513" s="345">
        <v>0</v>
      </c>
      <c r="Y513" s="345">
        <v>89.1</v>
      </c>
      <c r="Z513" s="345">
        <v>849.3</v>
      </c>
      <c r="AA513">
        <f t="shared" si="7"/>
        <v>0</v>
      </c>
    </row>
    <row r="514" spans="1:27" ht="28.8" x14ac:dyDescent="0.3">
      <c r="A514" s="345" t="s">
        <v>2185</v>
      </c>
      <c r="B514" s="805"/>
      <c r="C514" s="802"/>
      <c r="D514" s="802"/>
      <c r="E514" s="803"/>
      <c r="F514" s="805">
        <v>104.4</v>
      </c>
      <c r="G514" s="803"/>
      <c r="H514" s="345">
        <v>841.2</v>
      </c>
      <c r="I514" s="345">
        <v>5.5</v>
      </c>
      <c r="J514" s="345">
        <v>99.3</v>
      </c>
      <c r="K514" s="345">
        <v>810.9</v>
      </c>
      <c r="L514" s="346"/>
      <c r="M514" s="346"/>
      <c r="N514" s="346"/>
      <c r="O514" s="345"/>
      <c r="P514" s="345"/>
      <c r="Q514" s="345"/>
      <c r="R514" s="345">
        <v>19.399999999999999</v>
      </c>
      <c r="S514" s="345">
        <v>108.2</v>
      </c>
      <c r="T514" s="345">
        <v>738.4</v>
      </c>
      <c r="U514" s="345">
        <v>20</v>
      </c>
      <c r="V514" s="345">
        <v>117.6</v>
      </c>
      <c r="W514" s="345">
        <v>878.4</v>
      </c>
      <c r="X514" s="345">
        <v>24</v>
      </c>
      <c r="Y514" s="345">
        <v>113.1</v>
      </c>
      <c r="Z514" s="345">
        <v>873.3</v>
      </c>
      <c r="AA514">
        <f t="shared" si="7"/>
        <v>5.5</v>
      </c>
    </row>
    <row r="515" spans="1:27" ht="28.8" x14ac:dyDescent="0.3">
      <c r="A515" s="345" t="s">
        <v>2186</v>
      </c>
      <c r="B515" s="805"/>
      <c r="C515" s="802"/>
      <c r="D515" s="802"/>
      <c r="E515" s="803"/>
      <c r="F515" s="805">
        <v>104.4</v>
      </c>
      <c r="G515" s="803"/>
      <c r="H515" s="345">
        <v>841.2</v>
      </c>
      <c r="I515" s="345">
        <v>0</v>
      </c>
      <c r="J515" s="345">
        <v>99.3</v>
      </c>
      <c r="K515" s="345">
        <v>810.9</v>
      </c>
      <c r="L515" s="346"/>
      <c r="M515" s="346"/>
      <c r="N515" s="346"/>
      <c r="O515" s="345"/>
      <c r="P515" s="345"/>
      <c r="Q515" s="345"/>
      <c r="R515" s="345">
        <v>0</v>
      </c>
      <c r="S515" s="345">
        <v>108.2</v>
      </c>
      <c r="T515" s="345">
        <v>738.4</v>
      </c>
      <c r="U515" s="345">
        <v>0</v>
      </c>
      <c r="V515" s="345">
        <v>117.6</v>
      </c>
      <c r="W515" s="345">
        <v>878.4</v>
      </c>
      <c r="X515" s="345">
        <v>0</v>
      </c>
      <c r="Y515" s="345">
        <v>113.1</v>
      </c>
      <c r="Z515" s="345">
        <v>873.3</v>
      </c>
      <c r="AA515">
        <f t="shared" si="7"/>
        <v>0</v>
      </c>
    </row>
    <row r="516" spans="1:27" ht="28.8" x14ac:dyDescent="0.3">
      <c r="A516" s="345" t="s">
        <v>2187</v>
      </c>
      <c r="B516" s="805"/>
      <c r="C516" s="802"/>
      <c r="D516" s="802"/>
      <c r="E516" s="803"/>
      <c r="F516" s="805">
        <v>117.4</v>
      </c>
      <c r="G516" s="803"/>
      <c r="H516" s="345">
        <v>854.2</v>
      </c>
      <c r="I516" s="345">
        <v>6.5</v>
      </c>
      <c r="J516" s="345">
        <v>105.8</v>
      </c>
      <c r="K516" s="345">
        <v>817.4</v>
      </c>
      <c r="L516" s="346"/>
      <c r="M516" s="346"/>
      <c r="N516" s="346"/>
      <c r="O516" s="345"/>
      <c r="P516" s="345"/>
      <c r="Q516" s="345"/>
      <c r="R516" s="345">
        <v>12</v>
      </c>
      <c r="S516" s="345">
        <v>120.2</v>
      </c>
      <c r="T516" s="345">
        <v>750.4</v>
      </c>
      <c r="U516" s="345">
        <v>11</v>
      </c>
      <c r="V516" s="345">
        <v>128.6</v>
      </c>
      <c r="W516" s="345">
        <v>889.4</v>
      </c>
      <c r="X516" s="345">
        <v>10.5</v>
      </c>
      <c r="Y516" s="345">
        <v>123.6</v>
      </c>
      <c r="Z516" s="345">
        <v>883.8</v>
      </c>
      <c r="AA516">
        <f t="shared" si="7"/>
        <v>6.5</v>
      </c>
    </row>
    <row r="517" spans="1:27" ht="28.8" x14ac:dyDescent="0.3">
      <c r="A517" s="345" t="s">
        <v>2188</v>
      </c>
      <c r="B517" s="805"/>
      <c r="C517" s="802"/>
      <c r="D517" s="802"/>
      <c r="E517" s="803"/>
      <c r="F517" s="805">
        <v>121.9</v>
      </c>
      <c r="G517" s="803"/>
      <c r="H517" s="345">
        <v>858.7</v>
      </c>
      <c r="I517" s="345">
        <v>4.5</v>
      </c>
      <c r="J517" s="345">
        <v>110.3</v>
      </c>
      <c r="K517" s="345">
        <v>821.9</v>
      </c>
      <c r="L517" s="346"/>
      <c r="M517" s="346"/>
      <c r="N517" s="346"/>
      <c r="O517" s="345"/>
      <c r="P517" s="345"/>
      <c r="Q517" s="345"/>
      <c r="R517" s="345">
        <v>3.4</v>
      </c>
      <c r="S517" s="345">
        <v>123.6</v>
      </c>
      <c r="T517" s="345">
        <v>753.8</v>
      </c>
      <c r="U517" s="345">
        <v>4.5</v>
      </c>
      <c r="V517" s="345">
        <v>133.1</v>
      </c>
      <c r="W517" s="345">
        <v>893.9</v>
      </c>
      <c r="X517" s="345">
        <v>4</v>
      </c>
      <c r="Y517" s="345">
        <v>127.6</v>
      </c>
      <c r="Z517" s="345">
        <v>887.8</v>
      </c>
      <c r="AA517">
        <f t="shared" si="7"/>
        <v>4.5</v>
      </c>
    </row>
    <row r="518" spans="1:27" s="362" customFormat="1" ht="28.8" x14ac:dyDescent="0.3">
      <c r="A518" s="359" t="s">
        <v>2189</v>
      </c>
      <c r="B518" s="811"/>
      <c r="C518" s="812"/>
      <c r="D518" s="812"/>
      <c r="E518" s="813"/>
      <c r="F518" s="811">
        <v>123.9</v>
      </c>
      <c r="G518" s="813"/>
      <c r="H518" s="359">
        <v>860.7</v>
      </c>
      <c r="I518" s="359">
        <v>1.5</v>
      </c>
      <c r="J518" s="359">
        <v>111.8</v>
      </c>
      <c r="K518" s="359">
        <v>823.4</v>
      </c>
      <c r="L518" s="359"/>
      <c r="M518" s="359"/>
      <c r="N518" s="359"/>
      <c r="O518" s="359"/>
      <c r="P518" s="359"/>
      <c r="Q518" s="359"/>
      <c r="R518" s="359">
        <v>2.4</v>
      </c>
      <c r="S518" s="359">
        <v>126</v>
      </c>
      <c r="T518" s="359">
        <v>756.2</v>
      </c>
      <c r="U518" s="359">
        <v>3.5</v>
      </c>
      <c r="V518" s="359">
        <v>136.6</v>
      </c>
      <c r="W518" s="359">
        <v>897.4</v>
      </c>
      <c r="X518" s="359">
        <v>2</v>
      </c>
      <c r="Y518" s="359">
        <v>129.6</v>
      </c>
      <c r="Z518" s="359">
        <v>889.8</v>
      </c>
      <c r="AA518" s="362">
        <f t="shared" si="7"/>
        <v>1.5</v>
      </c>
    </row>
    <row r="519" spans="1:27" ht="28.8" x14ac:dyDescent="0.3">
      <c r="A519" s="345" t="s">
        <v>2190</v>
      </c>
      <c r="B519" s="805"/>
      <c r="C519" s="802"/>
      <c r="D519" s="802"/>
      <c r="E519" s="803"/>
      <c r="F519" s="805">
        <v>0.2</v>
      </c>
      <c r="G519" s="803"/>
      <c r="H519" s="345">
        <v>860.9</v>
      </c>
      <c r="I519" s="345">
        <v>0</v>
      </c>
      <c r="J519" s="345">
        <v>0</v>
      </c>
      <c r="K519" s="345">
        <v>823.4</v>
      </c>
      <c r="L519" s="346"/>
      <c r="M519" s="346"/>
      <c r="N519" s="346"/>
      <c r="O519" s="345"/>
      <c r="P519" s="345"/>
      <c r="Q519" s="345"/>
      <c r="R519" s="345">
        <v>0.2</v>
      </c>
      <c r="S519" s="345">
        <v>0.2</v>
      </c>
      <c r="T519" s="345">
        <v>756.4</v>
      </c>
      <c r="U519" s="345">
        <v>0.5</v>
      </c>
      <c r="V519" s="345">
        <v>0.5</v>
      </c>
      <c r="W519" s="345">
        <v>897.9</v>
      </c>
      <c r="X519" s="345">
        <v>0.1</v>
      </c>
      <c r="Y519" s="345">
        <v>0.1</v>
      </c>
      <c r="Z519" s="345">
        <v>889.9</v>
      </c>
      <c r="AA519">
        <f t="shared" si="7"/>
        <v>0</v>
      </c>
    </row>
    <row r="520" spans="1:27" ht="28.8" x14ac:dyDescent="0.3">
      <c r="A520" s="345" t="s">
        <v>2191</v>
      </c>
      <c r="B520" s="805"/>
      <c r="C520" s="802"/>
      <c r="D520" s="802"/>
      <c r="E520" s="803"/>
      <c r="F520" s="805">
        <v>0.2</v>
      </c>
      <c r="G520" s="803"/>
      <c r="H520" s="345">
        <v>860.9</v>
      </c>
      <c r="I520" s="345">
        <v>0</v>
      </c>
      <c r="J520" s="345">
        <v>0</v>
      </c>
      <c r="K520" s="345">
        <v>823.4</v>
      </c>
      <c r="L520" s="346"/>
      <c r="M520" s="346"/>
      <c r="N520" s="346"/>
      <c r="O520" s="345"/>
      <c r="P520" s="345"/>
      <c r="Q520" s="345"/>
      <c r="R520" s="345">
        <v>0</v>
      </c>
      <c r="S520" s="345">
        <v>0.2</v>
      </c>
      <c r="T520" s="345">
        <v>756.4</v>
      </c>
      <c r="U520" s="345">
        <v>0</v>
      </c>
      <c r="V520" s="345">
        <v>0.5</v>
      </c>
      <c r="W520" s="345">
        <v>897.9</v>
      </c>
      <c r="X520" s="345">
        <v>0</v>
      </c>
      <c r="Y520" s="345">
        <v>0.1</v>
      </c>
      <c r="Z520" s="345">
        <v>889.9</v>
      </c>
      <c r="AA520">
        <f t="shared" ref="AA520:AA583" si="8">MAX(B520+I520+L520+O520)</f>
        <v>0</v>
      </c>
    </row>
    <row r="521" spans="1:27" ht="28.8" x14ac:dyDescent="0.3">
      <c r="A521" s="345" t="s">
        <v>2192</v>
      </c>
      <c r="B521" s="805"/>
      <c r="C521" s="802"/>
      <c r="D521" s="802"/>
      <c r="E521" s="803"/>
      <c r="F521" s="805">
        <v>37.700000000000003</v>
      </c>
      <c r="G521" s="803"/>
      <c r="H521" s="345">
        <v>898.4</v>
      </c>
      <c r="I521" s="345">
        <v>38</v>
      </c>
      <c r="J521" s="345">
        <v>38</v>
      </c>
      <c r="K521" s="345">
        <v>861.4</v>
      </c>
      <c r="L521" s="346"/>
      <c r="M521" s="346"/>
      <c r="N521" s="346"/>
      <c r="O521" s="345"/>
      <c r="P521" s="345"/>
      <c r="Q521" s="345"/>
      <c r="R521" s="345">
        <v>50.2</v>
      </c>
      <c r="S521" s="345">
        <v>50.4</v>
      </c>
      <c r="T521" s="345">
        <v>806.6</v>
      </c>
      <c r="U521" s="345">
        <v>50</v>
      </c>
      <c r="V521" s="345">
        <v>50.5</v>
      </c>
      <c r="W521" s="345">
        <v>947.9</v>
      </c>
      <c r="X521" s="345">
        <v>33</v>
      </c>
      <c r="Y521" s="345">
        <v>33.1</v>
      </c>
      <c r="Z521" s="345">
        <v>922.9</v>
      </c>
      <c r="AA521">
        <f t="shared" si="8"/>
        <v>38</v>
      </c>
    </row>
    <row r="522" spans="1:27" ht="28.8" x14ac:dyDescent="0.3">
      <c r="A522" s="345" t="s">
        <v>2193</v>
      </c>
      <c r="B522" s="805"/>
      <c r="C522" s="802"/>
      <c r="D522" s="802"/>
      <c r="E522" s="803"/>
      <c r="F522" s="805">
        <v>63.7</v>
      </c>
      <c r="G522" s="803"/>
      <c r="H522" s="345">
        <v>924.4</v>
      </c>
      <c r="I522" s="345">
        <v>28.5</v>
      </c>
      <c r="J522" s="345">
        <v>66.5</v>
      </c>
      <c r="K522" s="345">
        <v>889.9</v>
      </c>
      <c r="L522" s="346"/>
      <c r="M522" s="346"/>
      <c r="N522" s="346"/>
      <c r="O522" s="345"/>
      <c r="P522" s="345"/>
      <c r="Q522" s="345"/>
      <c r="R522" s="345">
        <v>27.6</v>
      </c>
      <c r="S522" s="345">
        <v>78</v>
      </c>
      <c r="T522" s="345">
        <v>834.2</v>
      </c>
      <c r="U522" s="345">
        <v>15.5</v>
      </c>
      <c r="V522" s="345">
        <v>66</v>
      </c>
      <c r="W522" s="345">
        <v>963.4</v>
      </c>
      <c r="X522" s="345">
        <v>25</v>
      </c>
      <c r="Y522" s="345">
        <v>58.1</v>
      </c>
      <c r="Z522" s="345">
        <v>947.9</v>
      </c>
      <c r="AA522">
        <f t="shared" si="8"/>
        <v>28.5</v>
      </c>
    </row>
    <row r="523" spans="1:27" ht="28.8" x14ac:dyDescent="0.3">
      <c r="A523" s="345" t="s">
        <v>2194</v>
      </c>
      <c r="B523" s="805"/>
      <c r="C523" s="802"/>
      <c r="D523" s="802"/>
      <c r="E523" s="803"/>
      <c r="F523" s="805">
        <v>64.2</v>
      </c>
      <c r="G523" s="803"/>
      <c r="H523" s="345">
        <v>924.9</v>
      </c>
      <c r="I523" s="345">
        <v>1</v>
      </c>
      <c r="J523" s="345">
        <v>67.5</v>
      </c>
      <c r="K523" s="345">
        <v>890.9</v>
      </c>
      <c r="L523" s="346"/>
      <c r="M523" s="346"/>
      <c r="N523" s="346"/>
      <c r="O523" s="345"/>
      <c r="P523" s="345"/>
      <c r="Q523" s="345"/>
      <c r="R523" s="345">
        <v>1.4</v>
      </c>
      <c r="S523" s="345">
        <v>79.400000000000006</v>
      </c>
      <c r="T523" s="345">
        <v>835.6</v>
      </c>
      <c r="U523" s="345">
        <v>1.5</v>
      </c>
      <c r="V523" s="345">
        <v>67.5</v>
      </c>
      <c r="W523" s="345">
        <v>964.9</v>
      </c>
      <c r="X523" s="345">
        <v>0.3</v>
      </c>
      <c r="Y523" s="345">
        <v>58.4</v>
      </c>
      <c r="Z523" s="345">
        <v>948.2</v>
      </c>
      <c r="AA523">
        <f t="shared" si="8"/>
        <v>1</v>
      </c>
    </row>
    <row r="524" spans="1:27" ht="28.8" x14ac:dyDescent="0.3">
      <c r="A524" s="345" t="s">
        <v>2195</v>
      </c>
      <c r="B524" s="805"/>
      <c r="C524" s="802"/>
      <c r="D524" s="802"/>
      <c r="E524" s="803"/>
      <c r="F524" s="805">
        <v>66.7</v>
      </c>
      <c r="G524" s="803"/>
      <c r="H524" s="345">
        <v>927.4</v>
      </c>
      <c r="I524" s="345">
        <v>3</v>
      </c>
      <c r="J524" s="345">
        <v>70.5</v>
      </c>
      <c r="K524" s="345">
        <v>893.9</v>
      </c>
      <c r="L524" s="346"/>
      <c r="M524" s="346"/>
      <c r="N524" s="346"/>
      <c r="O524" s="345"/>
      <c r="P524" s="345"/>
      <c r="Q524" s="345"/>
      <c r="R524" s="345">
        <v>3.6</v>
      </c>
      <c r="S524" s="345">
        <v>83</v>
      </c>
      <c r="T524" s="345">
        <v>839.2</v>
      </c>
      <c r="U524" s="345">
        <v>3</v>
      </c>
      <c r="V524" s="345">
        <v>70.5</v>
      </c>
      <c r="W524" s="345">
        <v>967.9</v>
      </c>
      <c r="X524" s="345">
        <v>2.5</v>
      </c>
      <c r="Y524" s="345">
        <v>60.9</v>
      </c>
      <c r="Z524" s="345">
        <v>950.7</v>
      </c>
      <c r="AA524">
        <f t="shared" si="8"/>
        <v>3</v>
      </c>
    </row>
    <row r="525" spans="1:27" ht="28.8" x14ac:dyDescent="0.3">
      <c r="A525" s="345" t="s">
        <v>2196</v>
      </c>
      <c r="B525" s="805"/>
      <c r="C525" s="802"/>
      <c r="D525" s="802"/>
      <c r="E525" s="803"/>
      <c r="F525" s="805">
        <v>71.7</v>
      </c>
      <c r="G525" s="803"/>
      <c r="H525" s="345">
        <v>932.4</v>
      </c>
      <c r="I525" s="345">
        <v>5</v>
      </c>
      <c r="J525" s="345">
        <v>75.5</v>
      </c>
      <c r="K525" s="345">
        <v>898.9</v>
      </c>
      <c r="L525" s="346"/>
      <c r="M525" s="346"/>
      <c r="N525" s="346"/>
      <c r="O525" s="345"/>
      <c r="P525" s="345"/>
      <c r="Q525" s="345"/>
      <c r="R525" s="345">
        <v>4.4000000000000004</v>
      </c>
      <c r="S525" s="345">
        <v>87.4</v>
      </c>
      <c r="T525" s="345">
        <v>843.6</v>
      </c>
      <c r="U525" s="345">
        <v>5</v>
      </c>
      <c r="V525" s="345">
        <v>75.5</v>
      </c>
      <c r="W525" s="345">
        <v>972.9</v>
      </c>
      <c r="X525" s="345">
        <v>5</v>
      </c>
      <c r="Y525" s="345">
        <v>65.900000000000006</v>
      </c>
      <c r="Z525" s="345">
        <v>955.7</v>
      </c>
      <c r="AA525">
        <f t="shared" si="8"/>
        <v>5</v>
      </c>
    </row>
    <row r="526" spans="1:27" ht="28.8" x14ac:dyDescent="0.3">
      <c r="A526" s="345" t="s">
        <v>2197</v>
      </c>
      <c r="B526" s="805"/>
      <c r="C526" s="802"/>
      <c r="D526" s="802"/>
      <c r="E526" s="803"/>
      <c r="F526" s="805">
        <v>77.7</v>
      </c>
      <c r="G526" s="803"/>
      <c r="H526" s="345">
        <v>938.4</v>
      </c>
      <c r="I526" s="345">
        <v>6</v>
      </c>
      <c r="J526" s="345">
        <v>81.5</v>
      </c>
      <c r="K526" s="345">
        <v>904.9</v>
      </c>
      <c r="L526" s="346"/>
      <c r="M526" s="346"/>
      <c r="N526" s="346"/>
      <c r="O526" s="345"/>
      <c r="P526" s="345"/>
      <c r="Q526" s="345"/>
      <c r="R526" s="345">
        <v>3.2</v>
      </c>
      <c r="S526" s="345">
        <v>90.6</v>
      </c>
      <c r="T526" s="345">
        <v>846.8</v>
      </c>
      <c r="U526" s="345">
        <v>5.5</v>
      </c>
      <c r="V526" s="345">
        <v>81</v>
      </c>
      <c r="W526" s="345">
        <v>978.4</v>
      </c>
      <c r="X526" s="345">
        <v>4</v>
      </c>
      <c r="Y526" s="345">
        <v>69.900000000000006</v>
      </c>
      <c r="Z526" s="345">
        <v>959.7</v>
      </c>
      <c r="AA526">
        <f t="shared" si="8"/>
        <v>6</v>
      </c>
    </row>
    <row r="527" spans="1:27" ht="28.8" x14ac:dyDescent="0.3">
      <c r="A527" s="345" t="s">
        <v>2198</v>
      </c>
      <c r="B527" s="805"/>
      <c r="C527" s="802"/>
      <c r="D527" s="802"/>
      <c r="E527" s="803"/>
      <c r="F527" s="805">
        <v>87.2</v>
      </c>
      <c r="G527" s="803"/>
      <c r="H527" s="345">
        <v>947.9</v>
      </c>
      <c r="I527" s="345">
        <v>7.5</v>
      </c>
      <c r="J527" s="345">
        <v>89</v>
      </c>
      <c r="K527" s="345">
        <v>912.4</v>
      </c>
      <c r="L527" s="346"/>
      <c r="M527" s="346"/>
      <c r="N527" s="346"/>
      <c r="O527" s="345"/>
      <c r="P527" s="345"/>
      <c r="Q527" s="345"/>
      <c r="R527" s="345">
        <v>10.8</v>
      </c>
      <c r="S527" s="345">
        <v>101.4</v>
      </c>
      <c r="T527" s="345">
        <v>857.6</v>
      </c>
      <c r="U527" s="345">
        <v>10</v>
      </c>
      <c r="V527" s="345">
        <v>91</v>
      </c>
      <c r="W527" s="345">
        <v>988.4</v>
      </c>
      <c r="X527" s="345">
        <v>10.5</v>
      </c>
      <c r="Y527" s="345">
        <v>80.400000000000006</v>
      </c>
      <c r="Z527" s="345">
        <v>970.2</v>
      </c>
      <c r="AA527">
        <f t="shared" si="8"/>
        <v>7.5</v>
      </c>
    </row>
    <row r="528" spans="1:27" ht="28.8" x14ac:dyDescent="0.3">
      <c r="A528" s="345" t="s">
        <v>2199</v>
      </c>
      <c r="B528" s="805"/>
      <c r="C528" s="802"/>
      <c r="D528" s="802"/>
      <c r="E528" s="803"/>
      <c r="F528" s="805">
        <v>101.2</v>
      </c>
      <c r="G528" s="803"/>
      <c r="H528" s="345">
        <v>961.9</v>
      </c>
      <c r="I528" s="345">
        <v>13</v>
      </c>
      <c r="J528" s="345">
        <v>102</v>
      </c>
      <c r="K528" s="345">
        <v>925.4</v>
      </c>
      <c r="L528" s="346"/>
      <c r="M528" s="346"/>
      <c r="N528" s="346"/>
      <c r="O528" s="345"/>
      <c r="P528" s="345"/>
      <c r="Q528" s="345"/>
      <c r="R528" s="345">
        <v>10.4</v>
      </c>
      <c r="S528" s="345">
        <v>111.8</v>
      </c>
      <c r="T528" s="345">
        <v>868</v>
      </c>
      <c r="U528" s="345">
        <v>14</v>
      </c>
      <c r="V528" s="345">
        <v>105</v>
      </c>
      <c r="W528" s="345">
        <v>1002.4</v>
      </c>
      <c r="X528" s="345">
        <v>13</v>
      </c>
      <c r="Y528" s="345">
        <v>93.4</v>
      </c>
      <c r="Z528" s="345">
        <v>983.2</v>
      </c>
      <c r="AA528">
        <f t="shared" si="8"/>
        <v>13</v>
      </c>
    </row>
    <row r="529" spans="1:27" ht="28.8" x14ac:dyDescent="0.3">
      <c r="A529" s="345" t="s">
        <v>2200</v>
      </c>
      <c r="B529" s="805"/>
      <c r="C529" s="802"/>
      <c r="D529" s="802"/>
      <c r="E529" s="803"/>
      <c r="F529" s="805">
        <v>102.2</v>
      </c>
      <c r="G529" s="803"/>
      <c r="H529" s="345">
        <v>962.9</v>
      </c>
      <c r="I529" s="345">
        <v>1</v>
      </c>
      <c r="J529" s="345">
        <v>103</v>
      </c>
      <c r="K529" s="345">
        <v>926.4</v>
      </c>
      <c r="L529" s="346"/>
      <c r="M529" s="346"/>
      <c r="N529" s="346"/>
      <c r="O529" s="345"/>
      <c r="P529" s="345"/>
      <c r="Q529" s="345"/>
      <c r="R529" s="345">
        <v>1</v>
      </c>
      <c r="S529" s="345">
        <v>112.8</v>
      </c>
      <c r="T529" s="345">
        <v>869</v>
      </c>
      <c r="U529" s="345">
        <v>1</v>
      </c>
      <c r="V529" s="345">
        <v>106</v>
      </c>
      <c r="W529" s="345">
        <v>1003.4</v>
      </c>
      <c r="X529" s="345">
        <v>1</v>
      </c>
      <c r="Y529" s="345">
        <v>94.4</v>
      </c>
      <c r="Z529" s="345">
        <v>984.2</v>
      </c>
      <c r="AA529">
        <f t="shared" si="8"/>
        <v>1</v>
      </c>
    </row>
    <row r="530" spans="1:27" ht="28.8" x14ac:dyDescent="0.3">
      <c r="A530" s="345" t="s">
        <v>2201</v>
      </c>
      <c r="B530" s="805"/>
      <c r="C530" s="802"/>
      <c r="D530" s="802"/>
      <c r="E530" s="803"/>
      <c r="F530" s="805">
        <v>107.2</v>
      </c>
      <c r="G530" s="803"/>
      <c r="H530" s="345">
        <v>967.9</v>
      </c>
      <c r="I530" s="345">
        <v>5</v>
      </c>
      <c r="J530" s="345">
        <v>108</v>
      </c>
      <c r="K530" s="345">
        <v>931.4</v>
      </c>
      <c r="L530" s="346"/>
      <c r="M530" s="346"/>
      <c r="N530" s="346"/>
      <c r="O530" s="345"/>
      <c r="P530" s="345"/>
      <c r="Q530" s="345"/>
      <c r="R530" s="345">
        <v>5.2</v>
      </c>
      <c r="S530" s="345">
        <v>118</v>
      </c>
      <c r="T530" s="345">
        <v>874.2</v>
      </c>
      <c r="U530" s="345">
        <v>5</v>
      </c>
      <c r="V530" s="345">
        <v>111</v>
      </c>
      <c r="W530" s="345">
        <v>1008.4</v>
      </c>
      <c r="X530" s="345">
        <v>4.5</v>
      </c>
      <c r="Y530" s="345">
        <v>98.9</v>
      </c>
      <c r="Z530" s="345">
        <v>988.7</v>
      </c>
      <c r="AA530">
        <f t="shared" si="8"/>
        <v>5</v>
      </c>
    </row>
    <row r="531" spans="1:27" ht="28.8" x14ac:dyDescent="0.3">
      <c r="A531" s="345" t="s">
        <v>2202</v>
      </c>
      <c r="B531" s="805"/>
      <c r="C531" s="802"/>
      <c r="D531" s="802"/>
      <c r="E531" s="803"/>
      <c r="F531" s="805">
        <v>109.7</v>
      </c>
      <c r="G531" s="803"/>
      <c r="H531" s="345">
        <v>970.4</v>
      </c>
      <c r="I531" s="345">
        <v>3</v>
      </c>
      <c r="J531" s="345">
        <v>111</v>
      </c>
      <c r="K531" s="345">
        <v>934.4</v>
      </c>
      <c r="L531" s="346"/>
      <c r="M531" s="346"/>
      <c r="N531" s="346"/>
      <c r="O531" s="345"/>
      <c r="P531" s="345"/>
      <c r="Q531" s="345"/>
      <c r="R531" s="345">
        <v>1.6</v>
      </c>
      <c r="S531" s="345">
        <v>119.6</v>
      </c>
      <c r="T531" s="345">
        <v>875.8</v>
      </c>
      <c r="U531" s="345">
        <v>2.5</v>
      </c>
      <c r="V531" s="345">
        <v>113.5</v>
      </c>
      <c r="W531" s="345">
        <v>1010.9</v>
      </c>
      <c r="X531" s="345">
        <v>3</v>
      </c>
      <c r="Y531" s="345">
        <v>101.9</v>
      </c>
      <c r="Z531" s="345">
        <v>991.7</v>
      </c>
      <c r="AA531">
        <f t="shared" si="8"/>
        <v>3</v>
      </c>
    </row>
    <row r="532" spans="1:27" ht="28.8" x14ac:dyDescent="0.3">
      <c r="A532" s="345" t="s">
        <v>2203</v>
      </c>
      <c r="B532" s="805"/>
      <c r="C532" s="802"/>
      <c r="D532" s="802"/>
      <c r="E532" s="803"/>
      <c r="F532" s="805">
        <v>142.69999999999999</v>
      </c>
      <c r="G532" s="803"/>
      <c r="H532" s="345">
        <v>1003.4</v>
      </c>
      <c r="I532" s="345">
        <v>28</v>
      </c>
      <c r="J532" s="345">
        <v>139</v>
      </c>
      <c r="K532" s="345">
        <v>962.4</v>
      </c>
      <c r="L532" s="346"/>
      <c r="M532" s="346"/>
      <c r="N532" s="346"/>
      <c r="O532" s="345"/>
      <c r="P532" s="345"/>
      <c r="Q532" s="345"/>
      <c r="R532" s="345">
        <v>35</v>
      </c>
      <c r="S532" s="345">
        <v>154.6</v>
      </c>
      <c r="T532" s="345">
        <v>910.8</v>
      </c>
      <c r="U532" s="345"/>
      <c r="V532" s="345"/>
      <c r="W532" s="345"/>
      <c r="X532" s="345">
        <v>27.5</v>
      </c>
      <c r="Y532" s="345">
        <v>129.4</v>
      </c>
      <c r="Z532" s="345">
        <v>1019.2</v>
      </c>
      <c r="AA532">
        <f t="shared" si="8"/>
        <v>28</v>
      </c>
    </row>
    <row r="533" spans="1:27" ht="28.8" x14ac:dyDescent="0.3">
      <c r="A533" s="345" t="s">
        <v>2204</v>
      </c>
      <c r="B533" s="805"/>
      <c r="C533" s="802"/>
      <c r="D533" s="802"/>
      <c r="E533" s="803"/>
      <c r="F533" s="805">
        <v>176.7</v>
      </c>
      <c r="G533" s="803"/>
      <c r="H533" s="345">
        <v>1037.4000000000001</v>
      </c>
      <c r="I533" s="345">
        <v>32.5</v>
      </c>
      <c r="J533" s="345">
        <v>171.5</v>
      </c>
      <c r="K533" s="345">
        <v>994.9</v>
      </c>
      <c r="L533" s="346"/>
      <c r="M533" s="346"/>
      <c r="N533" s="346"/>
      <c r="O533" s="345"/>
      <c r="P533" s="345"/>
      <c r="Q533" s="345"/>
      <c r="R533" s="345">
        <v>31.6</v>
      </c>
      <c r="S533" s="345">
        <v>186.2</v>
      </c>
      <c r="T533" s="345">
        <v>942.4</v>
      </c>
      <c r="U533" s="345">
        <v>37.5</v>
      </c>
      <c r="V533" s="345">
        <v>151</v>
      </c>
      <c r="W533" s="345">
        <v>1048.4000000000001</v>
      </c>
      <c r="X533" s="345">
        <v>42</v>
      </c>
      <c r="Y533" s="345">
        <v>171.4</v>
      </c>
      <c r="Z533" s="345">
        <v>1061.2</v>
      </c>
      <c r="AA533">
        <f t="shared" si="8"/>
        <v>32.5</v>
      </c>
    </row>
    <row r="534" spans="1:27" ht="28.8" x14ac:dyDescent="0.3">
      <c r="A534" s="345" t="s">
        <v>2205</v>
      </c>
      <c r="B534" s="805"/>
      <c r="C534" s="802"/>
      <c r="D534" s="802"/>
      <c r="E534" s="803"/>
      <c r="F534" s="805">
        <v>178.2</v>
      </c>
      <c r="G534" s="803"/>
      <c r="H534" s="345">
        <v>1038.9000000000001</v>
      </c>
      <c r="I534" s="345">
        <v>2.5</v>
      </c>
      <c r="J534" s="345">
        <v>174</v>
      </c>
      <c r="K534" s="345">
        <v>997.4</v>
      </c>
      <c r="L534" s="346"/>
      <c r="M534" s="346"/>
      <c r="N534" s="346"/>
      <c r="O534" s="345"/>
      <c r="P534" s="345"/>
      <c r="Q534" s="345"/>
      <c r="R534" s="345">
        <v>2.6</v>
      </c>
      <c r="S534" s="345">
        <v>188.8</v>
      </c>
      <c r="T534" s="345">
        <v>945</v>
      </c>
      <c r="U534" s="345">
        <v>2</v>
      </c>
      <c r="V534" s="345">
        <v>153</v>
      </c>
      <c r="W534" s="345">
        <v>1050.4000000000001</v>
      </c>
      <c r="X534" s="345">
        <v>2.5</v>
      </c>
      <c r="Y534" s="345">
        <v>173.9</v>
      </c>
      <c r="Z534" s="345">
        <v>1063.7</v>
      </c>
      <c r="AA534">
        <f t="shared" si="8"/>
        <v>2.5</v>
      </c>
    </row>
    <row r="535" spans="1:27" ht="28.8" x14ac:dyDescent="0.3">
      <c r="A535" s="345" t="s">
        <v>2206</v>
      </c>
      <c r="B535" s="805"/>
      <c r="C535" s="802"/>
      <c r="D535" s="802"/>
      <c r="E535" s="803"/>
      <c r="F535" s="805">
        <v>186.7</v>
      </c>
      <c r="G535" s="803"/>
      <c r="H535" s="345">
        <v>1047.4000000000001</v>
      </c>
      <c r="I535" s="345">
        <v>9</v>
      </c>
      <c r="J535" s="345">
        <v>183</v>
      </c>
      <c r="K535" s="345">
        <v>1006.4</v>
      </c>
      <c r="L535" s="346"/>
      <c r="M535" s="346"/>
      <c r="N535" s="346"/>
      <c r="O535" s="345"/>
      <c r="P535" s="345"/>
      <c r="Q535" s="345"/>
      <c r="R535" s="345">
        <v>7.6</v>
      </c>
      <c r="S535" s="345">
        <v>196.4</v>
      </c>
      <c r="T535" s="345">
        <v>952.6</v>
      </c>
      <c r="U535" s="345">
        <v>10</v>
      </c>
      <c r="V535" s="345">
        <v>163</v>
      </c>
      <c r="W535" s="345">
        <v>1060.4000000000001</v>
      </c>
      <c r="X535" s="345">
        <v>8</v>
      </c>
      <c r="Y535" s="345">
        <v>181.9</v>
      </c>
      <c r="Z535" s="345">
        <v>1071.7</v>
      </c>
      <c r="AA535">
        <f t="shared" si="8"/>
        <v>9</v>
      </c>
    </row>
    <row r="536" spans="1:27" ht="28.8" x14ac:dyDescent="0.3">
      <c r="A536" s="345" t="s">
        <v>2207</v>
      </c>
      <c r="B536" s="805"/>
      <c r="C536" s="802"/>
      <c r="D536" s="802"/>
      <c r="E536" s="803"/>
      <c r="F536" s="805">
        <v>187.2</v>
      </c>
      <c r="G536" s="803"/>
      <c r="H536" s="345">
        <v>1047.9000000000001</v>
      </c>
      <c r="I536" s="345">
        <v>1</v>
      </c>
      <c r="J536" s="345">
        <v>184</v>
      </c>
      <c r="K536" s="345">
        <v>1007.4</v>
      </c>
      <c r="L536" s="346"/>
      <c r="M536" s="346"/>
      <c r="N536" s="346"/>
      <c r="O536" s="345"/>
      <c r="P536" s="345"/>
      <c r="Q536" s="345"/>
      <c r="R536" s="345">
        <v>1.6</v>
      </c>
      <c r="S536" s="345">
        <v>198</v>
      </c>
      <c r="T536" s="345">
        <v>954.2</v>
      </c>
      <c r="U536" s="345">
        <v>1</v>
      </c>
      <c r="V536" s="345">
        <v>164</v>
      </c>
      <c r="W536" s="345">
        <v>1061.4000000000001</v>
      </c>
      <c r="X536" s="345">
        <v>0.5</v>
      </c>
      <c r="Y536" s="345">
        <v>182.4</v>
      </c>
      <c r="Z536" s="345">
        <v>1072.2</v>
      </c>
      <c r="AA536">
        <f t="shared" si="8"/>
        <v>1</v>
      </c>
    </row>
    <row r="537" spans="1:27" ht="28.8" x14ac:dyDescent="0.3">
      <c r="A537" s="345" t="s">
        <v>2208</v>
      </c>
      <c r="B537" s="805"/>
      <c r="C537" s="802"/>
      <c r="D537" s="802"/>
      <c r="E537" s="803"/>
      <c r="F537" s="805">
        <v>190.2</v>
      </c>
      <c r="G537" s="803"/>
      <c r="H537" s="345">
        <v>1050.9000000000001</v>
      </c>
      <c r="I537" s="345">
        <v>3.5</v>
      </c>
      <c r="J537" s="345">
        <v>187.5</v>
      </c>
      <c r="K537" s="345">
        <v>1010.9</v>
      </c>
      <c r="L537" s="346"/>
      <c r="M537" s="346"/>
      <c r="N537" s="346"/>
      <c r="O537" s="345"/>
      <c r="P537" s="345"/>
      <c r="Q537" s="345"/>
      <c r="R537" s="345">
        <v>6.4</v>
      </c>
      <c r="S537" s="345">
        <v>204.4</v>
      </c>
      <c r="T537" s="345">
        <v>960.6</v>
      </c>
      <c r="U537" s="345">
        <v>5</v>
      </c>
      <c r="V537" s="345">
        <v>169</v>
      </c>
      <c r="W537" s="345">
        <v>1066.4000000000001</v>
      </c>
      <c r="X537" s="345">
        <v>2.5</v>
      </c>
      <c r="Y537" s="345">
        <v>184.9</v>
      </c>
      <c r="Z537" s="345">
        <v>1074.7</v>
      </c>
      <c r="AA537">
        <f t="shared" si="8"/>
        <v>3.5</v>
      </c>
    </row>
    <row r="538" spans="1:27" ht="28.8" x14ac:dyDescent="0.3">
      <c r="A538" s="345" t="s">
        <v>2209</v>
      </c>
      <c r="B538" s="805"/>
      <c r="C538" s="802"/>
      <c r="D538" s="802"/>
      <c r="E538" s="803"/>
      <c r="F538" s="805">
        <v>197.7</v>
      </c>
      <c r="G538" s="803"/>
      <c r="H538" s="345">
        <v>1058.4000000000001</v>
      </c>
      <c r="I538" s="345">
        <v>28.5</v>
      </c>
      <c r="J538" s="345">
        <v>216</v>
      </c>
      <c r="K538" s="345">
        <v>1039.4000000000001</v>
      </c>
      <c r="L538" s="346"/>
      <c r="M538" s="346"/>
      <c r="N538" s="346"/>
      <c r="O538" s="345"/>
      <c r="P538" s="345"/>
      <c r="Q538" s="345"/>
      <c r="R538" s="345">
        <v>23.6</v>
      </c>
      <c r="S538" s="345">
        <v>228</v>
      </c>
      <c r="T538" s="345">
        <v>984.2</v>
      </c>
      <c r="U538" s="345">
        <v>24</v>
      </c>
      <c r="V538" s="345">
        <v>193</v>
      </c>
      <c r="W538" s="345">
        <v>1090.4000000000001</v>
      </c>
      <c r="X538" s="345">
        <v>27</v>
      </c>
      <c r="Y538" s="345">
        <v>211.9</v>
      </c>
      <c r="Z538" s="345">
        <v>1101.7</v>
      </c>
      <c r="AA538">
        <f t="shared" si="8"/>
        <v>28.5</v>
      </c>
    </row>
    <row r="539" spans="1:27" ht="28.8" x14ac:dyDescent="0.3">
      <c r="A539" s="345" t="s">
        <v>2210</v>
      </c>
      <c r="B539" s="805"/>
      <c r="C539" s="802"/>
      <c r="D539" s="802"/>
      <c r="E539" s="803"/>
      <c r="F539" s="805">
        <v>198.2</v>
      </c>
      <c r="G539" s="803"/>
      <c r="H539" s="345">
        <v>1058.9000000000001</v>
      </c>
      <c r="I539" s="345">
        <v>0.5</v>
      </c>
      <c r="J539" s="345">
        <v>216.5</v>
      </c>
      <c r="K539" s="345">
        <v>1039.9000000000001</v>
      </c>
      <c r="L539" s="346"/>
      <c r="M539" s="346"/>
      <c r="N539" s="346"/>
      <c r="O539" s="345"/>
      <c r="P539" s="345"/>
      <c r="Q539" s="345"/>
      <c r="R539" s="345">
        <v>0.4</v>
      </c>
      <c r="S539" s="345">
        <v>228.4</v>
      </c>
      <c r="T539" s="345">
        <v>984.6</v>
      </c>
      <c r="U539" s="345">
        <v>1</v>
      </c>
      <c r="V539" s="345">
        <v>194</v>
      </c>
      <c r="W539" s="345">
        <v>1091.4000000000001</v>
      </c>
      <c r="X539" s="345">
        <v>0.3</v>
      </c>
      <c r="Y539" s="345">
        <v>212.2</v>
      </c>
      <c r="Z539" s="345">
        <v>1102</v>
      </c>
      <c r="AA539">
        <f t="shared" si="8"/>
        <v>0.5</v>
      </c>
    </row>
    <row r="540" spans="1:27" ht="28.8" x14ac:dyDescent="0.3">
      <c r="A540" s="345" t="s">
        <v>2211</v>
      </c>
      <c r="B540" s="805"/>
      <c r="C540" s="802"/>
      <c r="D540" s="802"/>
      <c r="E540" s="803"/>
      <c r="F540" s="805">
        <v>198.2</v>
      </c>
      <c r="G540" s="803"/>
      <c r="H540" s="345">
        <v>1058.9000000000001</v>
      </c>
      <c r="I540" s="345">
        <v>0</v>
      </c>
      <c r="J540" s="345">
        <v>216.5</v>
      </c>
      <c r="K540" s="345">
        <v>1039.9000000000001</v>
      </c>
      <c r="L540" s="346"/>
      <c r="M540" s="346"/>
      <c r="N540" s="346"/>
      <c r="O540" s="345"/>
      <c r="P540" s="345"/>
      <c r="Q540" s="345"/>
      <c r="R540" s="345">
        <v>0.6</v>
      </c>
      <c r="S540" s="345">
        <v>229</v>
      </c>
      <c r="T540" s="345">
        <v>985.2</v>
      </c>
      <c r="U540" s="345">
        <v>0</v>
      </c>
      <c r="V540" s="345">
        <v>194</v>
      </c>
      <c r="W540" s="345">
        <v>1091.4000000000001</v>
      </c>
      <c r="X540" s="345">
        <v>0</v>
      </c>
      <c r="Y540" s="345">
        <v>212.2</v>
      </c>
      <c r="Z540" s="345">
        <v>1102</v>
      </c>
      <c r="AA540">
        <f t="shared" si="8"/>
        <v>0</v>
      </c>
    </row>
    <row r="541" spans="1:27" ht="28.8" x14ac:dyDescent="0.3">
      <c r="A541" s="345" t="s">
        <v>2212</v>
      </c>
      <c r="B541" s="805"/>
      <c r="C541" s="802"/>
      <c r="D541" s="802"/>
      <c r="E541" s="803"/>
      <c r="F541" s="805">
        <v>200.2</v>
      </c>
      <c r="G541" s="803"/>
      <c r="H541" s="345">
        <v>1060.9000000000001</v>
      </c>
      <c r="I541" s="345">
        <v>2</v>
      </c>
      <c r="J541" s="345">
        <v>218.5</v>
      </c>
      <c r="K541" s="345">
        <v>1041.9000000000001</v>
      </c>
      <c r="L541" s="346"/>
      <c r="M541" s="346"/>
      <c r="N541" s="346"/>
      <c r="O541" s="345"/>
      <c r="P541" s="345"/>
      <c r="Q541" s="345"/>
      <c r="R541" s="345">
        <v>1.6</v>
      </c>
      <c r="S541" s="345">
        <v>230.6</v>
      </c>
      <c r="T541" s="345">
        <v>986.8</v>
      </c>
      <c r="U541" s="345">
        <v>2</v>
      </c>
      <c r="V541" s="345">
        <v>196</v>
      </c>
      <c r="W541" s="345">
        <v>1093.4000000000001</v>
      </c>
      <c r="X541" s="345">
        <v>1</v>
      </c>
      <c r="Y541" s="345">
        <v>213.2</v>
      </c>
      <c r="Z541" s="345">
        <v>1103</v>
      </c>
      <c r="AA541">
        <f t="shared" si="8"/>
        <v>2</v>
      </c>
    </row>
    <row r="542" spans="1:27" ht="28.8" x14ac:dyDescent="0.3">
      <c r="A542" s="345" t="s">
        <v>2213</v>
      </c>
      <c r="B542" s="805"/>
      <c r="C542" s="802"/>
      <c r="D542" s="802"/>
      <c r="E542" s="803"/>
      <c r="F542" s="805">
        <v>224.7</v>
      </c>
      <c r="G542" s="803"/>
      <c r="H542" s="345">
        <v>1085.4000000000001</v>
      </c>
      <c r="I542" s="345">
        <v>26</v>
      </c>
      <c r="J542" s="345">
        <v>244.5</v>
      </c>
      <c r="K542" s="345">
        <v>1067.9000000000001</v>
      </c>
      <c r="L542" s="346"/>
      <c r="M542" s="346"/>
      <c r="N542" s="346"/>
      <c r="O542" s="345"/>
      <c r="P542" s="345"/>
      <c r="Q542" s="345"/>
      <c r="R542" s="345">
        <v>20.8</v>
      </c>
      <c r="S542" s="345">
        <v>251.4</v>
      </c>
      <c r="T542" s="345">
        <v>1007.6</v>
      </c>
      <c r="U542" s="345">
        <v>22.5</v>
      </c>
      <c r="V542" s="345">
        <v>218.5</v>
      </c>
      <c r="W542" s="345">
        <v>1115.9000000000001</v>
      </c>
      <c r="X542" s="345">
        <v>19.5</v>
      </c>
      <c r="Y542" s="345">
        <v>232.7</v>
      </c>
      <c r="Z542" s="345">
        <v>1122.5</v>
      </c>
      <c r="AA542">
        <f t="shared" si="8"/>
        <v>26</v>
      </c>
    </row>
    <row r="543" spans="1:27" ht="28.8" x14ac:dyDescent="0.3">
      <c r="A543" s="345" t="s">
        <v>2214</v>
      </c>
      <c r="B543" s="805"/>
      <c r="C543" s="802"/>
      <c r="D543" s="802"/>
      <c r="E543" s="803"/>
      <c r="F543" s="805">
        <v>227.2</v>
      </c>
      <c r="G543" s="803"/>
      <c r="H543" s="345">
        <v>1087.9000000000001</v>
      </c>
      <c r="I543" s="345">
        <v>3.5</v>
      </c>
      <c r="J543" s="345">
        <v>248</v>
      </c>
      <c r="K543" s="345">
        <v>1071.4000000000001</v>
      </c>
      <c r="L543" s="346"/>
      <c r="M543" s="346"/>
      <c r="N543" s="346"/>
      <c r="O543" s="345"/>
      <c r="P543" s="345"/>
      <c r="Q543" s="345"/>
      <c r="R543" s="345">
        <v>2.4</v>
      </c>
      <c r="S543" s="345">
        <v>253.8</v>
      </c>
      <c r="T543" s="345">
        <v>1010</v>
      </c>
      <c r="U543" s="345">
        <v>3</v>
      </c>
      <c r="V543" s="345">
        <v>221.5</v>
      </c>
      <c r="W543" s="345">
        <v>1118.9000000000001</v>
      </c>
      <c r="X543" s="345">
        <v>1.5</v>
      </c>
      <c r="Y543" s="345">
        <v>234.2</v>
      </c>
      <c r="Z543" s="345">
        <v>1124</v>
      </c>
      <c r="AA543">
        <f t="shared" si="8"/>
        <v>3.5</v>
      </c>
    </row>
    <row r="544" spans="1:27" ht="28.8" x14ac:dyDescent="0.3">
      <c r="A544" s="345" t="s">
        <v>2215</v>
      </c>
      <c r="B544" s="805"/>
      <c r="C544" s="802"/>
      <c r="D544" s="802"/>
      <c r="E544" s="803"/>
      <c r="F544" s="805">
        <v>228.7</v>
      </c>
      <c r="G544" s="803"/>
      <c r="H544" s="345">
        <v>1089.4000000000001</v>
      </c>
      <c r="I544" s="345">
        <v>3</v>
      </c>
      <c r="J544" s="345">
        <v>251</v>
      </c>
      <c r="K544" s="345">
        <v>1074.4000000000001</v>
      </c>
      <c r="L544" s="346"/>
      <c r="M544" s="346"/>
      <c r="N544" s="346"/>
      <c r="O544" s="345"/>
      <c r="P544" s="345"/>
      <c r="Q544" s="345"/>
      <c r="R544" s="345">
        <v>2</v>
      </c>
      <c r="S544" s="345">
        <v>255.8</v>
      </c>
      <c r="T544" s="345">
        <v>1012</v>
      </c>
      <c r="U544" s="345">
        <v>2</v>
      </c>
      <c r="V544" s="345">
        <v>223.5</v>
      </c>
      <c r="W544" s="345">
        <v>1120.9000000000001</v>
      </c>
      <c r="X544" s="345">
        <v>1.5</v>
      </c>
      <c r="Y544" s="345">
        <v>235.7</v>
      </c>
      <c r="Z544" s="345">
        <v>1125.5</v>
      </c>
      <c r="AA544">
        <f t="shared" si="8"/>
        <v>3</v>
      </c>
    </row>
    <row r="545" spans="1:27" ht="28.8" x14ac:dyDescent="0.3">
      <c r="A545" s="345" t="s">
        <v>2216</v>
      </c>
      <c r="B545" s="805"/>
      <c r="C545" s="802"/>
      <c r="D545" s="802"/>
      <c r="E545" s="803"/>
      <c r="F545" s="805">
        <v>235.2</v>
      </c>
      <c r="G545" s="803"/>
      <c r="H545" s="345">
        <v>1095.9000000000001</v>
      </c>
      <c r="I545" s="345">
        <v>8</v>
      </c>
      <c r="J545" s="345">
        <v>259</v>
      </c>
      <c r="K545" s="345">
        <v>1082.4000000000001</v>
      </c>
      <c r="L545" s="346"/>
      <c r="M545" s="346"/>
      <c r="N545" s="346"/>
      <c r="O545" s="345"/>
      <c r="P545" s="345"/>
      <c r="Q545" s="345"/>
      <c r="R545" s="345">
        <v>5.6</v>
      </c>
      <c r="S545" s="345">
        <v>261.39999999999998</v>
      </c>
      <c r="T545" s="345">
        <v>1017.6</v>
      </c>
      <c r="U545" s="345">
        <v>6</v>
      </c>
      <c r="V545" s="345">
        <v>229.5</v>
      </c>
      <c r="W545" s="345">
        <v>1126.9000000000001</v>
      </c>
      <c r="X545" s="345">
        <v>6</v>
      </c>
      <c r="Y545" s="345">
        <v>241.7</v>
      </c>
      <c r="Z545" s="345">
        <v>1131.5</v>
      </c>
      <c r="AA545">
        <f t="shared" si="8"/>
        <v>8</v>
      </c>
    </row>
    <row r="546" spans="1:27" ht="28.8" x14ac:dyDescent="0.3">
      <c r="A546" s="345" t="s">
        <v>2217</v>
      </c>
      <c r="B546" s="805"/>
      <c r="C546" s="802"/>
      <c r="D546" s="802"/>
      <c r="E546" s="803"/>
      <c r="F546" s="805">
        <v>236.2</v>
      </c>
      <c r="G546" s="803"/>
      <c r="H546" s="345">
        <v>1096.9000000000001</v>
      </c>
      <c r="I546" s="345">
        <v>2.5</v>
      </c>
      <c r="J546" s="345">
        <v>261.5</v>
      </c>
      <c r="K546" s="345">
        <v>1084.9000000000001</v>
      </c>
      <c r="L546" s="346"/>
      <c r="M546" s="346"/>
      <c r="N546" s="346"/>
      <c r="O546" s="345"/>
      <c r="P546" s="345"/>
      <c r="Q546" s="345"/>
      <c r="R546" s="345">
        <v>0.2</v>
      </c>
      <c r="S546" s="345">
        <v>261.60000000000002</v>
      </c>
      <c r="T546" s="345">
        <v>1017.8</v>
      </c>
      <c r="U546" s="345">
        <v>1</v>
      </c>
      <c r="V546" s="345">
        <v>230.5</v>
      </c>
      <c r="W546" s="345">
        <v>1127.9000000000001</v>
      </c>
      <c r="X546" s="345">
        <v>1</v>
      </c>
      <c r="Y546" s="345">
        <v>242.7</v>
      </c>
      <c r="Z546" s="345">
        <v>1132.5</v>
      </c>
      <c r="AA546">
        <f t="shared" si="8"/>
        <v>2.5</v>
      </c>
    </row>
    <row r="547" spans="1:27" ht="28.8" x14ac:dyDescent="0.3">
      <c r="A547" s="345" t="s">
        <v>2218</v>
      </c>
      <c r="B547" s="805"/>
      <c r="C547" s="802"/>
      <c r="D547" s="802"/>
      <c r="E547" s="803"/>
      <c r="F547" s="805">
        <v>236.2</v>
      </c>
      <c r="G547" s="803"/>
      <c r="H547" s="345">
        <v>1096.9000000000001</v>
      </c>
      <c r="I547" s="345">
        <v>0</v>
      </c>
      <c r="J547" s="345">
        <v>261.5</v>
      </c>
      <c r="K547" s="345">
        <v>1084.9000000000001</v>
      </c>
      <c r="L547" s="346"/>
      <c r="M547" s="346"/>
      <c r="N547" s="346"/>
      <c r="O547" s="345"/>
      <c r="P547" s="345"/>
      <c r="Q547" s="345"/>
      <c r="R547" s="345">
        <v>0</v>
      </c>
      <c r="S547" s="345">
        <v>261.60000000000002</v>
      </c>
      <c r="T547" s="345">
        <v>1017.8</v>
      </c>
      <c r="U547" s="345">
        <v>0</v>
      </c>
      <c r="V547" s="345">
        <v>230.5</v>
      </c>
      <c r="W547" s="345">
        <v>1127.9000000000001</v>
      </c>
      <c r="X547" s="345">
        <v>0</v>
      </c>
      <c r="Y547" s="345">
        <v>242.7</v>
      </c>
      <c r="Z547" s="345">
        <v>1132.5</v>
      </c>
      <c r="AA547">
        <f t="shared" si="8"/>
        <v>0</v>
      </c>
    </row>
    <row r="548" spans="1:27" s="362" customFormat="1" ht="28.8" x14ac:dyDescent="0.3">
      <c r="A548" s="359" t="s">
        <v>2219</v>
      </c>
      <c r="B548" s="811"/>
      <c r="C548" s="812"/>
      <c r="D548" s="812"/>
      <c r="E548" s="813"/>
      <c r="F548" s="811">
        <v>236.2</v>
      </c>
      <c r="G548" s="813"/>
      <c r="H548" s="359">
        <v>1096.9000000000001</v>
      </c>
      <c r="I548" s="359">
        <v>0</v>
      </c>
      <c r="J548" s="359">
        <v>261.5</v>
      </c>
      <c r="K548" s="359">
        <v>1084.9000000000001</v>
      </c>
      <c r="L548" s="359"/>
      <c r="M548" s="359"/>
      <c r="N548" s="359"/>
      <c r="O548" s="359"/>
      <c r="P548" s="359"/>
      <c r="Q548" s="359"/>
      <c r="R548" s="359">
        <v>0</v>
      </c>
      <c r="S548" s="359">
        <v>261.60000000000002</v>
      </c>
      <c r="T548" s="359">
        <v>1017.8</v>
      </c>
      <c r="U548" s="359">
        <v>0</v>
      </c>
      <c r="V548" s="359">
        <v>230.5</v>
      </c>
      <c r="W548" s="359">
        <v>1127.9000000000001</v>
      </c>
      <c r="X548" s="359">
        <v>0</v>
      </c>
      <c r="Y548" s="359">
        <v>242.7</v>
      </c>
      <c r="Z548" s="359">
        <v>1132.5</v>
      </c>
      <c r="AA548" s="362">
        <f t="shared" si="8"/>
        <v>0</v>
      </c>
    </row>
    <row r="549" spans="1:27" x14ac:dyDescent="0.3">
      <c r="A549" s="345" t="s">
        <v>2220</v>
      </c>
      <c r="B549" s="805"/>
      <c r="C549" s="802"/>
      <c r="D549" s="802"/>
      <c r="E549" s="803"/>
      <c r="F549" s="805">
        <v>1</v>
      </c>
      <c r="G549" s="803"/>
      <c r="H549" s="345">
        <v>1097.9000000000001</v>
      </c>
      <c r="I549" s="345">
        <v>1</v>
      </c>
      <c r="J549" s="345">
        <v>1</v>
      </c>
      <c r="K549" s="345">
        <v>1085.9000000000001</v>
      </c>
      <c r="L549" s="346"/>
      <c r="M549" s="346"/>
      <c r="N549" s="346"/>
      <c r="O549" s="345"/>
      <c r="P549" s="345"/>
      <c r="Q549" s="345"/>
      <c r="R549" s="345">
        <v>0.6</v>
      </c>
      <c r="S549" s="345">
        <v>0.6</v>
      </c>
      <c r="T549" s="345">
        <v>1018.4</v>
      </c>
      <c r="U549" s="345">
        <v>1.5</v>
      </c>
      <c r="V549" s="345">
        <v>1.5</v>
      </c>
      <c r="W549" s="345">
        <v>1129.4000000000001</v>
      </c>
      <c r="X549" s="345">
        <v>1.5</v>
      </c>
      <c r="Y549" s="345">
        <v>1.5</v>
      </c>
      <c r="Z549" s="345">
        <v>1134</v>
      </c>
      <c r="AA549">
        <f t="shared" si="8"/>
        <v>1</v>
      </c>
    </row>
    <row r="550" spans="1:27" x14ac:dyDescent="0.3">
      <c r="A550" s="345" t="s">
        <v>2221</v>
      </c>
      <c r="B550" s="805"/>
      <c r="C550" s="802"/>
      <c r="D550" s="802"/>
      <c r="E550" s="803"/>
      <c r="F550" s="805">
        <v>3</v>
      </c>
      <c r="G550" s="803"/>
      <c r="H550" s="345">
        <v>1099.9000000000001</v>
      </c>
      <c r="I550" s="345">
        <v>2</v>
      </c>
      <c r="J550" s="345">
        <v>3</v>
      </c>
      <c r="K550" s="345">
        <v>1087.9000000000001</v>
      </c>
      <c r="L550" s="346"/>
      <c r="M550" s="346"/>
      <c r="N550" s="346"/>
      <c r="O550" s="345"/>
      <c r="P550" s="345"/>
      <c r="Q550" s="345"/>
      <c r="R550" s="345">
        <v>2.2000000000000002</v>
      </c>
      <c r="S550" s="345">
        <v>2.8</v>
      </c>
      <c r="T550" s="345">
        <v>1020.6</v>
      </c>
      <c r="U550" s="345">
        <v>2</v>
      </c>
      <c r="V550" s="345">
        <v>3.5</v>
      </c>
      <c r="W550" s="345">
        <v>1131.4000000000001</v>
      </c>
      <c r="X550" s="345">
        <v>2.5</v>
      </c>
      <c r="Y550" s="345">
        <v>4</v>
      </c>
      <c r="Z550" s="345">
        <v>1136.5</v>
      </c>
      <c r="AA550">
        <f t="shared" si="8"/>
        <v>2</v>
      </c>
    </row>
    <row r="551" spans="1:27" x14ac:dyDescent="0.3">
      <c r="A551" s="345" t="s">
        <v>2222</v>
      </c>
      <c r="B551" s="805"/>
      <c r="C551" s="802"/>
      <c r="D551" s="802"/>
      <c r="E551" s="803"/>
      <c r="F551" s="805">
        <v>10.5</v>
      </c>
      <c r="G551" s="803"/>
      <c r="H551" s="345">
        <v>1107.4000000000001</v>
      </c>
      <c r="I551" s="345">
        <v>8.5</v>
      </c>
      <c r="J551" s="345">
        <v>11.5</v>
      </c>
      <c r="K551" s="345">
        <v>1096.4000000000001</v>
      </c>
      <c r="L551" s="346"/>
      <c r="M551" s="346"/>
      <c r="N551" s="346"/>
      <c r="O551" s="345"/>
      <c r="P551" s="345"/>
      <c r="Q551" s="345"/>
      <c r="R551" s="345">
        <v>0</v>
      </c>
      <c r="S551" s="345">
        <v>2.8</v>
      </c>
      <c r="T551" s="345">
        <v>1020.6</v>
      </c>
      <c r="U551" s="345">
        <v>0</v>
      </c>
      <c r="V551" s="345">
        <v>3.5</v>
      </c>
      <c r="W551" s="345">
        <v>1131.4000000000001</v>
      </c>
      <c r="X551" s="345">
        <v>7</v>
      </c>
      <c r="Y551" s="345">
        <v>11</v>
      </c>
      <c r="Z551" s="345">
        <v>1143.5</v>
      </c>
      <c r="AA551">
        <f t="shared" si="8"/>
        <v>8.5</v>
      </c>
    </row>
    <row r="552" spans="1:27" x14ac:dyDescent="0.3">
      <c r="A552" s="345" t="s">
        <v>2223</v>
      </c>
      <c r="B552" s="805"/>
      <c r="C552" s="802"/>
      <c r="D552" s="802"/>
      <c r="E552" s="803"/>
      <c r="F552" s="805">
        <v>10.6</v>
      </c>
      <c r="G552" s="803"/>
      <c r="H552" s="345">
        <v>1107.5</v>
      </c>
      <c r="I552" s="345">
        <v>0.3</v>
      </c>
      <c r="J552" s="345">
        <v>11.8</v>
      </c>
      <c r="K552" s="345">
        <v>1096.7</v>
      </c>
      <c r="L552" s="346"/>
      <c r="M552" s="346"/>
      <c r="N552" s="346"/>
      <c r="O552" s="345"/>
      <c r="P552" s="345"/>
      <c r="Q552" s="345"/>
      <c r="R552" s="345">
        <v>0</v>
      </c>
      <c r="S552" s="345">
        <v>2.8</v>
      </c>
      <c r="T552" s="345">
        <v>1020.6</v>
      </c>
      <c r="U552" s="345">
        <v>0.1</v>
      </c>
      <c r="V552" s="345">
        <v>3.6</v>
      </c>
      <c r="W552" s="345">
        <v>1131.5</v>
      </c>
      <c r="X552" s="345">
        <v>0.2</v>
      </c>
      <c r="Y552" s="345">
        <v>11.2</v>
      </c>
      <c r="Z552" s="345">
        <v>1143.7</v>
      </c>
      <c r="AA552">
        <f t="shared" si="8"/>
        <v>0.3</v>
      </c>
    </row>
    <row r="553" spans="1:27" x14ac:dyDescent="0.3">
      <c r="A553" s="345" t="s">
        <v>2224</v>
      </c>
      <c r="B553" s="805"/>
      <c r="C553" s="802"/>
      <c r="D553" s="802"/>
      <c r="E553" s="803"/>
      <c r="F553" s="805">
        <v>67.099999999999994</v>
      </c>
      <c r="G553" s="803"/>
      <c r="H553" s="345">
        <v>1164</v>
      </c>
      <c r="I553" s="345">
        <v>61</v>
      </c>
      <c r="J553" s="345">
        <v>72.8</v>
      </c>
      <c r="K553" s="345">
        <v>1157.7</v>
      </c>
      <c r="L553" s="346"/>
      <c r="M553" s="346"/>
      <c r="N553" s="346"/>
      <c r="O553" s="345"/>
      <c r="P553" s="345"/>
      <c r="Q553" s="345"/>
      <c r="R553" s="345">
        <v>58.2</v>
      </c>
      <c r="S553" s="345">
        <v>61</v>
      </c>
      <c r="T553" s="345">
        <v>1078.8</v>
      </c>
      <c r="U553" s="345">
        <v>65</v>
      </c>
      <c r="V553" s="345">
        <v>68.599999999999994</v>
      </c>
      <c r="W553" s="345">
        <v>1196.5</v>
      </c>
      <c r="X553" s="345">
        <v>58</v>
      </c>
      <c r="Y553" s="345">
        <v>69.2</v>
      </c>
      <c r="Z553" s="345">
        <v>1201.7</v>
      </c>
      <c r="AA553">
        <f t="shared" si="8"/>
        <v>61</v>
      </c>
    </row>
    <row r="554" spans="1:27" x14ac:dyDescent="0.3">
      <c r="A554" s="345" t="s">
        <v>2225</v>
      </c>
      <c r="B554" s="805"/>
      <c r="C554" s="802"/>
      <c r="D554" s="802"/>
      <c r="E554" s="803"/>
      <c r="F554" s="805">
        <v>68.599999999999994</v>
      </c>
      <c r="G554" s="803"/>
      <c r="H554" s="345">
        <v>1165.5</v>
      </c>
      <c r="I554" s="345">
        <v>1.5</v>
      </c>
      <c r="J554" s="345">
        <v>74.3</v>
      </c>
      <c r="K554" s="345">
        <v>1159.2</v>
      </c>
      <c r="L554" s="346"/>
      <c r="M554" s="346"/>
      <c r="N554" s="346"/>
      <c r="O554" s="345"/>
      <c r="P554" s="345"/>
      <c r="Q554" s="345"/>
      <c r="R554" s="345">
        <v>0</v>
      </c>
      <c r="S554" s="345">
        <v>61</v>
      </c>
      <c r="T554" s="345">
        <v>1078.8</v>
      </c>
      <c r="U554" s="345">
        <v>1</v>
      </c>
      <c r="V554" s="345">
        <v>69.599999999999994</v>
      </c>
      <c r="W554" s="345">
        <v>1197.5</v>
      </c>
      <c r="X554" s="345">
        <v>1</v>
      </c>
      <c r="Y554" s="345">
        <v>70.2</v>
      </c>
      <c r="Z554" s="345">
        <v>1202.7</v>
      </c>
      <c r="AA554">
        <f t="shared" si="8"/>
        <v>1.5</v>
      </c>
    </row>
    <row r="555" spans="1:27" x14ac:dyDescent="0.3">
      <c r="A555" s="345" t="s">
        <v>2226</v>
      </c>
      <c r="B555" s="805"/>
      <c r="C555" s="802"/>
      <c r="D555" s="802"/>
      <c r="E555" s="803"/>
      <c r="F555" s="805">
        <v>68.599999999999994</v>
      </c>
      <c r="G555" s="803"/>
      <c r="H555" s="345">
        <v>1165.5</v>
      </c>
      <c r="I555" s="345">
        <v>0</v>
      </c>
      <c r="J555" s="345">
        <v>74.3</v>
      </c>
      <c r="K555" s="345">
        <v>1159.2</v>
      </c>
      <c r="L555" s="346"/>
      <c r="M555" s="346"/>
      <c r="N555" s="346"/>
      <c r="O555" s="345"/>
      <c r="P555" s="345"/>
      <c r="Q555" s="345"/>
      <c r="R555" s="345">
        <v>0</v>
      </c>
      <c r="S555" s="345">
        <v>61</v>
      </c>
      <c r="T555" s="345">
        <v>1078.8</v>
      </c>
      <c r="U555" s="345">
        <v>0</v>
      </c>
      <c r="V555" s="345">
        <v>69.599999999999994</v>
      </c>
      <c r="W555" s="345">
        <v>1197.5</v>
      </c>
      <c r="X555" s="345">
        <v>0</v>
      </c>
      <c r="Y555" s="345">
        <v>70.2</v>
      </c>
      <c r="Z555" s="345">
        <v>1202.7</v>
      </c>
      <c r="AA555">
        <f t="shared" si="8"/>
        <v>0</v>
      </c>
    </row>
    <row r="556" spans="1:27" x14ac:dyDescent="0.3">
      <c r="A556" s="345" t="s">
        <v>2227</v>
      </c>
      <c r="B556" s="805"/>
      <c r="C556" s="802"/>
      <c r="D556" s="802"/>
      <c r="E556" s="803"/>
      <c r="F556" s="805">
        <v>82.6</v>
      </c>
      <c r="G556" s="803"/>
      <c r="H556" s="345">
        <v>1179.5</v>
      </c>
      <c r="I556" s="345">
        <v>13</v>
      </c>
      <c r="J556" s="345">
        <v>87.3</v>
      </c>
      <c r="K556" s="345">
        <v>1172.2</v>
      </c>
      <c r="L556" s="346"/>
      <c r="M556" s="346"/>
      <c r="N556" s="346"/>
      <c r="O556" s="345"/>
      <c r="P556" s="345"/>
      <c r="Q556" s="345"/>
      <c r="R556" s="345">
        <v>12</v>
      </c>
      <c r="S556" s="345">
        <v>73</v>
      </c>
      <c r="T556" s="345">
        <v>1090.8</v>
      </c>
      <c r="U556" s="345">
        <v>13.5</v>
      </c>
      <c r="V556" s="345">
        <v>83.1</v>
      </c>
      <c r="W556" s="345">
        <v>1211</v>
      </c>
      <c r="X556" s="345">
        <v>12.5</v>
      </c>
      <c r="Y556" s="345">
        <v>82.7</v>
      </c>
      <c r="Z556" s="345">
        <v>1215.2</v>
      </c>
      <c r="AA556">
        <f t="shared" si="8"/>
        <v>13</v>
      </c>
    </row>
    <row r="557" spans="1:27" x14ac:dyDescent="0.3">
      <c r="A557" s="345" t="s">
        <v>2228</v>
      </c>
      <c r="B557" s="805"/>
      <c r="C557" s="802"/>
      <c r="D557" s="802"/>
      <c r="E557" s="803"/>
      <c r="F557" s="805">
        <v>89.1</v>
      </c>
      <c r="G557" s="803"/>
      <c r="H557" s="345">
        <v>1186</v>
      </c>
      <c r="I557" s="345">
        <v>7</v>
      </c>
      <c r="J557" s="345">
        <v>94.3</v>
      </c>
      <c r="K557" s="345">
        <v>1179.2</v>
      </c>
      <c r="L557" s="346"/>
      <c r="M557" s="346"/>
      <c r="N557" s="346"/>
      <c r="O557" s="345"/>
      <c r="P557" s="345"/>
      <c r="Q557" s="345"/>
      <c r="R557" s="345"/>
      <c r="S557" s="345"/>
      <c r="T557" s="345"/>
      <c r="U557" s="345">
        <v>6.5</v>
      </c>
      <c r="V557" s="345">
        <v>89.6</v>
      </c>
      <c r="W557" s="345">
        <v>1217.5</v>
      </c>
      <c r="X557" s="345">
        <v>5</v>
      </c>
      <c r="Y557" s="345">
        <v>87.7</v>
      </c>
      <c r="Z557" s="345">
        <v>1220.2</v>
      </c>
      <c r="AA557">
        <f t="shared" si="8"/>
        <v>7</v>
      </c>
    </row>
    <row r="558" spans="1:27" x14ac:dyDescent="0.3">
      <c r="A558" s="345" t="s">
        <v>2229</v>
      </c>
      <c r="B558" s="805"/>
      <c r="C558" s="802"/>
      <c r="D558" s="802"/>
      <c r="E558" s="803"/>
      <c r="F558" s="805">
        <v>90.1</v>
      </c>
      <c r="G558" s="803"/>
      <c r="H558" s="345">
        <v>1187</v>
      </c>
      <c r="I558" s="345">
        <v>3.5</v>
      </c>
      <c r="J558" s="345">
        <v>97.8</v>
      </c>
      <c r="K558" s="345">
        <v>1182.7</v>
      </c>
      <c r="L558" s="346"/>
      <c r="M558" s="346"/>
      <c r="N558" s="346"/>
      <c r="O558" s="345"/>
      <c r="P558" s="345"/>
      <c r="Q558" s="345"/>
      <c r="R558" s="345">
        <v>0.2</v>
      </c>
      <c r="S558" s="345">
        <v>73.2</v>
      </c>
      <c r="T558" s="345">
        <v>1091</v>
      </c>
      <c r="U558" s="345">
        <v>2</v>
      </c>
      <c r="V558" s="345">
        <v>91.6</v>
      </c>
      <c r="W558" s="345">
        <v>1219.5</v>
      </c>
      <c r="X558" s="345">
        <v>1</v>
      </c>
      <c r="Y558" s="345">
        <v>88.7</v>
      </c>
      <c r="Z558" s="345">
        <v>1221.2</v>
      </c>
      <c r="AA558">
        <f t="shared" si="8"/>
        <v>3.5</v>
      </c>
    </row>
    <row r="559" spans="1:27" x14ac:dyDescent="0.3">
      <c r="A559" s="345" t="s">
        <v>2230</v>
      </c>
      <c r="B559" s="805"/>
      <c r="C559" s="802"/>
      <c r="D559" s="802"/>
      <c r="E559" s="803"/>
      <c r="F559" s="805">
        <v>108.6</v>
      </c>
      <c r="G559" s="803"/>
      <c r="H559" s="345">
        <v>1205.5</v>
      </c>
      <c r="I559" s="345">
        <v>30</v>
      </c>
      <c r="J559" s="345">
        <v>127.8</v>
      </c>
      <c r="K559" s="345">
        <v>1212.7</v>
      </c>
      <c r="L559" s="346"/>
      <c r="M559" s="346"/>
      <c r="N559" s="346"/>
      <c r="O559" s="345"/>
      <c r="P559" s="345"/>
      <c r="Q559" s="345"/>
      <c r="R559" s="345">
        <v>19</v>
      </c>
      <c r="S559" s="345">
        <v>92.2</v>
      </c>
      <c r="T559" s="345">
        <v>1110</v>
      </c>
      <c r="U559" s="345">
        <v>19.5</v>
      </c>
      <c r="V559" s="345">
        <v>111.1</v>
      </c>
      <c r="W559" s="345">
        <v>1239</v>
      </c>
      <c r="X559" s="345">
        <v>14</v>
      </c>
      <c r="Y559" s="345">
        <v>102.7</v>
      </c>
      <c r="Z559" s="345">
        <v>1235.2</v>
      </c>
      <c r="AA559">
        <f t="shared" si="8"/>
        <v>30</v>
      </c>
    </row>
    <row r="560" spans="1:27" x14ac:dyDescent="0.3">
      <c r="A560" s="345" t="s">
        <v>2231</v>
      </c>
      <c r="B560" s="805"/>
      <c r="C560" s="802"/>
      <c r="D560" s="802"/>
      <c r="E560" s="803"/>
      <c r="F560" s="805">
        <v>134.6</v>
      </c>
      <c r="G560" s="803"/>
      <c r="H560" s="345">
        <v>1231.5</v>
      </c>
      <c r="I560" s="345">
        <v>27</v>
      </c>
      <c r="J560" s="345">
        <v>154.80000000000001</v>
      </c>
      <c r="K560" s="345">
        <v>1239.7</v>
      </c>
      <c r="L560" s="346"/>
      <c r="M560" s="346"/>
      <c r="N560" s="346"/>
      <c r="O560" s="345"/>
      <c r="P560" s="345"/>
      <c r="Q560" s="345"/>
      <c r="R560" s="345">
        <v>0.8</v>
      </c>
      <c r="S560" s="345">
        <v>93</v>
      </c>
      <c r="T560" s="345">
        <v>1110.8</v>
      </c>
      <c r="U560" s="345">
        <v>8.1999999999999993</v>
      </c>
      <c r="V560" s="345">
        <v>119.3</v>
      </c>
      <c r="W560" s="345">
        <v>1247.2</v>
      </c>
      <c r="X560" s="345">
        <v>17</v>
      </c>
      <c r="Y560" s="345">
        <v>119.7</v>
      </c>
      <c r="Z560" s="345">
        <v>1252.2</v>
      </c>
      <c r="AA560">
        <f t="shared" si="8"/>
        <v>27</v>
      </c>
    </row>
    <row r="561" spans="1:27" x14ac:dyDescent="0.3">
      <c r="A561" s="345" t="s">
        <v>2232</v>
      </c>
      <c r="B561" s="805"/>
      <c r="C561" s="802"/>
      <c r="D561" s="802"/>
      <c r="E561" s="803"/>
      <c r="F561" s="805">
        <v>139.1</v>
      </c>
      <c r="G561" s="803"/>
      <c r="H561" s="345">
        <v>1236</v>
      </c>
      <c r="I561" s="345">
        <v>3</v>
      </c>
      <c r="J561" s="345">
        <v>157.80000000000001</v>
      </c>
      <c r="K561" s="345">
        <v>1242.7</v>
      </c>
      <c r="L561" s="346"/>
      <c r="M561" s="346"/>
      <c r="N561" s="346"/>
      <c r="O561" s="345"/>
      <c r="P561" s="345"/>
      <c r="Q561" s="345"/>
      <c r="R561" s="345">
        <v>4.8</v>
      </c>
      <c r="S561" s="345">
        <v>97.8</v>
      </c>
      <c r="T561" s="345">
        <v>1115.5999999999999</v>
      </c>
      <c r="U561" s="345">
        <v>4</v>
      </c>
      <c r="V561" s="345">
        <v>123.3</v>
      </c>
      <c r="W561" s="345">
        <v>1251.2</v>
      </c>
      <c r="X561" s="345">
        <v>4</v>
      </c>
      <c r="Y561" s="345">
        <v>123.7</v>
      </c>
      <c r="Z561" s="345">
        <v>1256.2</v>
      </c>
      <c r="AA561">
        <f t="shared" si="8"/>
        <v>3</v>
      </c>
    </row>
    <row r="562" spans="1:27" x14ac:dyDescent="0.3">
      <c r="A562" s="345" t="s">
        <v>2233</v>
      </c>
      <c r="B562" s="805"/>
      <c r="C562" s="802"/>
      <c r="D562" s="802"/>
      <c r="E562" s="803"/>
      <c r="F562" s="805">
        <v>146.1</v>
      </c>
      <c r="G562" s="803"/>
      <c r="H562" s="345">
        <v>1243</v>
      </c>
      <c r="I562" s="345">
        <v>5</v>
      </c>
      <c r="J562" s="345">
        <v>162.80000000000001</v>
      </c>
      <c r="K562" s="345">
        <v>1247.7</v>
      </c>
      <c r="L562" s="346"/>
      <c r="M562" s="346"/>
      <c r="N562" s="346"/>
      <c r="O562" s="345"/>
      <c r="P562" s="345"/>
      <c r="Q562" s="345"/>
      <c r="R562" s="345">
        <v>7</v>
      </c>
      <c r="S562" s="345">
        <v>104.8</v>
      </c>
      <c r="T562" s="345">
        <v>1122.5999999999999</v>
      </c>
      <c r="U562" s="345">
        <v>2</v>
      </c>
      <c r="V562" s="345">
        <v>125.3</v>
      </c>
      <c r="W562" s="345">
        <v>1253.2</v>
      </c>
      <c r="X562" s="345">
        <v>5.5</v>
      </c>
      <c r="Y562" s="345">
        <v>129.19999999999999</v>
      </c>
      <c r="Z562" s="345">
        <v>1261.7</v>
      </c>
      <c r="AA562">
        <f t="shared" si="8"/>
        <v>5</v>
      </c>
    </row>
    <row r="563" spans="1:27" x14ac:dyDescent="0.3">
      <c r="A563" s="345" t="s">
        <v>2234</v>
      </c>
      <c r="B563" s="805"/>
      <c r="C563" s="802"/>
      <c r="D563" s="802"/>
      <c r="E563" s="803"/>
      <c r="F563" s="805">
        <v>147.1</v>
      </c>
      <c r="G563" s="803"/>
      <c r="H563" s="345">
        <v>1244</v>
      </c>
      <c r="I563" s="345">
        <v>2</v>
      </c>
      <c r="J563" s="345">
        <v>164.8</v>
      </c>
      <c r="K563" s="345">
        <v>1249.7</v>
      </c>
      <c r="L563" s="346"/>
      <c r="M563" s="346"/>
      <c r="N563" s="346"/>
      <c r="O563" s="345"/>
      <c r="P563" s="345"/>
      <c r="Q563" s="345"/>
      <c r="R563" s="345">
        <v>0.4</v>
      </c>
      <c r="S563" s="345">
        <v>105.2</v>
      </c>
      <c r="T563" s="345">
        <v>1123</v>
      </c>
      <c r="U563" s="345">
        <v>1.5</v>
      </c>
      <c r="V563" s="345">
        <v>126.8</v>
      </c>
      <c r="W563" s="345">
        <v>1254.7</v>
      </c>
      <c r="X563" s="345">
        <v>1.5</v>
      </c>
      <c r="Y563" s="345">
        <v>130.69999999999999</v>
      </c>
      <c r="Z563" s="345">
        <v>1263.2</v>
      </c>
      <c r="AA563">
        <f t="shared" si="8"/>
        <v>2</v>
      </c>
    </row>
    <row r="564" spans="1:27" x14ac:dyDescent="0.3">
      <c r="A564" s="345" t="s">
        <v>2235</v>
      </c>
      <c r="B564" s="805"/>
      <c r="C564" s="802"/>
      <c r="D564" s="802"/>
      <c r="E564" s="803"/>
      <c r="F564" s="805">
        <v>150.6</v>
      </c>
      <c r="G564" s="803"/>
      <c r="H564" s="345">
        <v>1247.5</v>
      </c>
      <c r="I564" s="345">
        <v>3</v>
      </c>
      <c r="J564" s="345">
        <v>167.8</v>
      </c>
      <c r="K564" s="345">
        <v>1252.7</v>
      </c>
      <c r="L564" s="346"/>
      <c r="M564" s="346"/>
      <c r="N564" s="346"/>
      <c r="O564" s="345"/>
      <c r="P564" s="345"/>
      <c r="Q564" s="345"/>
      <c r="R564" s="345">
        <v>3.8</v>
      </c>
      <c r="S564" s="345">
        <v>109</v>
      </c>
      <c r="T564" s="345">
        <v>1126.8</v>
      </c>
      <c r="U564" s="345">
        <v>4</v>
      </c>
      <c r="V564" s="345">
        <v>130.80000000000001</v>
      </c>
      <c r="W564" s="345">
        <v>1258.7</v>
      </c>
      <c r="X564" s="345">
        <v>3.5</v>
      </c>
      <c r="Y564" s="345">
        <v>134.19999999999999</v>
      </c>
      <c r="Z564" s="345">
        <v>1266.7</v>
      </c>
      <c r="AA564">
        <f t="shared" si="8"/>
        <v>3</v>
      </c>
    </row>
    <row r="565" spans="1:27" x14ac:dyDescent="0.3">
      <c r="A565" s="345" t="s">
        <v>2236</v>
      </c>
      <c r="B565" s="805"/>
      <c r="C565" s="802"/>
      <c r="D565" s="802"/>
      <c r="E565" s="803"/>
      <c r="F565" s="805">
        <v>204.6</v>
      </c>
      <c r="G565" s="803"/>
      <c r="H565" s="345">
        <v>1301.5</v>
      </c>
      <c r="I565" s="345">
        <v>56</v>
      </c>
      <c r="J565" s="345">
        <v>223.8</v>
      </c>
      <c r="K565" s="345">
        <v>1308.7</v>
      </c>
      <c r="L565" s="346"/>
      <c r="M565" s="346"/>
      <c r="N565" s="346"/>
      <c r="O565" s="345"/>
      <c r="P565" s="345"/>
      <c r="Q565" s="345"/>
      <c r="R565" s="345">
        <v>47.6</v>
      </c>
      <c r="S565" s="345">
        <v>156.6</v>
      </c>
      <c r="T565" s="345">
        <v>1174.4000000000001</v>
      </c>
      <c r="U565" s="345">
        <v>56</v>
      </c>
      <c r="V565" s="345">
        <v>186.8</v>
      </c>
      <c r="W565" s="345">
        <v>1314.7</v>
      </c>
      <c r="X565" s="345">
        <v>61</v>
      </c>
      <c r="Y565" s="345">
        <v>195.2</v>
      </c>
      <c r="Z565" s="345">
        <v>1327.7</v>
      </c>
      <c r="AA565">
        <f t="shared" si="8"/>
        <v>56</v>
      </c>
    </row>
    <row r="566" spans="1:27" x14ac:dyDescent="0.3">
      <c r="A566" s="345" t="s">
        <v>2237</v>
      </c>
      <c r="B566" s="805"/>
      <c r="C566" s="802"/>
      <c r="D566" s="802"/>
      <c r="E566" s="803"/>
      <c r="F566" s="805">
        <v>218.6</v>
      </c>
      <c r="G566" s="803"/>
      <c r="H566" s="345">
        <v>1315.5</v>
      </c>
      <c r="I566" s="345">
        <v>17</v>
      </c>
      <c r="J566" s="345">
        <v>240.8</v>
      </c>
      <c r="K566" s="345">
        <v>1325.7</v>
      </c>
      <c r="L566" s="346"/>
      <c r="M566" s="346"/>
      <c r="N566" s="346"/>
      <c r="O566" s="345"/>
      <c r="P566" s="345"/>
      <c r="Q566" s="345"/>
      <c r="R566" s="345">
        <v>9.6</v>
      </c>
      <c r="S566" s="345">
        <v>166.2</v>
      </c>
      <c r="T566" s="345">
        <v>1184</v>
      </c>
      <c r="U566" s="345">
        <v>7.5</v>
      </c>
      <c r="V566" s="345">
        <v>194.3</v>
      </c>
      <c r="W566" s="345">
        <v>1322.2</v>
      </c>
      <c r="X566" s="345">
        <v>8</v>
      </c>
      <c r="Y566" s="345">
        <v>203.2</v>
      </c>
      <c r="Z566" s="345">
        <v>1335.7</v>
      </c>
      <c r="AA566">
        <f t="shared" si="8"/>
        <v>17</v>
      </c>
    </row>
    <row r="567" spans="1:27" x14ac:dyDescent="0.3">
      <c r="A567" s="345" t="s">
        <v>2238</v>
      </c>
      <c r="B567" s="805"/>
      <c r="C567" s="802"/>
      <c r="D567" s="802"/>
      <c r="E567" s="803"/>
      <c r="F567" s="805">
        <v>218.6</v>
      </c>
      <c r="G567" s="803"/>
      <c r="H567" s="345">
        <v>1315.5</v>
      </c>
      <c r="I567" s="345">
        <v>0</v>
      </c>
      <c r="J567" s="345">
        <v>240.8</v>
      </c>
      <c r="K567" s="345">
        <v>1325.7</v>
      </c>
      <c r="L567" s="346"/>
      <c r="M567" s="346"/>
      <c r="N567" s="346"/>
      <c r="O567" s="345"/>
      <c r="P567" s="345"/>
      <c r="Q567" s="345"/>
      <c r="R567" s="345">
        <v>0</v>
      </c>
      <c r="S567" s="345">
        <v>166.2</v>
      </c>
      <c r="T567" s="345">
        <v>1184</v>
      </c>
      <c r="U567" s="345">
        <v>0</v>
      </c>
      <c r="V567" s="345">
        <v>194.3</v>
      </c>
      <c r="W567" s="345">
        <v>1322.2</v>
      </c>
      <c r="X567" s="345">
        <v>0</v>
      </c>
      <c r="Y567" s="345">
        <v>203.2</v>
      </c>
      <c r="Z567" s="345">
        <v>1335.7</v>
      </c>
      <c r="AA567">
        <f t="shared" si="8"/>
        <v>0</v>
      </c>
    </row>
    <row r="568" spans="1:27" x14ac:dyDescent="0.3">
      <c r="A568" s="345" t="s">
        <v>2239</v>
      </c>
      <c r="B568" s="805"/>
      <c r="C568" s="802"/>
      <c r="D568" s="802"/>
      <c r="E568" s="803"/>
      <c r="F568" s="805">
        <v>231.1</v>
      </c>
      <c r="G568" s="803"/>
      <c r="H568" s="345">
        <v>1328</v>
      </c>
      <c r="I568" s="345">
        <v>13.5</v>
      </c>
      <c r="J568" s="345">
        <v>254.3</v>
      </c>
      <c r="K568" s="345">
        <v>1339.2</v>
      </c>
      <c r="L568" s="346"/>
      <c r="M568" s="346"/>
      <c r="N568" s="346"/>
      <c r="O568" s="345"/>
      <c r="P568" s="345"/>
      <c r="Q568" s="345"/>
      <c r="R568" s="345">
        <v>14</v>
      </c>
      <c r="S568" s="345">
        <v>180.2</v>
      </c>
      <c r="T568" s="345">
        <v>1198</v>
      </c>
      <c r="U568" s="345">
        <v>16</v>
      </c>
      <c r="V568" s="345">
        <v>210.3</v>
      </c>
      <c r="W568" s="345">
        <v>1338.2</v>
      </c>
      <c r="X568" s="345">
        <v>13</v>
      </c>
      <c r="Y568" s="345">
        <v>216.2</v>
      </c>
      <c r="Z568" s="345">
        <v>1348.7</v>
      </c>
      <c r="AA568">
        <f t="shared" si="8"/>
        <v>13.5</v>
      </c>
    </row>
    <row r="569" spans="1:27" x14ac:dyDescent="0.3">
      <c r="A569" s="345" t="s">
        <v>2240</v>
      </c>
      <c r="B569" s="805"/>
      <c r="C569" s="802"/>
      <c r="D569" s="802"/>
      <c r="E569" s="803"/>
      <c r="F569" s="805">
        <v>235.1</v>
      </c>
      <c r="G569" s="803"/>
      <c r="H569" s="345">
        <v>1332</v>
      </c>
      <c r="I569" s="345">
        <v>5.5</v>
      </c>
      <c r="J569" s="345">
        <v>259.8</v>
      </c>
      <c r="K569" s="345">
        <v>1344.7</v>
      </c>
      <c r="L569" s="346"/>
      <c r="M569" s="346"/>
      <c r="N569" s="346"/>
      <c r="O569" s="345"/>
      <c r="P569" s="345"/>
      <c r="Q569" s="345"/>
      <c r="R569" s="345">
        <v>0.8</v>
      </c>
      <c r="S569" s="345">
        <v>181</v>
      </c>
      <c r="T569" s="345">
        <v>1198.8</v>
      </c>
      <c r="U569" s="345">
        <v>2</v>
      </c>
      <c r="V569" s="345">
        <v>212.3</v>
      </c>
      <c r="W569" s="345">
        <v>1340.2</v>
      </c>
      <c r="X569" s="345">
        <v>3.5</v>
      </c>
      <c r="Y569" s="345">
        <v>219.7</v>
      </c>
      <c r="Z569" s="345">
        <v>1352.2</v>
      </c>
      <c r="AA569">
        <f t="shared" si="8"/>
        <v>5.5</v>
      </c>
    </row>
    <row r="570" spans="1:27" x14ac:dyDescent="0.3">
      <c r="A570" s="345" t="s">
        <v>2241</v>
      </c>
      <c r="B570" s="805"/>
      <c r="C570" s="802"/>
      <c r="D570" s="802"/>
      <c r="E570" s="803"/>
      <c r="F570" s="805">
        <v>236.1</v>
      </c>
      <c r="G570" s="803"/>
      <c r="H570" s="345">
        <v>1333</v>
      </c>
      <c r="I570" s="345">
        <v>1</v>
      </c>
      <c r="J570" s="345">
        <v>260.8</v>
      </c>
      <c r="K570" s="345">
        <v>1345.7</v>
      </c>
      <c r="L570" s="346"/>
      <c r="M570" s="346"/>
      <c r="N570" s="346"/>
      <c r="O570" s="345"/>
      <c r="P570" s="345"/>
      <c r="Q570" s="345"/>
      <c r="R570" s="345">
        <v>0</v>
      </c>
      <c r="S570" s="345">
        <v>181</v>
      </c>
      <c r="T570" s="345">
        <v>1198.8</v>
      </c>
      <c r="U570" s="345">
        <v>1.5</v>
      </c>
      <c r="V570" s="345">
        <v>213.8</v>
      </c>
      <c r="W570" s="345">
        <v>1341.7</v>
      </c>
      <c r="X570" s="345">
        <v>1</v>
      </c>
      <c r="Y570" s="345">
        <v>220.7</v>
      </c>
      <c r="Z570" s="345">
        <v>1353.2</v>
      </c>
      <c r="AA570">
        <f t="shared" si="8"/>
        <v>1</v>
      </c>
    </row>
    <row r="571" spans="1:27" x14ac:dyDescent="0.3">
      <c r="A571" s="345" t="s">
        <v>2242</v>
      </c>
      <c r="B571" s="805"/>
      <c r="C571" s="802"/>
      <c r="D571" s="802"/>
      <c r="E571" s="803"/>
      <c r="F571" s="805">
        <v>262.60000000000002</v>
      </c>
      <c r="G571" s="803"/>
      <c r="H571" s="345">
        <v>1359.5</v>
      </c>
      <c r="I571" s="345">
        <v>27</v>
      </c>
      <c r="J571" s="345">
        <v>287.8</v>
      </c>
      <c r="K571" s="345">
        <v>1372.7</v>
      </c>
      <c r="L571" s="346"/>
      <c r="M571" s="346"/>
      <c r="N571" s="346"/>
      <c r="O571" s="345"/>
      <c r="P571" s="345"/>
      <c r="Q571" s="345"/>
      <c r="R571" s="345">
        <v>27</v>
      </c>
      <c r="S571" s="345">
        <v>208</v>
      </c>
      <c r="T571" s="345">
        <v>1225.8</v>
      </c>
      <c r="U571" s="345">
        <v>27</v>
      </c>
      <c r="V571" s="345">
        <v>240.8</v>
      </c>
      <c r="W571" s="345">
        <v>1368.7</v>
      </c>
      <c r="X571" s="345">
        <v>14.5</v>
      </c>
      <c r="Y571" s="345">
        <v>235.2</v>
      </c>
      <c r="Z571" s="345">
        <v>1367.7</v>
      </c>
      <c r="AA571">
        <f t="shared" si="8"/>
        <v>27</v>
      </c>
    </row>
    <row r="572" spans="1:27" x14ac:dyDescent="0.3">
      <c r="A572" s="345" t="s">
        <v>2243</v>
      </c>
      <c r="B572" s="805"/>
      <c r="C572" s="802"/>
      <c r="D572" s="802"/>
      <c r="E572" s="803"/>
      <c r="F572" s="805">
        <v>300.10000000000002</v>
      </c>
      <c r="G572" s="803"/>
      <c r="H572" s="345">
        <v>1397</v>
      </c>
      <c r="I572" s="345">
        <v>33</v>
      </c>
      <c r="J572" s="345">
        <v>320.8</v>
      </c>
      <c r="K572" s="345">
        <v>1405.7</v>
      </c>
      <c r="L572" s="346"/>
      <c r="M572" s="346"/>
      <c r="N572" s="346"/>
      <c r="O572" s="345"/>
      <c r="P572" s="345"/>
      <c r="Q572" s="345"/>
      <c r="R572" s="345">
        <v>29</v>
      </c>
      <c r="S572" s="345">
        <v>237</v>
      </c>
      <c r="T572" s="345">
        <v>1254.8</v>
      </c>
      <c r="U572" s="345">
        <v>24</v>
      </c>
      <c r="V572" s="345">
        <v>264.8</v>
      </c>
      <c r="W572" s="345">
        <v>1392.7</v>
      </c>
      <c r="X572" s="345">
        <v>28.5</v>
      </c>
      <c r="Y572" s="345">
        <v>263.7</v>
      </c>
      <c r="Z572" s="345">
        <v>1396.2</v>
      </c>
      <c r="AA572">
        <f t="shared" si="8"/>
        <v>33</v>
      </c>
    </row>
    <row r="573" spans="1:27" x14ac:dyDescent="0.3">
      <c r="A573" s="345" t="s">
        <v>2244</v>
      </c>
      <c r="B573" s="805"/>
      <c r="C573" s="802"/>
      <c r="D573" s="802"/>
      <c r="E573" s="803"/>
      <c r="F573" s="805">
        <v>302.10000000000002</v>
      </c>
      <c r="G573" s="803"/>
      <c r="H573" s="345">
        <v>1399</v>
      </c>
      <c r="I573" s="345">
        <v>3.5</v>
      </c>
      <c r="J573" s="345">
        <v>324.3</v>
      </c>
      <c r="K573" s="345">
        <v>1409.2</v>
      </c>
      <c r="L573" s="346"/>
      <c r="M573" s="346"/>
      <c r="N573" s="346"/>
      <c r="O573" s="345"/>
      <c r="P573" s="345"/>
      <c r="Q573" s="345"/>
      <c r="R573" s="345">
        <v>2.2000000000000002</v>
      </c>
      <c r="S573" s="345">
        <v>239.2</v>
      </c>
      <c r="T573" s="345">
        <v>1257</v>
      </c>
      <c r="U573" s="345">
        <v>2.5</v>
      </c>
      <c r="V573" s="345">
        <v>267.3</v>
      </c>
      <c r="W573" s="345">
        <v>1395.2</v>
      </c>
      <c r="X573" s="345">
        <v>2.5</v>
      </c>
      <c r="Y573" s="345">
        <v>266.2</v>
      </c>
      <c r="Z573" s="345">
        <v>1398.7</v>
      </c>
      <c r="AA573">
        <f t="shared" si="8"/>
        <v>3.5</v>
      </c>
    </row>
    <row r="574" spans="1:27" x14ac:dyDescent="0.3">
      <c r="A574" s="345" t="s">
        <v>2245</v>
      </c>
      <c r="B574" s="805"/>
      <c r="C574" s="802"/>
      <c r="D574" s="802"/>
      <c r="E574" s="803"/>
      <c r="F574" s="805">
        <v>318.10000000000002</v>
      </c>
      <c r="G574" s="803"/>
      <c r="H574" s="345">
        <v>1415</v>
      </c>
      <c r="I574" s="345">
        <v>18.5</v>
      </c>
      <c r="J574" s="345">
        <v>342.8</v>
      </c>
      <c r="K574" s="345">
        <v>1427.7</v>
      </c>
      <c r="L574" s="346"/>
      <c r="M574" s="346"/>
      <c r="N574" s="346"/>
      <c r="O574" s="345"/>
      <c r="P574" s="345"/>
      <c r="Q574" s="345"/>
      <c r="R574" s="345">
        <v>16.8</v>
      </c>
      <c r="S574" s="345">
        <v>256</v>
      </c>
      <c r="T574" s="345">
        <v>1273.8</v>
      </c>
      <c r="U574" s="345">
        <v>17.5</v>
      </c>
      <c r="V574" s="345">
        <v>284.8</v>
      </c>
      <c r="W574" s="345">
        <v>1412.7</v>
      </c>
      <c r="X574" s="345">
        <v>18.5</v>
      </c>
      <c r="Y574" s="345">
        <v>284.7</v>
      </c>
      <c r="Z574" s="345">
        <v>1417.2</v>
      </c>
      <c r="AA574">
        <f t="shared" si="8"/>
        <v>18.5</v>
      </c>
    </row>
    <row r="575" spans="1:27" x14ac:dyDescent="0.3">
      <c r="A575" s="345" t="s">
        <v>2246</v>
      </c>
      <c r="B575" s="805"/>
      <c r="C575" s="802"/>
      <c r="D575" s="802"/>
      <c r="E575" s="803"/>
      <c r="F575" s="805">
        <v>326.10000000000002</v>
      </c>
      <c r="G575" s="803"/>
      <c r="H575" s="345">
        <v>1423</v>
      </c>
      <c r="I575" s="345">
        <v>9</v>
      </c>
      <c r="J575" s="345">
        <v>351.8</v>
      </c>
      <c r="K575" s="345">
        <v>1436.7</v>
      </c>
      <c r="L575" s="346"/>
      <c r="M575" s="346"/>
      <c r="N575" s="346"/>
      <c r="O575" s="345"/>
      <c r="P575" s="345"/>
      <c r="Q575" s="345"/>
      <c r="R575" s="345">
        <v>8</v>
      </c>
      <c r="S575" s="345">
        <v>264</v>
      </c>
      <c r="T575" s="345">
        <v>1281.8</v>
      </c>
      <c r="U575" s="345">
        <v>9.5</v>
      </c>
      <c r="V575" s="345">
        <v>294.3</v>
      </c>
      <c r="W575" s="345">
        <v>1422.2</v>
      </c>
      <c r="X575" s="345">
        <v>7.5</v>
      </c>
      <c r="Y575" s="345">
        <v>292.2</v>
      </c>
      <c r="Z575" s="345">
        <v>1424.7</v>
      </c>
      <c r="AA575">
        <f t="shared" si="8"/>
        <v>9</v>
      </c>
    </row>
    <row r="576" spans="1:27" x14ac:dyDescent="0.3">
      <c r="A576" s="345" t="s">
        <v>2247</v>
      </c>
      <c r="B576" s="805"/>
      <c r="C576" s="802"/>
      <c r="D576" s="802"/>
      <c r="E576" s="803"/>
      <c r="F576" s="805">
        <v>328.6</v>
      </c>
      <c r="G576" s="803"/>
      <c r="H576" s="345">
        <v>1425.5</v>
      </c>
      <c r="I576" s="345">
        <v>2.5</v>
      </c>
      <c r="J576" s="345">
        <v>354.3</v>
      </c>
      <c r="K576" s="345">
        <v>1439.2</v>
      </c>
      <c r="L576" s="346"/>
      <c r="M576" s="346"/>
      <c r="N576" s="346"/>
      <c r="O576" s="345"/>
      <c r="P576" s="345"/>
      <c r="Q576" s="345"/>
      <c r="R576" s="345">
        <v>1</v>
      </c>
      <c r="S576" s="345">
        <v>265</v>
      </c>
      <c r="T576" s="345">
        <v>1282.8</v>
      </c>
      <c r="U576" s="345">
        <v>1</v>
      </c>
      <c r="V576" s="345">
        <v>295.3</v>
      </c>
      <c r="W576" s="345">
        <v>1423.2</v>
      </c>
      <c r="X576" s="345">
        <v>1</v>
      </c>
      <c r="Y576" s="345">
        <v>293.2</v>
      </c>
      <c r="Z576" s="345">
        <v>1425.7</v>
      </c>
      <c r="AA576">
        <f t="shared" si="8"/>
        <v>2.5</v>
      </c>
    </row>
    <row r="577" spans="1:27" x14ac:dyDescent="0.3">
      <c r="A577" s="345" t="s">
        <v>2248</v>
      </c>
      <c r="B577" s="805"/>
      <c r="C577" s="802"/>
      <c r="D577" s="802"/>
      <c r="E577" s="803"/>
      <c r="F577" s="805">
        <v>329</v>
      </c>
      <c r="G577" s="803"/>
      <c r="H577" s="345">
        <v>1425.9</v>
      </c>
      <c r="I577" s="345">
        <v>0.4</v>
      </c>
      <c r="J577" s="345">
        <v>354.7</v>
      </c>
      <c r="K577" s="345">
        <v>1439.6</v>
      </c>
      <c r="L577" s="346"/>
      <c r="M577" s="346"/>
      <c r="N577" s="346"/>
      <c r="O577" s="345"/>
      <c r="P577" s="345"/>
      <c r="Q577" s="345"/>
      <c r="R577" s="345">
        <v>0.2</v>
      </c>
      <c r="S577" s="345">
        <v>265.2</v>
      </c>
      <c r="T577" s="345">
        <v>1283</v>
      </c>
      <c r="U577" s="345">
        <v>0.5</v>
      </c>
      <c r="V577" s="345">
        <v>295.8</v>
      </c>
      <c r="W577" s="345">
        <v>1423.7</v>
      </c>
      <c r="X577" s="345">
        <v>0.4</v>
      </c>
      <c r="Y577" s="345">
        <v>293.60000000000002</v>
      </c>
      <c r="Z577" s="345">
        <v>1426.1</v>
      </c>
      <c r="AA577">
        <f t="shared" si="8"/>
        <v>0.4</v>
      </c>
    </row>
    <row r="578" spans="1:27" x14ac:dyDescent="0.3">
      <c r="A578" s="345" t="s">
        <v>2249</v>
      </c>
      <c r="B578" s="805"/>
      <c r="C578" s="802"/>
      <c r="D578" s="802"/>
      <c r="E578" s="803"/>
      <c r="F578" s="805">
        <v>329.2</v>
      </c>
      <c r="G578" s="803"/>
      <c r="H578" s="345">
        <v>1426.1</v>
      </c>
      <c r="I578" s="345">
        <v>0.4</v>
      </c>
      <c r="J578" s="345">
        <v>355.1</v>
      </c>
      <c r="K578" s="345">
        <v>1440</v>
      </c>
      <c r="L578" s="346"/>
      <c r="M578" s="346"/>
      <c r="N578" s="346"/>
      <c r="O578" s="345"/>
      <c r="P578" s="345"/>
      <c r="Q578" s="345"/>
      <c r="R578" s="345">
        <v>0.4</v>
      </c>
      <c r="S578" s="345">
        <v>265.60000000000002</v>
      </c>
      <c r="T578" s="345">
        <v>1283.4000000000001</v>
      </c>
      <c r="U578" s="345">
        <v>0.4</v>
      </c>
      <c r="V578" s="345">
        <v>296.2</v>
      </c>
      <c r="W578" s="345">
        <v>1424.1</v>
      </c>
      <c r="X578" s="345">
        <v>0.2</v>
      </c>
      <c r="Y578" s="345">
        <v>293.8</v>
      </c>
      <c r="Z578" s="345">
        <v>1426.3</v>
      </c>
      <c r="AA578">
        <f t="shared" si="8"/>
        <v>0.4</v>
      </c>
    </row>
    <row r="579" spans="1:27" s="362" customFormat="1" x14ac:dyDescent="0.3">
      <c r="A579" s="359" t="s">
        <v>2250</v>
      </c>
      <c r="B579" s="811"/>
      <c r="C579" s="812"/>
      <c r="D579" s="812"/>
      <c r="E579" s="813"/>
      <c r="F579" s="811">
        <v>334.7</v>
      </c>
      <c r="G579" s="813"/>
      <c r="H579" s="359">
        <v>1431.6</v>
      </c>
      <c r="I579" s="359">
        <v>6</v>
      </c>
      <c r="J579" s="359">
        <v>361.1</v>
      </c>
      <c r="K579" s="359">
        <v>1446</v>
      </c>
      <c r="L579" s="359"/>
      <c r="M579" s="359"/>
      <c r="N579" s="359"/>
      <c r="O579" s="359"/>
      <c r="P579" s="359"/>
      <c r="Q579" s="359"/>
      <c r="R579" s="359">
        <v>5.2</v>
      </c>
      <c r="S579" s="359">
        <v>270.8</v>
      </c>
      <c r="T579" s="359">
        <v>1288.5999999999999</v>
      </c>
      <c r="U579" s="359">
        <v>5.5</v>
      </c>
      <c r="V579" s="359">
        <v>301.7</v>
      </c>
      <c r="W579" s="359">
        <v>1429.6</v>
      </c>
      <c r="X579" s="359">
        <v>5</v>
      </c>
      <c r="Y579" s="359">
        <v>298.8</v>
      </c>
      <c r="Z579" s="359">
        <v>1431.3</v>
      </c>
      <c r="AA579" s="362">
        <f t="shared" si="8"/>
        <v>6</v>
      </c>
    </row>
    <row r="580" spans="1:27" ht="28.8" x14ac:dyDescent="0.3">
      <c r="A580" s="345" t="s">
        <v>2251</v>
      </c>
      <c r="B580" s="805"/>
      <c r="C580" s="802"/>
      <c r="D580" s="802"/>
      <c r="E580" s="803"/>
      <c r="F580" s="805">
        <v>0</v>
      </c>
      <c r="G580" s="803"/>
      <c r="H580" s="345">
        <v>1431.6</v>
      </c>
      <c r="I580" s="345">
        <v>0</v>
      </c>
      <c r="J580" s="345">
        <v>0</v>
      </c>
      <c r="K580" s="345">
        <v>1446</v>
      </c>
      <c r="L580" s="346"/>
      <c r="M580" s="346"/>
      <c r="N580" s="346"/>
      <c r="O580" s="345"/>
      <c r="P580" s="345"/>
      <c r="Q580" s="345"/>
      <c r="R580" s="345">
        <v>0</v>
      </c>
      <c r="S580" s="345">
        <v>0</v>
      </c>
      <c r="T580" s="345">
        <v>1288.5999999999999</v>
      </c>
      <c r="U580" s="345">
        <v>0</v>
      </c>
      <c r="V580" s="345">
        <v>0</v>
      </c>
      <c r="W580" s="345">
        <v>1429.6</v>
      </c>
      <c r="X580" s="345">
        <v>0</v>
      </c>
      <c r="Y580" s="345">
        <v>0</v>
      </c>
      <c r="Z580" s="345">
        <v>1431.3</v>
      </c>
      <c r="AA580">
        <f t="shared" si="8"/>
        <v>0</v>
      </c>
    </row>
    <row r="581" spans="1:27" ht="28.8" x14ac:dyDescent="0.3">
      <c r="A581" s="345" t="s">
        <v>2252</v>
      </c>
      <c r="B581" s="805"/>
      <c r="C581" s="802"/>
      <c r="D581" s="802"/>
      <c r="E581" s="803"/>
      <c r="F581" s="805">
        <v>0.3</v>
      </c>
      <c r="G581" s="803"/>
      <c r="H581" s="345">
        <v>1431.9</v>
      </c>
      <c r="I581" s="345">
        <v>0.5</v>
      </c>
      <c r="J581" s="345">
        <v>0.5</v>
      </c>
      <c r="K581" s="345">
        <v>1446.5</v>
      </c>
      <c r="L581" s="346"/>
      <c r="M581" s="346"/>
      <c r="N581" s="346"/>
      <c r="O581" s="345"/>
      <c r="P581" s="345"/>
      <c r="Q581" s="345"/>
      <c r="R581" s="345">
        <v>0</v>
      </c>
      <c r="S581" s="345">
        <v>0</v>
      </c>
      <c r="T581" s="345">
        <v>1288.5999999999999</v>
      </c>
      <c r="U581" s="345">
        <v>0.2</v>
      </c>
      <c r="V581" s="345">
        <v>0.2</v>
      </c>
      <c r="W581" s="345">
        <v>1429.8</v>
      </c>
      <c r="X581" s="345">
        <v>0.3</v>
      </c>
      <c r="Y581" s="345">
        <v>0.3</v>
      </c>
      <c r="Z581" s="345">
        <v>1431.6</v>
      </c>
      <c r="AA581">
        <f t="shared" si="8"/>
        <v>0.5</v>
      </c>
    </row>
    <row r="582" spans="1:27" ht="28.8" x14ac:dyDescent="0.3">
      <c r="A582" s="345" t="s">
        <v>2253</v>
      </c>
      <c r="B582" s="805"/>
      <c r="C582" s="802"/>
      <c r="D582" s="802"/>
      <c r="E582" s="803"/>
      <c r="F582" s="805">
        <v>0.6</v>
      </c>
      <c r="G582" s="803"/>
      <c r="H582" s="345">
        <v>1432.2</v>
      </c>
      <c r="I582" s="345">
        <v>0.4</v>
      </c>
      <c r="J582" s="345">
        <v>0.9</v>
      </c>
      <c r="K582" s="345">
        <v>1446.9</v>
      </c>
      <c r="L582" s="346"/>
      <c r="M582" s="346"/>
      <c r="N582" s="346"/>
      <c r="O582" s="345"/>
      <c r="P582" s="345"/>
      <c r="Q582" s="345"/>
      <c r="R582" s="345">
        <v>0</v>
      </c>
      <c r="S582" s="345">
        <v>0</v>
      </c>
      <c r="T582" s="345">
        <v>1288.5999999999999</v>
      </c>
      <c r="U582" s="345">
        <v>0.2</v>
      </c>
      <c r="V582" s="345">
        <v>0.4</v>
      </c>
      <c r="W582" s="345">
        <v>1430</v>
      </c>
      <c r="X582" s="345">
        <v>0.2</v>
      </c>
      <c r="Y582" s="345">
        <v>0.5</v>
      </c>
      <c r="Z582" s="345">
        <v>1431.8</v>
      </c>
      <c r="AA582">
        <f t="shared" si="8"/>
        <v>0.4</v>
      </c>
    </row>
    <row r="583" spans="1:27" ht="28.8" x14ac:dyDescent="0.3">
      <c r="A583" s="345" t="s">
        <v>2254</v>
      </c>
      <c r="B583" s="805"/>
      <c r="C583" s="802"/>
      <c r="D583" s="802"/>
      <c r="E583" s="803"/>
      <c r="F583" s="805">
        <v>1</v>
      </c>
      <c r="G583" s="803"/>
      <c r="H583" s="345">
        <v>1432.6</v>
      </c>
      <c r="I583" s="345">
        <v>0.5</v>
      </c>
      <c r="J583" s="345">
        <v>1.4</v>
      </c>
      <c r="K583" s="345">
        <v>1447.4</v>
      </c>
      <c r="L583" s="346"/>
      <c r="M583" s="346"/>
      <c r="N583" s="346"/>
      <c r="O583" s="345"/>
      <c r="P583" s="345"/>
      <c r="Q583" s="345"/>
      <c r="R583" s="345">
        <v>0.2</v>
      </c>
      <c r="S583" s="345">
        <v>0.2</v>
      </c>
      <c r="T583" s="345">
        <v>1288.8</v>
      </c>
      <c r="U583" s="345">
        <v>0.3</v>
      </c>
      <c r="V583" s="345">
        <v>0.7</v>
      </c>
      <c r="W583" s="345">
        <v>1430.3</v>
      </c>
      <c r="X583" s="345">
        <v>0.3</v>
      </c>
      <c r="Y583" s="345">
        <v>0.8</v>
      </c>
      <c r="Z583" s="345">
        <v>1432.1</v>
      </c>
      <c r="AA583">
        <f t="shared" si="8"/>
        <v>0.5</v>
      </c>
    </row>
    <row r="584" spans="1:27" ht="28.8" x14ac:dyDescent="0.3">
      <c r="A584" s="345" t="s">
        <v>2255</v>
      </c>
      <c r="B584" s="805"/>
      <c r="C584" s="802"/>
      <c r="D584" s="802"/>
      <c r="E584" s="803"/>
      <c r="F584" s="805">
        <v>1</v>
      </c>
      <c r="G584" s="803"/>
      <c r="H584" s="345">
        <v>1432.6</v>
      </c>
      <c r="I584" s="345">
        <v>0</v>
      </c>
      <c r="J584" s="345">
        <v>1.4</v>
      </c>
      <c r="K584" s="345">
        <v>1447.4</v>
      </c>
      <c r="L584" s="346"/>
      <c r="M584" s="346"/>
      <c r="N584" s="346"/>
      <c r="O584" s="345"/>
      <c r="P584" s="345"/>
      <c r="Q584" s="345"/>
      <c r="R584" s="345">
        <v>0</v>
      </c>
      <c r="S584" s="345">
        <v>0.2</v>
      </c>
      <c r="T584" s="345">
        <v>1288.8</v>
      </c>
      <c r="U584" s="345">
        <v>0</v>
      </c>
      <c r="V584" s="345">
        <v>0.7</v>
      </c>
      <c r="W584" s="345">
        <v>1430.3</v>
      </c>
      <c r="X584" s="345">
        <v>0</v>
      </c>
      <c r="Y584" s="345">
        <v>0.8</v>
      </c>
      <c r="Z584" s="345">
        <v>1432.1</v>
      </c>
      <c r="AA584">
        <f t="shared" ref="AA584:AA647" si="9">MAX(B584+I584+L584+O584)</f>
        <v>0</v>
      </c>
    </row>
    <row r="585" spans="1:27" ht="28.8" x14ac:dyDescent="0.3">
      <c r="A585" s="345" t="s">
        <v>2256</v>
      </c>
      <c r="B585" s="805"/>
      <c r="C585" s="802"/>
      <c r="D585" s="802"/>
      <c r="E585" s="803"/>
      <c r="F585" s="805">
        <v>1</v>
      </c>
      <c r="G585" s="803"/>
      <c r="H585" s="345">
        <v>1432.6</v>
      </c>
      <c r="I585" s="345">
        <v>0</v>
      </c>
      <c r="J585" s="345">
        <v>1.4</v>
      </c>
      <c r="K585" s="345">
        <v>1447.4</v>
      </c>
      <c r="L585" s="346"/>
      <c r="M585" s="346"/>
      <c r="N585" s="346"/>
      <c r="O585" s="345"/>
      <c r="P585" s="345"/>
      <c r="Q585" s="345"/>
      <c r="R585" s="345">
        <v>0</v>
      </c>
      <c r="S585" s="345">
        <v>0.2</v>
      </c>
      <c r="T585" s="345">
        <v>1288.8</v>
      </c>
      <c r="U585" s="345">
        <v>0</v>
      </c>
      <c r="V585" s="345">
        <v>0.7</v>
      </c>
      <c r="W585" s="345">
        <v>1430.3</v>
      </c>
      <c r="X585" s="345">
        <v>0</v>
      </c>
      <c r="Y585" s="345">
        <v>0.8</v>
      </c>
      <c r="Z585" s="345">
        <v>1432.1</v>
      </c>
      <c r="AA585">
        <f t="shared" si="9"/>
        <v>0</v>
      </c>
    </row>
    <row r="586" spans="1:27" ht="28.8" x14ac:dyDescent="0.3">
      <c r="A586" s="345" t="s">
        <v>2257</v>
      </c>
      <c r="B586" s="805"/>
      <c r="C586" s="802"/>
      <c r="D586" s="802"/>
      <c r="E586" s="803"/>
      <c r="F586" s="805">
        <v>23</v>
      </c>
      <c r="G586" s="803"/>
      <c r="H586" s="345">
        <v>1454.6</v>
      </c>
      <c r="I586" s="345">
        <v>29.5</v>
      </c>
      <c r="J586" s="345">
        <v>30.9</v>
      </c>
      <c r="K586" s="345">
        <v>1476.9</v>
      </c>
      <c r="L586" s="346"/>
      <c r="M586" s="346"/>
      <c r="N586" s="346"/>
      <c r="O586" s="345"/>
      <c r="P586" s="345"/>
      <c r="Q586" s="345"/>
      <c r="R586" s="345">
        <v>12.6</v>
      </c>
      <c r="S586" s="345">
        <v>12.8</v>
      </c>
      <c r="T586" s="345">
        <v>1301.4000000000001</v>
      </c>
      <c r="U586" s="345">
        <v>27.5</v>
      </c>
      <c r="V586" s="345">
        <v>28.2</v>
      </c>
      <c r="W586" s="345">
        <v>1457.8</v>
      </c>
      <c r="X586" s="345">
        <v>22.5</v>
      </c>
      <c r="Y586" s="345">
        <v>23.3</v>
      </c>
      <c r="Z586" s="345">
        <v>1454.6</v>
      </c>
      <c r="AA586">
        <f t="shared" si="9"/>
        <v>29.5</v>
      </c>
    </row>
    <row r="587" spans="1:27" ht="28.8" x14ac:dyDescent="0.3">
      <c r="A587" s="345" t="s">
        <v>2258</v>
      </c>
      <c r="B587" s="805"/>
      <c r="C587" s="802"/>
      <c r="D587" s="802"/>
      <c r="E587" s="803"/>
      <c r="F587" s="805">
        <v>25.5</v>
      </c>
      <c r="G587" s="803"/>
      <c r="H587" s="345">
        <v>1457.1</v>
      </c>
      <c r="I587" s="345">
        <v>1.5</v>
      </c>
      <c r="J587" s="345">
        <v>32.4</v>
      </c>
      <c r="K587" s="345">
        <v>1478.4</v>
      </c>
      <c r="L587" s="346"/>
      <c r="M587" s="346"/>
      <c r="N587" s="346"/>
      <c r="O587" s="345"/>
      <c r="P587" s="345"/>
      <c r="Q587" s="345"/>
      <c r="R587" s="345">
        <v>1.2</v>
      </c>
      <c r="S587" s="345">
        <v>14</v>
      </c>
      <c r="T587" s="345">
        <v>1302.5999999999999</v>
      </c>
      <c r="U587" s="345">
        <v>1.5</v>
      </c>
      <c r="V587" s="345">
        <v>29.7</v>
      </c>
      <c r="W587" s="345">
        <v>1459.3</v>
      </c>
      <c r="X587" s="345">
        <v>1.5</v>
      </c>
      <c r="Y587" s="345">
        <v>24.8</v>
      </c>
      <c r="Z587" s="345">
        <v>1456.1</v>
      </c>
      <c r="AA587">
        <f t="shared" si="9"/>
        <v>1.5</v>
      </c>
    </row>
    <row r="588" spans="1:27" ht="28.8" x14ac:dyDescent="0.3">
      <c r="A588" s="345" t="s">
        <v>2259</v>
      </c>
      <c r="B588" s="805"/>
      <c r="C588" s="802"/>
      <c r="D588" s="802"/>
      <c r="E588" s="803"/>
      <c r="F588" s="805">
        <v>25.5</v>
      </c>
      <c r="G588" s="803"/>
      <c r="H588" s="345">
        <v>1457.1</v>
      </c>
      <c r="I588" s="345">
        <v>0</v>
      </c>
      <c r="J588" s="345">
        <v>32.4</v>
      </c>
      <c r="K588" s="345">
        <v>1478.4</v>
      </c>
      <c r="L588" s="346"/>
      <c r="M588" s="346"/>
      <c r="N588" s="346"/>
      <c r="O588" s="345"/>
      <c r="P588" s="345"/>
      <c r="Q588" s="345"/>
      <c r="R588" s="345">
        <v>0</v>
      </c>
      <c r="S588" s="345">
        <v>14</v>
      </c>
      <c r="T588" s="345">
        <v>1302.5999999999999</v>
      </c>
      <c r="U588" s="345">
        <v>0</v>
      </c>
      <c r="V588" s="345">
        <v>29.7</v>
      </c>
      <c r="W588" s="345">
        <v>1459.3</v>
      </c>
      <c r="X588" s="345">
        <v>0</v>
      </c>
      <c r="Y588" s="345">
        <v>24.8</v>
      </c>
      <c r="Z588" s="345">
        <v>1456.1</v>
      </c>
      <c r="AA588">
        <f t="shared" si="9"/>
        <v>0</v>
      </c>
    </row>
    <row r="589" spans="1:27" ht="28.8" x14ac:dyDescent="0.3">
      <c r="A589" s="345" t="s">
        <v>2260</v>
      </c>
      <c r="B589" s="805"/>
      <c r="C589" s="802"/>
      <c r="D589" s="802"/>
      <c r="E589" s="803"/>
      <c r="F589" s="805">
        <v>25.5</v>
      </c>
      <c r="G589" s="803"/>
      <c r="H589" s="345">
        <v>1457.1</v>
      </c>
      <c r="I589" s="345">
        <v>0</v>
      </c>
      <c r="J589" s="345">
        <v>32.4</v>
      </c>
      <c r="K589" s="345">
        <v>1478.4</v>
      </c>
      <c r="L589" s="346"/>
      <c r="M589" s="346"/>
      <c r="N589" s="346"/>
      <c r="O589" s="345"/>
      <c r="P589" s="345"/>
      <c r="Q589" s="345"/>
      <c r="R589" s="345">
        <v>0</v>
      </c>
      <c r="S589" s="345">
        <v>14</v>
      </c>
      <c r="T589" s="345">
        <v>1302.5999999999999</v>
      </c>
      <c r="U589" s="345">
        <v>0</v>
      </c>
      <c r="V589" s="345">
        <v>29.7</v>
      </c>
      <c r="W589" s="345">
        <v>1459.3</v>
      </c>
      <c r="X589" s="345">
        <v>0</v>
      </c>
      <c r="Y589" s="345">
        <v>24.8</v>
      </c>
      <c r="Z589" s="345">
        <v>1456.1</v>
      </c>
      <c r="AA589">
        <f t="shared" si="9"/>
        <v>0</v>
      </c>
    </row>
    <row r="590" spans="1:27" ht="28.8" x14ac:dyDescent="0.3">
      <c r="A590" s="345" t="s">
        <v>2261</v>
      </c>
      <c r="B590" s="805"/>
      <c r="C590" s="802"/>
      <c r="D590" s="802"/>
      <c r="E590" s="803"/>
      <c r="F590" s="805">
        <v>26.5</v>
      </c>
      <c r="G590" s="803"/>
      <c r="H590" s="345">
        <v>1458.1</v>
      </c>
      <c r="I590" s="345">
        <v>1.5</v>
      </c>
      <c r="J590" s="345">
        <v>33.9</v>
      </c>
      <c r="K590" s="345">
        <v>1479.9</v>
      </c>
      <c r="L590" s="346"/>
      <c r="M590" s="346"/>
      <c r="N590" s="346"/>
      <c r="O590" s="345"/>
      <c r="P590" s="345"/>
      <c r="Q590" s="345"/>
      <c r="R590" s="345">
        <v>1.2</v>
      </c>
      <c r="S590" s="345">
        <v>15.2</v>
      </c>
      <c r="T590" s="345">
        <v>1303.8</v>
      </c>
      <c r="U590" s="345">
        <v>1</v>
      </c>
      <c r="V590" s="345">
        <v>30.7</v>
      </c>
      <c r="W590" s="345">
        <v>1460.3</v>
      </c>
      <c r="X590" s="345">
        <v>1</v>
      </c>
      <c r="Y590" s="345">
        <v>25.8</v>
      </c>
      <c r="Z590" s="345">
        <v>1457.1</v>
      </c>
      <c r="AA590">
        <f t="shared" si="9"/>
        <v>1.5</v>
      </c>
    </row>
    <row r="591" spans="1:27" ht="28.8" x14ac:dyDescent="0.3">
      <c r="A591" s="345" t="s">
        <v>2262</v>
      </c>
      <c r="B591" s="805"/>
      <c r="C591" s="802"/>
      <c r="D591" s="802"/>
      <c r="E591" s="803"/>
      <c r="F591" s="805">
        <v>26.5</v>
      </c>
      <c r="G591" s="803"/>
      <c r="H591" s="345">
        <v>1458.1</v>
      </c>
      <c r="I591" s="345">
        <v>0</v>
      </c>
      <c r="J591" s="345">
        <v>33.9</v>
      </c>
      <c r="K591" s="345">
        <v>1479.9</v>
      </c>
      <c r="L591" s="346"/>
      <c r="M591" s="346"/>
      <c r="N591" s="346"/>
      <c r="O591" s="345"/>
      <c r="P591" s="345"/>
      <c r="Q591" s="345"/>
      <c r="R591" s="345">
        <v>0.2</v>
      </c>
      <c r="S591" s="345">
        <v>15.4</v>
      </c>
      <c r="T591" s="345">
        <v>1304</v>
      </c>
      <c r="U591" s="345">
        <v>0</v>
      </c>
      <c r="V591" s="345">
        <v>30.7</v>
      </c>
      <c r="W591" s="345">
        <v>1460.3</v>
      </c>
      <c r="X591" s="345">
        <v>0</v>
      </c>
      <c r="Y591" s="345">
        <v>25.8</v>
      </c>
      <c r="Z591" s="345">
        <v>1457.1</v>
      </c>
      <c r="AA591">
        <f t="shared" si="9"/>
        <v>0</v>
      </c>
    </row>
    <row r="592" spans="1:27" ht="28.8" x14ac:dyDescent="0.3">
      <c r="A592" s="345" t="s">
        <v>2263</v>
      </c>
      <c r="B592" s="805"/>
      <c r="C592" s="802"/>
      <c r="D592" s="802"/>
      <c r="E592" s="803"/>
      <c r="F592" s="805">
        <v>26.5</v>
      </c>
      <c r="G592" s="803"/>
      <c r="H592" s="345">
        <v>1458.1</v>
      </c>
      <c r="I592" s="345">
        <v>0</v>
      </c>
      <c r="J592" s="345">
        <v>33.9</v>
      </c>
      <c r="K592" s="345">
        <v>1479.9</v>
      </c>
      <c r="L592" s="346"/>
      <c r="M592" s="346"/>
      <c r="N592" s="346"/>
      <c r="O592" s="345"/>
      <c r="P592" s="345"/>
      <c r="Q592" s="345"/>
      <c r="R592" s="345">
        <v>0</v>
      </c>
      <c r="S592" s="345">
        <v>15.4</v>
      </c>
      <c r="T592" s="345">
        <v>1304</v>
      </c>
      <c r="U592" s="345">
        <v>0</v>
      </c>
      <c r="V592" s="345">
        <v>30.7</v>
      </c>
      <c r="W592" s="345">
        <v>1460.3</v>
      </c>
      <c r="X592" s="345">
        <v>0</v>
      </c>
      <c r="Y592" s="345">
        <v>25.8</v>
      </c>
      <c r="Z592" s="345">
        <v>1457.1</v>
      </c>
      <c r="AA592">
        <f t="shared" si="9"/>
        <v>0</v>
      </c>
    </row>
    <row r="593" spans="1:27" ht="28.8" x14ac:dyDescent="0.3">
      <c r="A593" s="345" t="s">
        <v>2264</v>
      </c>
      <c r="B593" s="805"/>
      <c r="C593" s="802"/>
      <c r="D593" s="802"/>
      <c r="E593" s="803"/>
      <c r="F593" s="805">
        <v>26.5</v>
      </c>
      <c r="G593" s="803"/>
      <c r="H593" s="345">
        <v>1458.1</v>
      </c>
      <c r="I593" s="345">
        <v>0</v>
      </c>
      <c r="J593" s="345">
        <v>33.9</v>
      </c>
      <c r="K593" s="345">
        <v>1479.9</v>
      </c>
      <c r="L593" s="346"/>
      <c r="M593" s="346"/>
      <c r="N593" s="346"/>
      <c r="O593" s="345"/>
      <c r="P593" s="345"/>
      <c r="Q593" s="345"/>
      <c r="R593" s="345">
        <v>0.2</v>
      </c>
      <c r="S593" s="345">
        <v>15.6</v>
      </c>
      <c r="T593" s="345">
        <v>1304.2</v>
      </c>
      <c r="U593" s="345">
        <v>0</v>
      </c>
      <c r="V593" s="345">
        <v>30.7</v>
      </c>
      <c r="W593" s="345">
        <v>1460.3</v>
      </c>
      <c r="X593" s="345">
        <v>0</v>
      </c>
      <c r="Y593" s="345">
        <v>25.8</v>
      </c>
      <c r="Z593" s="345">
        <v>1457.1</v>
      </c>
      <c r="AA593">
        <f t="shared" si="9"/>
        <v>0</v>
      </c>
    </row>
    <row r="594" spans="1:27" ht="28.8" x14ac:dyDescent="0.3">
      <c r="A594" s="345" t="s">
        <v>2265</v>
      </c>
      <c r="B594" s="805"/>
      <c r="C594" s="802"/>
      <c r="D594" s="802"/>
      <c r="E594" s="803"/>
      <c r="F594" s="805">
        <v>26.5</v>
      </c>
      <c r="G594" s="803"/>
      <c r="H594" s="345">
        <v>1458.1</v>
      </c>
      <c r="I594" s="345">
        <v>0</v>
      </c>
      <c r="J594" s="345">
        <v>33.9</v>
      </c>
      <c r="K594" s="345">
        <v>1479.9</v>
      </c>
      <c r="L594" s="346"/>
      <c r="M594" s="346"/>
      <c r="N594" s="346"/>
      <c r="O594" s="345"/>
      <c r="P594" s="345"/>
      <c r="Q594" s="345"/>
      <c r="R594" s="345">
        <v>0.2</v>
      </c>
      <c r="S594" s="345">
        <v>15.8</v>
      </c>
      <c r="T594" s="345">
        <v>1304.4000000000001</v>
      </c>
      <c r="U594" s="345">
        <v>0</v>
      </c>
      <c r="V594" s="345">
        <v>30.7</v>
      </c>
      <c r="W594" s="345">
        <v>1460.3</v>
      </c>
      <c r="X594" s="345">
        <v>0</v>
      </c>
      <c r="Y594" s="345">
        <v>25.8</v>
      </c>
      <c r="Z594" s="345">
        <v>1457.1</v>
      </c>
      <c r="AA594">
        <f t="shared" si="9"/>
        <v>0</v>
      </c>
    </row>
    <row r="595" spans="1:27" ht="28.8" x14ac:dyDescent="0.3">
      <c r="A595" s="345" t="s">
        <v>2266</v>
      </c>
      <c r="B595" s="805"/>
      <c r="C595" s="802"/>
      <c r="D595" s="802"/>
      <c r="E595" s="803"/>
      <c r="F595" s="805">
        <v>26.5</v>
      </c>
      <c r="G595" s="803"/>
      <c r="H595" s="345">
        <v>1458.1</v>
      </c>
      <c r="I595" s="345">
        <v>0</v>
      </c>
      <c r="J595" s="345">
        <v>33.9</v>
      </c>
      <c r="K595" s="345">
        <v>1479.9</v>
      </c>
      <c r="L595" s="346"/>
      <c r="M595" s="346"/>
      <c r="N595" s="346"/>
      <c r="O595" s="345"/>
      <c r="P595" s="345"/>
      <c r="Q595" s="345"/>
      <c r="R595" s="345">
        <v>0</v>
      </c>
      <c r="S595" s="345">
        <v>15.8</v>
      </c>
      <c r="T595" s="345">
        <v>1304.4000000000001</v>
      </c>
      <c r="U595" s="345">
        <v>0</v>
      </c>
      <c r="V595" s="345">
        <v>30.7</v>
      </c>
      <c r="W595" s="345">
        <v>1460.3</v>
      </c>
      <c r="X595" s="345">
        <v>0</v>
      </c>
      <c r="Y595" s="345">
        <v>25.8</v>
      </c>
      <c r="Z595" s="345">
        <v>1457.1</v>
      </c>
      <c r="AA595">
        <f t="shared" si="9"/>
        <v>0</v>
      </c>
    </row>
    <row r="596" spans="1:27" ht="28.8" x14ac:dyDescent="0.3">
      <c r="A596" s="345" t="s">
        <v>2267</v>
      </c>
      <c r="B596" s="805"/>
      <c r="C596" s="802"/>
      <c r="D596" s="802"/>
      <c r="E596" s="803"/>
      <c r="F596" s="805">
        <v>26.5</v>
      </c>
      <c r="G596" s="803"/>
      <c r="H596" s="345">
        <v>1458.1</v>
      </c>
      <c r="I596" s="345">
        <v>0</v>
      </c>
      <c r="J596" s="345">
        <v>33.9</v>
      </c>
      <c r="K596" s="345">
        <v>1479.9</v>
      </c>
      <c r="L596" s="346"/>
      <c r="M596" s="346"/>
      <c r="N596" s="346"/>
      <c r="O596" s="345"/>
      <c r="P596" s="345"/>
      <c r="Q596" s="345"/>
      <c r="R596" s="345">
        <v>0</v>
      </c>
      <c r="S596" s="345">
        <v>15.8</v>
      </c>
      <c r="T596" s="345">
        <v>1304.4000000000001</v>
      </c>
      <c r="U596" s="345">
        <v>0</v>
      </c>
      <c r="V596" s="345">
        <v>30.7</v>
      </c>
      <c r="W596" s="345">
        <v>1460.3</v>
      </c>
      <c r="X596" s="345">
        <v>0</v>
      </c>
      <c r="Y596" s="345">
        <v>25.8</v>
      </c>
      <c r="Z596" s="345">
        <v>1457.1</v>
      </c>
      <c r="AA596">
        <f t="shared" si="9"/>
        <v>0</v>
      </c>
    </row>
    <row r="597" spans="1:27" ht="28.8" x14ac:dyDescent="0.3">
      <c r="A597" s="345" t="s">
        <v>2268</v>
      </c>
      <c r="B597" s="805"/>
      <c r="C597" s="802"/>
      <c r="D597" s="802"/>
      <c r="E597" s="803"/>
      <c r="F597" s="805">
        <v>38</v>
      </c>
      <c r="G597" s="803"/>
      <c r="H597" s="345">
        <v>1469.6</v>
      </c>
      <c r="I597" s="345">
        <v>11</v>
      </c>
      <c r="J597" s="345">
        <v>44.9</v>
      </c>
      <c r="K597" s="345">
        <v>1490.9</v>
      </c>
      <c r="L597" s="346"/>
      <c r="M597" s="346"/>
      <c r="N597" s="346"/>
      <c r="O597" s="345"/>
      <c r="P597" s="345"/>
      <c r="Q597" s="345"/>
      <c r="R597" s="345">
        <v>7.2</v>
      </c>
      <c r="S597" s="345">
        <v>23</v>
      </c>
      <c r="T597" s="345">
        <v>1311.6</v>
      </c>
      <c r="U597" s="345">
        <v>9.5</v>
      </c>
      <c r="V597" s="345">
        <v>40.200000000000003</v>
      </c>
      <c r="W597" s="345">
        <v>1469.8</v>
      </c>
      <c r="X597" s="345">
        <v>10</v>
      </c>
      <c r="Y597" s="345">
        <v>35.799999999999997</v>
      </c>
      <c r="Z597" s="345">
        <v>1467.1</v>
      </c>
      <c r="AA597">
        <f t="shared" si="9"/>
        <v>11</v>
      </c>
    </row>
    <row r="598" spans="1:27" ht="28.8" x14ac:dyDescent="0.3">
      <c r="A598" s="345" t="s">
        <v>2269</v>
      </c>
      <c r="B598" s="805"/>
      <c r="C598" s="802"/>
      <c r="D598" s="802"/>
      <c r="E598" s="803"/>
      <c r="F598" s="805">
        <v>51</v>
      </c>
      <c r="G598" s="803"/>
      <c r="H598" s="345">
        <v>1482.6</v>
      </c>
      <c r="I598" s="345">
        <v>15</v>
      </c>
      <c r="J598" s="345">
        <v>59.9</v>
      </c>
      <c r="K598" s="345">
        <v>1505.9</v>
      </c>
      <c r="L598" s="346"/>
      <c r="M598" s="346"/>
      <c r="N598" s="346"/>
      <c r="O598" s="345"/>
      <c r="P598" s="345"/>
      <c r="Q598" s="345"/>
      <c r="R598" s="345">
        <v>10.6</v>
      </c>
      <c r="S598" s="345">
        <v>33.6</v>
      </c>
      <c r="T598" s="345">
        <v>1322.2</v>
      </c>
      <c r="U598" s="345">
        <v>11.5</v>
      </c>
      <c r="V598" s="345">
        <v>51.7</v>
      </c>
      <c r="W598" s="345">
        <v>1481.3</v>
      </c>
      <c r="X598" s="345">
        <v>12</v>
      </c>
      <c r="Y598" s="345">
        <v>47.8</v>
      </c>
      <c r="Z598" s="345">
        <v>1479.1</v>
      </c>
      <c r="AA598">
        <f t="shared" si="9"/>
        <v>15</v>
      </c>
    </row>
    <row r="599" spans="1:27" ht="28.8" x14ac:dyDescent="0.3">
      <c r="A599" s="345" t="s">
        <v>2270</v>
      </c>
      <c r="B599" s="805"/>
      <c r="C599" s="802"/>
      <c r="D599" s="802"/>
      <c r="E599" s="803"/>
      <c r="F599" s="805">
        <v>59.5</v>
      </c>
      <c r="G599" s="803"/>
      <c r="H599" s="345">
        <v>1491.1</v>
      </c>
      <c r="I599" s="345">
        <v>13</v>
      </c>
      <c r="J599" s="345">
        <v>72.900000000000006</v>
      </c>
      <c r="K599" s="345">
        <v>1518.9</v>
      </c>
      <c r="L599" s="346"/>
      <c r="M599" s="346"/>
      <c r="N599" s="346"/>
      <c r="O599" s="345"/>
      <c r="P599" s="345"/>
      <c r="Q599" s="345"/>
      <c r="R599" s="345">
        <v>8.4</v>
      </c>
      <c r="S599" s="345">
        <v>42</v>
      </c>
      <c r="T599" s="345">
        <v>1330.6</v>
      </c>
      <c r="U599" s="345">
        <v>10</v>
      </c>
      <c r="V599" s="345">
        <v>61.7</v>
      </c>
      <c r="W599" s="345">
        <v>1491.3</v>
      </c>
      <c r="X599" s="345">
        <v>10.5</v>
      </c>
      <c r="Y599" s="345">
        <v>58.3</v>
      </c>
      <c r="Z599" s="345">
        <v>1489.6</v>
      </c>
      <c r="AA599">
        <f t="shared" si="9"/>
        <v>13</v>
      </c>
    </row>
    <row r="600" spans="1:27" ht="28.8" x14ac:dyDescent="0.3">
      <c r="A600" s="345" t="s">
        <v>2271</v>
      </c>
      <c r="B600" s="805"/>
      <c r="C600" s="802"/>
      <c r="D600" s="802"/>
      <c r="E600" s="803"/>
      <c r="F600" s="805">
        <v>59.5</v>
      </c>
      <c r="G600" s="803"/>
      <c r="H600" s="345">
        <v>1491.1</v>
      </c>
      <c r="I600" s="345">
        <v>0</v>
      </c>
      <c r="J600" s="345">
        <v>72.900000000000006</v>
      </c>
      <c r="K600" s="345">
        <v>1518.9</v>
      </c>
      <c r="L600" s="346"/>
      <c r="M600" s="346"/>
      <c r="N600" s="346"/>
      <c r="O600" s="345"/>
      <c r="P600" s="345"/>
      <c r="Q600" s="345"/>
      <c r="R600" s="345">
        <v>0</v>
      </c>
      <c r="S600" s="345">
        <v>42</v>
      </c>
      <c r="T600" s="345">
        <v>1330.6</v>
      </c>
      <c r="U600" s="345">
        <v>0</v>
      </c>
      <c r="V600" s="345">
        <v>61.7</v>
      </c>
      <c r="W600" s="345">
        <v>1491.3</v>
      </c>
      <c r="X600" s="345">
        <v>0</v>
      </c>
      <c r="Y600" s="345">
        <v>58.3</v>
      </c>
      <c r="Z600" s="345">
        <v>1489.6</v>
      </c>
      <c r="AA600">
        <f t="shared" si="9"/>
        <v>0</v>
      </c>
    </row>
    <row r="601" spans="1:27" ht="28.8" x14ac:dyDescent="0.3">
      <c r="A601" s="345" t="s">
        <v>2272</v>
      </c>
      <c r="B601" s="805"/>
      <c r="C601" s="802"/>
      <c r="D601" s="802"/>
      <c r="E601" s="803"/>
      <c r="F601" s="805">
        <v>59.5</v>
      </c>
      <c r="G601" s="803"/>
      <c r="H601" s="345">
        <v>1491.1</v>
      </c>
      <c r="I601" s="345">
        <v>0</v>
      </c>
      <c r="J601" s="345">
        <v>72.900000000000006</v>
      </c>
      <c r="K601" s="345">
        <v>1518.9</v>
      </c>
      <c r="L601" s="346"/>
      <c r="M601" s="346"/>
      <c r="N601" s="346"/>
      <c r="O601" s="345"/>
      <c r="P601" s="345"/>
      <c r="Q601" s="345"/>
      <c r="R601" s="345">
        <v>0</v>
      </c>
      <c r="S601" s="345">
        <v>42</v>
      </c>
      <c r="T601" s="345">
        <v>1330.6</v>
      </c>
      <c r="U601" s="345">
        <v>0</v>
      </c>
      <c r="V601" s="345">
        <v>61.7</v>
      </c>
      <c r="W601" s="345">
        <v>1491.3</v>
      </c>
      <c r="X601" s="345">
        <v>0</v>
      </c>
      <c r="Y601" s="345">
        <v>58.3</v>
      </c>
      <c r="Z601" s="345">
        <v>1489.6</v>
      </c>
      <c r="AA601">
        <f t="shared" si="9"/>
        <v>0</v>
      </c>
    </row>
    <row r="602" spans="1:27" ht="28.8" x14ac:dyDescent="0.3">
      <c r="A602" s="345" t="s">
        <v>2273</v>
      </c>
      <c r="B602" s="805"/>
      <c r="C602" s="802"/>
      <c r="D602" s="802"/>
      <c r="E602" s="803"/>
      <c r="F602" s="805">
        <v>60</v>
      </c>
      <c r="G602" s="803"/>
      <c r="H602" s="345">
        <v>1491.6</v>
      </c>
      <c r="I602" s="345">
        <v>0.5</v>
      </c>
      <c r="J602" s="345">
        <v>73.400000000000006</v>
      </c>
      <c r="K602" s="345">
        <v>1519.4</v>
      </c>
      <c r="L602" s="346"/>
      <c r="M602" s="346"/>
      <c r="N602" s="346"/>
      <c r="O602" s="345"/>
      <c r="P602" s="345"/>
      <c r="Q602" s="345"/>
      <c r="R602" s="345">
        <v>0.4</v>
      </c>
      <c r="S602" s="345">
        <v>42.4</v>
      </c>
      <c r="T602" s="345">
        <v>1331</v>
      </c>
      <c r="U602" s="345">
        <v>0.5</v>
      </c>
      <c r="V602" s="345">
        <v>62.2</v>
      </c>
      <c r="W602" s="345">
        <v>1491.8</v>
      </c>
      <c r="X602" s="345">
        <v>0.5</v>
      </c>
      <c r="Y602" s="345">
        <v>58.8</v>
      </c>
      <c r="Z602" s="345">
        <v>1490.1</v>
      </c>
      <c r="AA602">
        <f t="shared" si="9"/>
        <v>0.5</v>
      </c>
    </row>
    <row r="603" spans="1:27" ht="28.8" x14ac:dyDescent="0.3">
      <c r="A603" s="345" t="s">
        <v>2274</v>
      </c>
      <c r="B603" s="805"/>
      <c r="C603" s="802"/>
      <c r="D603" s="802"/>
      <c r="E603" s="803"/>
      <c r="F603" s="805">
        <v>60.5</v>
      </c>
      <c r="G603" s="803"/>
      <c r="H603" s="345">
        <v>1492.1</v>
      </c>
      <c r="I603" s="345">
        <v>0.5</v>
      </c>
      <c r="J603" s="345">
        <v>73.900000000000006</v>
      </c>
      <c r="K603" s="345">
        <v>1519.9</v>
      </c>
      <c r="L603" s="346"/>
      <c r="M603" s="346"/>
      <c r="N603" s="346"/>
      <c r="O603" s="345"/>
      <c r="P603" s="345"/>
      <c r="Q603" s="345"/>
      <c r="R603" s="345">
        <v>0.5</v>
      </c>
      <c r="S603" s="345">
        <v>42.9</v>
      </c>
      <c r="T603" s="345">
        <v>1331.5</v>
      </c>
      <c r="U603" s="345">
        <v>0.5</v>
      </c>
      <c r="V603" s="345">
        <v>62.7</v>
      </c>
      <c r="W603" s="345">
        <v>1492.3</v>
      </c>
      <c r="X603" s="345">
        <v>0.5</v>
      </c>
      <c r="Y603" s="345">
        <v>59.3</v>
      </c>
      <c r="Z603" s="345">
        <v>1490.6</v>
      </c>
      <c r="AA603">
        <f t="shared" si="9"/>
        <v>0.5</v>
      </c>
    </row>
    <row r="604" spans="1:27" ht="28.8" x14ac:dyDescent="0.3">
      <c r="A604" s="345" t="s">
        <v>2275</v>
      </c>
      <c r="B604" s="805"/>
      <c r="C604" s="802"/>
      <c r="D604" s="802"/>
      <c r="E604" s="803"/>
      <c r="F604" s="805">
        <v>60.5</v>
      </c>
      <c r="G604" s="803"/>
      <c r="H604" s="345">
        <v>1492.1</v>
      </c>
      <c r="I604" s="345">
        <v>0</v>
      </c>
      <c r="J604" s="345">
        <v>73.900000000000006</v>
      </c>
      <c r="K604" s="345">
        <v>1519.9</v>
      </c>
      <c r="L604" s="346"/>
      <c r="M604" s="346"/>
      <c r="N604" s="346"/>
      <c r="O604" s="345"/>
      <c r="P604" s="345"/>
      <c r="Q604" s="345"/>
      <c r="R604" s="345">
        <v>0</v>
      </c>
      <c r="S604" s="345">
        <v>42.9</v>
      </c>
      <c r="T604" s="345">
        <v>1331.5</v>
      </c>
      <c r="U604" s="345">
        <v>0</v>
      </c>
      <c r="V604" s="345">
        <v>62.7</v>
      </c>
      <c r="W604" s="345">
        <v>1492.3</v>
      </c>
      <c r="X604" s="345">
        <v>0</v>
      </c>
      <c r="Y604" s="345">
        <v>59.3</v>
      </c>
      <c r="Z604" s="345">
        <v>1490.6</v>
      </c>
      <c r="AA604">
        <f t="shared" si="9"/>
        <v>0</v>
      </c>
    </row>
    <row r="605" spans="1:27" ht="28.8" x14ac:dyDescent="0.3">
      <c r="A605" s="345" t="s">
        <v>2276</v>
      </c>
      <c r="B605" s="805"/>
      <c r="C605" s="802"/>
      <c r="D605" s="802"/>
      <c r="E605" s="803"/>
      <c r="F605" s="805">
        <v>64</v>
      </c>
      <c r="G605" s="803"/>
      <c r="H605" s="345">
        <v>1495.6</v>
      </c>
      <c r="I605" s="345">
        <v>5</v>
      </c>
      <c r="J605" s="345">
        <v>78.900000000000006</v>
      </c>
      <c r="K605" s="345">
        <v>1524.9</v>
      </c>
      <c r="L605" s="346"/>
      <c r="M605" s="346"/>
      <c r="N605" s="346"/>
      <c r="O605" s="345"/>
      <c r="P605" s="345"/>
      <c r="Q605" s="345"/>
      <c r="R605" s="345">
        <v>2.5</v>
      </c>
      <c r="S605" s="345">
        <v>45.4</v>
      </c>
      <c r="T605" s="345">
        <v>1334</v>
      </c>
      <c r="U605" s="345">
        <v>3</v>
      </c>
      <c r="V605" s="345">
        <v>65.7</v>
      </c>
      <c r="W605" s="345">
        <v>1495.3</v>
      </c>
      <c r="X605" s="345">
        <v>3</v>
      </c>
      <c r="Y605" s="345">
        <v>62.3</v>
      </c>
      <c r="Z605" s="345">
        <v>1493.6</v>
      </c>
      <c r="AA605">
        <f t="shared" si="9"/>
        <v>5</v>
      </c>
    </row>
    <row r="606" spans="1:27" ht="28.8" x14ac:dyDescent="0.3">
      <c r="A606" s="345" t="s">
        <v>2277</v>
      </c>
      <c r="B606" s="805"/>
      <c r="C606" s="802"/>
      <c r="D606" s="802"/>
      <c r="E606" s="803"/>
      <c r="F606" s="805">
        <v>64.5</v>
      </c>
      <c r="G606" s="803"/>
      <c r="H606" s="345">
        <v>1496.1</v>
      </c>
      <c r="I606" s="345">
        <v>1</v>
      </c>
      <c r="J606" s="345">
        <v>79.900000000000006</v>
      </c>
      <c r="K606" s="345">
        <v>1525.9</v>
      </c>
      <c r="L606" s="346"/>
      <c r="M606" s="346"/>
      <c r="N606" s="346"/>
      <c r="O606" s="345"/>
      <c r="P606" s="345"/>
      <c r="Q606" s="345"/>
      <c r="R606" s="345">
        <v>1.5</v>
      </c>
      <c r="S606" s="345">
        <v>46.9</v>
      </c>
      <c r="T606" s="345">
        <v>1335.5</v>
      </c>
      <c r="U606" s="345">
        <v>0.5</v>
      </c>
      <c r="V606" s="345">
        <v>66.2</v>
      </c>
      <c r="W606" s="345">
        <v>1495.8</v>
      </c>
      <c r="X606" s="345">
        <v>0.5</v>
      </c>
      <c r="Y606" s="345">
        <v>62.8</v>
      </c>
      <c r="Z606" s="345">
        <v>1494.1</v>
      </c>
      <c r="AA606">
        <f t="shared" si="9"/>
        <v>1</v>
      </c>
    </row>
    <row r="607" spans="1:27" ht="28.8" x14ac:dyDescent="0.3">
      <c r="A607" s="345" t="s">
        <v>2278</v>
      </c>
      <c r="B607" s="805"/>
      <c r="C607" s="802"/>
      <c r="D607" s="802"/>
      <c r="E607" s="803"/>
      <c r="F607" s="805">
        <v>64.5</v>
      </c>
      <c r="G607" s="803"/>
      <c r="H607" s="345">
        <v>1496.1</v>
      </c>
      <c r="I607" s="345">
        <v>0</v>
      </c>
      <c r="J607" s="345">
        <v>79.900000000000006</v>
      </c>
      <c r="K607" s="345">
        <v>1525.9</v>
      </c>
      <c r="L607" s="346"/>
      <c r="M607" s="346"/>
      <c r="N607" s="346"/>
      <c r="O607" s="345"/>
      <c r="P607" s="345"/>
      <c r="Q607" s="345"/>
      <c r="R607" s="345">
        <v>0</v>
      </c>
      <c r="S607" s="345">
        <v>46.9</v>
      </c>
      <c r="T607" s="345">
        <v>1335.5</v>
      </c>
      <c r="U607" s="345">
        <v>0</v>
      </c>
      <c r="V607" s="345">
        <v>66.2</v>
      </c>
      <c r="W607" s="345">
        <v>1495.8</v>
      </c>
      <c r="X607" s="345">
        <v>0</v>
      </c>
      <c r="Y607" s="345">
        <v>62.8</v>
      </c>
      <c r="Z607" s="345">
        <v>1494.1</v>
      </c>
      <c r="AA607">
        <f t="shared" si="9"/>
        <v>0</v>
      </c>
    </row>
    <row r="608" spans="1:27" ht="28.8" x14ac:dyDescent="0.3">
      <c r="A608" s="345" t="s">
        <v>2279</v>
      </c>
      <c r="B608" s="805"/>
      <c r="C608" s="802"/>
      <c r="D608" s="802"/>
      <c r="E608" s="803"/>
      <c r="F608" s="805">
        <v>64.5</v>
      </c>
      <c r="G608" s="803"/>
      <c r="H608" s="345">
        <v>1496.1</v>
      </c>
      <c r="I608" s="345">
        <v>0</v>
      </c>
      <c r="J608" s="345">
        <v>79.900000000000006</v>
      </c>
      <c r="K608" s="345">
        <v>1525.9</v>
      </c>
      <c r="L608" s="346"/>
      <c r="M608" s="346"/>
      <c r="N608" s="346"/>
      <c r="O608" s="345"/>
      <c r="P608" s="345"/>
      <c r="Q608" s="345"/>
      <c r="R608" s="345">
        <v>0</v>
      </c>
      <c r="S608" s="345">
        <v>46.9</v>
      </c>
      <c r="T608" s="345">
        <v>1335.5</v>
      </c>
      <c r="U608" s="345">
        <v>0</v>
      </c>
      <c r="V608" s="345">
        <v>66.2</v>
      </c>
      <c r="W608" s="345">
        <v>1495.8</v>
      </c>
      <c r="X608" s="345">
        <v>0</v>
      </c>
      <c r="Y608" s="345">
        <v>62.8</v>
      </c>
      <c r="Z608" s="345">
        <v>1494.1</v>
      </c>
      <c r="AA608">
        <f t="shared" si="9"/>
        <v>0</v>
      </c>
    </row>
    <row r="609" spans="1:27" ht="28.8" x14ac:dyDescent="0.3">
      <c r="A609" s="345" t="s">
        <v>2280</v>
      </c>
      <c r="B609" s="805"/>
      <c r="C609" s="802"/>
      <c r="D609" s="802"/>
      <c r="E609" s="803"/>
      <c r="F609" s="805">
        <v>64.5</v>
      </c>
      <c r="G609" s="803"/>
      <c r="H609" s="345">
        <v>1496.1</v>
      </c>
      <c r="I609" s="345">
        <v>0</v>
      </c>
      <c r="J609" s="345">
        <v>79.900000000000006</v>
      </c>
      <c r="K609" s="345">
        <v>1525.9</v>
      </c>
      <c r="L609" s="346"/>
      <c r="M609" s="346"/>
      <c r="N609" s="346"/>
      <c r="O609" s="345"/>
      <c r="P609" s="345"/>
      <c r="Q609" s="345"/>
      <c r="R609" s="345">
        <v>0</v>
      </c>
      <c r="S609" s="345">
        <v>46.9</v>
      </c>
      <c r="T609" s="345">
        <v>1335.5</v>
      </c>
      <c r="U609" s="345">
        <v>0</v>
      </c>
      <c r="V609" s="345">
        <v>66.2</v>
      </c>
      <c r="W609" s="345">
        <v>1495.8</v>
      </c>
      <c r="X609" s="345">
        <v>0</v>
      </c>
      <c r="Y609" s="345">
        <v>62.8</v>
      </c>
      <c r="Z609" s="345">
        <v>1494.1</v>
      </c>
      <c r="AA609">
        <f t="shared" si="9"/>
        <v>0</v>
      </c>
    </row>
    <row r="610" spans="1:27" s="362" customFormat="1" ht="28.8" x14ac:dyDescent="0.3">
      <c r="A610" s="359" t="s">
        <v>2281</v>
      </c>
      <c r="B610" s="811"/>
      <c r="C610" s="812"/>
      <c r="D610" s="812"/>
      <c r="E610" s="813"/>
      <c r="F610" s="811">
        <v>64.5</v>
      </c>
      <c r="G610" s="813"/>
      <c r="H610" s="359">
        <v>1496.1</v>
      </c>
      <c r="I610" s="359">
        <v>0</v>
      </c>
      <c r="J610" s="359">
        <v>79.900000000000006</v>
      </c>
      <c r="K610" s="359">
        <v>1525.9</v>
      </c>
      <c r="L610" s="359"/>
      <c r="M610" s="359"/>
      <c r="N610" s="359"/>
      <c r="O610" s="359"/>
      <c r="P610" s="359"/>
      <c r="Q610" s="359"/>
      <c r="R610" s="359">
        <v>0</v>
      </c>
      <c r="S610" s="359">
        <v>46.9</v>
      </c>
      <c r="T610" s="359">
        <v>1335.5</v>
      </c>
      <c r="U610" s="359">
        <v>0</v>
      </c>
      <c r="V610" s="359">
        <v>66.2</v>
      </c>
      <c r="W610" s="359">
        <v>1495.8</v>
      </c>
      <c r="X610" s="359">
        <v>0</v>
      </c>
      <c r="Y610" s="359">
        <v>62.8</v>
      </c>
      <c r="Z610" s="359">
        <v>1494.1</v>
      </c>
      <c r="AA610" s="362">
        <f t="shared" si="9"/>
        <v>0</v>
      </c>
    </row>
    <row r="611" spans="1:27" ht="28.8" x14ac:dyDescent="0.3">
      <c r="A611" s="345" t="s">
        <v>2282</v>
      </c>
      <c r="B611" s="805"/>
      <c r="C611" s="802"/>
      <c r="D611" s="802"/>
      <c r="E611" s="803"/>
      <c r="F611" s="805">
        <v>1</v>
      </c>
      <c r="G611" s="803"/>
      <c r="H611" s="345">
        <v>1497.1</v>
      </c>
      <c r="I611" s="345">
        <v>2.5</v>
      </c>
      <c r="J611" s="345">
        <v>2.5</v>
      </c>
      <c r="K611" s="345">
        <v>1528.4</v>
      </c>
      <c r="L611" s="346"/>
      <c r="M611" s="346"/>
      <c r="N611" s="346"/>
      <c r="O611" s="345"/>
      <c r="P611" s="345"/>
      <c r="Q611" s="345"/>
      <c r="R611" s="345">
        <v>0.8</v>
      </c>
      <c r="S611" s="345">
        <v>0.8</v>
      </c>
      <c r="T611" s="345">
        <v>1336.3</v>
      </c>
      <c r="U611" s="345">
        <v>2</v>
      </c>
      <c r="V611" s="345">
        <v>2</v>
      </c>
      <c r="W611" s="345">
        <v>1497.8</v>
      </c>
      <c r="X611" s="345">
        <v>1</v>
      </c>
      <c r="Y611" s="345">
        <v>1</v>
      </c>
      <c r="Z611" s="345">
        <v>1495.1</v>
      </c>
      <c r="AA611">
        <f t="shared" si="9"/>
        <v>2.5</v>
      </c>
    </row>
    <row r="612" spans="1:27" ht="28.8" x14ac:dyDescent="0.3">
      <c r="A612" s="345" t="s">
        <v>2283</v>
      </c>
      <c r="B612" s="805"/>
      <c r="C612" s="802"/>
      <c r="D612" s="802"/>
      <c r="E612" s="803"/>
      <c r="F612" s="805">
        <v>1</v>
      </c>
      <c r="G612" s="803"/>
      <c r="H612" s="345">
        <v>1497.1</v>
      </c>
      <c r="I612" s="345">
        <v>0</v>
      </c>
      <c r="J612" s="345">
        <v>2.5</v>
      </c>
      <c r="K612" s="345">
        <v>1528.4</v>
      </c>
      <c r="L612" s="346"/>
      <c r="M612" s="346"/>
      <c r="N612" s="346"/>
      <c r="O612" s="345"/>
      <c r="P612" s="345"/>
      <c r="Q612" s="345"/>
      <c r="R612" s="345">
        <v>0</v>
      </c>
      <c r="S612" s="345">
        <v>0.8</v>
      </c>
      <c r="T612" s="345">
        <v>1336.3</v>
      </c>
      <c r="U612" s="345">
        <v>0</v>
      </c>
      <c r="V612" s="345">
        <v>2</v>
      </c>
      <c r="W612" s="345">
        <v>1497.8</v>
      </c>
      <c r="X612" s="345">
        <v>0</v>
      </c>
      <c r="Y612" s="345">
        <v>1</v>
      </c>
      <c r="Z612" s="345">
        <v>1495.1</v>
      </c>
      <c r="AA612">
        <f t="shared" si="9"/>
        <v>0</v>
      </c>
    </row>
    <row r="613" spans="1:27" ht="28.8" x14ac:dyDescent="0.3">
      <c r="A613" s="345" t="s">
        <v>2284</v>
      </c>
      <c r="B613" s="805"/>
      <c r="C613" s="802"/>
      <c r="D613" s="802"/>
      <c r="E613" s="803"/>
      <c r="F613" s="805">
        <v>1</v>
      </c>
      <c r="G613" s="803"/>
      <c r="H613" s="345">
        <v>1497.1</v>
      </c>
      <c r="I613" s="345">
        <v>0</v>
      </c>
      <c r="J613" s="345">
        <v>2.5</v>
      </c>
      <c r="K613" s="345">
        <v>1528.4</v>
      </c>
      <c r="L613" s="346"/>
      <c r="M613" s="346"/>
      <c r="N613" s="346"/>
      <c r="O613" s="345"/>
      <c r="P613" s="345"/>
      <c r="Q613" s="345"/>
      <c r="R613" s="345">
        <v>0</v>
      </c>
      <c r="S613" s="345">
        <v>0.8</v>
      </c>
      <c r="T613" s="345">
        <v>1336.3</v>
      </c>
      <c r="U613" s="345">
        <v>0</v>
      </c>
      <c r="V613" s="345">
        <v>2</v>
      </c>
      <c r="W613" s="345">
        <v>1497.8</v>
      </c>
      <c r="X613" s="345">
        <v>0</v>
      </c>
      <c r="Y613" s="345">
        <v>1</v>
      </c>
      <c r="Z613" s="345">
        <v>1495.1</v>
      </c>
      <c r="AA613">
        <f t="shared" si="9"/>
        <v>0</v>
      </c>
    </row>
    <row r="614" spans="1:27" ht="28.8" x14ac:dyDescent="0.3">
      <c r="A614" s="345" t="s">
        <v>2285</v>
      </c>
      <c r="B614" s="805"/>
      <c r="C614" s="802"/>
      <c r="D614" s="802"/>
      <c r="E614" s="803"/>
      <c r="F614" s="805">
        <v>1</v>
      </c>
      <c r="G614" s="803"/>
      <c r="H614" s="345">
        <v>1497.1</v>
      </c>
      <c r="I614" s="345">
        <v>0</v>
      </c>
      <c r="J614" s="345">
        <v>2.5</v>
      </c>
      <c r="K614" s="345">
        <v>1528.4</v>
      </c>
      <c r="L614" s="346"/>
      <c r="M614" s="346"/>
      <c r="N614" s="346"/>
      <c r="O614" s="345"/>
      <c r="P614" s="345"/>
      <c r="Q614" s="345"/>
      <c r="R614" s="345">
        <v>0</v>
      </c>
      <c r="S614" s="345">
        <v>0.8</v>
      </c>
      <c r="T614" s="345">
        <v>1336.3</v>
      </c>
      <c r="U614" s="345">
        <v>0</v>
      </c>
      <c r="V614" s="345">
        <v>2</v>
      </c>
      <c r="W614" s="345">
        <v>1497.8</v>
      </c>
      <c r="X614" s="345">
        <v>0</v>
      </c>
      <c r="Y614" s="345">
        <v>1</v>
      </c>
      <c r="Z614" s="345">
        <v>1495.1</v>
      </c>
      <c r="AA614">
        <f t="shared" si="9"/>
        <v>0</v>
      </c>
    </row>
    <row r="615" spans="1:27" ht="28.8" x14ac:dyDescent="0.3">
      <c r="A615" s="345" t="s">
        <v>2286</v>
      </c>
      <c r="B615" s="805"/>
      <c r="C615" s="802"/>
      <c r="D615" s="802"/>
      <c r="E615" s="803"/>
      <c r="F615" s="805">
        <v>1</v>
      </c>
      <c r="G615" s="803"/>
      <c r="H615" s="345">
        <v>1497.1</v>
      </c>
      <c r="I615" s="345">
        <v>0</v>
      </c>
      <c r="J615" s="345">
        <v>2.5</v>
      </c>
      <c r="K615" s="345">
        <v>1528.4</v>
      </c>
      <c r="L615" s="346"/>
      <c r="M615" s="346"/>
      <c r="N615" s="346"/>
      <c r="O615" s="345"/>
      <c r="P615" s="345"/>
      <c r="Q615" s="345"/>
      <c r="R615" s="345">
        <v>0</v>
      </c>
      <c r="S615" s="345">
        <v>0.8</v>
      </c>
      <c r="T615" s="345">
        <v>1336.3</v>
      </c>
      <c r="U615" s="345">
        <v>0</v>
      </c>
      <c r="V615" s="345">
        <v>2</v>
      </c>
      <c r="W615" s="345">
        <v>1497.8</v>
      </c>
      <c r="X615" s="345">
        <v>0</v>
      </c>
      <c r="Y615" s="345">
        <v>1</v>
      </c>
      <c r="Z615" s="345">
        <v>1495.1</v>
      </c>
      <c r="AA615">
        <f t="shared" si="9"/>
        <v>0</v>
      </c>
    </row>
    <row r="616" spans="1:27" ht="28.8" x14ac:dyDescent="0.3">
      <c r="A616" s="345" t="s">
        <v>2287</v>
      </c>
      <c r="B616" s="805"/>
      <c r="C616" s="802"/>
      <c r="D616" s="802"/>
      <c r="E616" s="803"/>
      <c r="F616" s="805">
        <v>1</v>
      </c>
      <c r="G616" s="803"/>
      <c r="H616" s="345">
        <v>1497.1</v>
      </c>
      <c r="I616" s="345">
        <v>0</v>
      </c>
      <c r="J616" s="345">
        <v>2.5</v>
      </c>
      <c r="K616" s="345">
        <v>1528.4</v>
      </c>
      <c r="L616" s="346"/>
      <c r="M616" s="346"/>
      <c r="N616" s="346"/>
      <c r="O616" s="345"/>
      <c r="P616" s="345"/>
      <c r="Q616" s="345"/>
      <c r="R616" s="345">
        <v>0</v>
      </c>
      <c r="S616" s="345">
        <v>0.8</v>
      </c>
      <c r="T616" s="345">
        <v>1336.3</v>
      </c>
      <c r="U616" s="345">
        <v>0</v>
      </c>
      <c r="V616" s="345">
        <v>2</v>
      </c>
      <c r="W616" s="345">
        <v>1497.8</v>
      </c>
      <c r="X616" s="345">
        <v>0</v>
      </c>
      <c r="Y616" s="345">
        <v>1</v>
      </c>
      <c r="Z616" s="345">
        <v>1495.1</v>
      </c>
      <c r="AA616">
        <f t="shared" si="9"/>
        <v>0</v>
      </c>
    </row>
    <row r="617" spans="1:27" ht="28.8" x14ac:dyDescent="0.3">
      <c r="A617" s="345" t="s">
        <v>2288</v>
      </c>
      <c r="B617" s="805"/>
      <c r="C617" s="802"/>
      <c r="D617" s="802"/>
      <c r="E617" s="803"/>
      <c r="F617" s="805">
        <v>1</v>
      </c>
      <c r="G617" s="803"/>
      <c r="H617" s="345">
        <v>1497.1</v>
      </c>
      <c r="I617" s="345">
        <v>0</v>
      </c>
      <c r="J617" s="345">
        <v>2.5</v>
      </c>
      <c r="K617" s="345">
        <v>1528.4</v>
      </c>
      <c r="L617" s="346"/>
      <c r="M617" s="346"/>
      <c r="N617" s="346"/>
      <c r="O617" s="345"/>
      <c r="P617" s="345"/>
      <c r="Q617" s="345"/>
      <c r="R617" s="345">
        <v>0</v>
      </c>
      <c r="S617" s="345">
        <v>0.8</v>
      </c>
      <c r="T617" s="345">
        <v>1336.3</v>
      </c>
      <c r="U617" s="345">
        <v>0</v>
      </c>
      <c r="V617" s="345">
        <v>2</v>
      </c>
      <c r="W617" s="345">
        <v>1497.8</v>
      </c>
      <c r="X617" s="345">
        <v>0</v>
      </c>
      <c r="Y617" s="345">
        <v>1</v>
      </c>
      <c r="Z617" s="345">
        <v>1495.1</v>
      </c>
      <c r="AA617">
        <f t="shared" si="9"/>
        <v>0</v>
      </c>
    </row>
    <row r="618" spans="1:27" ht="28.8" x14ac:dyDescent="0.3">
      <c r="A618" s="345" t="s">
        <v>2289</v>
      </c>
      <c r="B618" s="805"/>
      <c r="C618" s="802"/>
      <c r="D618" s="802"/>
      <c r="E618" s="803"/>
      <c r="F618" s="805">
        <v>1</v>
      </c>
      <c r="G618" s="803"/>
      <c r="H618" s="345">
        <v>1497.1</v>
      </c>
      <c r="I618" s="345">
        <v>0</v>
      </c>
      <c r="J618" s="345">
        <v>2.5</v>
      </c>
      <c r="K618" s="345">
        <v>1528.4</v>
      </c>
      <c r="L618" s="346"/>
      <c r="M618" s="346"/>
      <c r="N618" s="346"/>
      <c r="O618" s="345"/>
      <c r="P618" s="345"/>
      <c r="Q618" s="345"/>
      <c r="R618" s="345">
        <v>0</v>
      </c>
      <c r="S618" s="345">
        <v>0.8</v>
      </c>
      <c r="T618" s="345">
        <v>1336.3</v>
      </c>
      <c r="U618" s="345">
        <v>0</v>
      </c>
      <c r="V618" s="345">
        <v>2</v>
      </c>
      <c r="W618" s="345">
        <v>1497.8</v>
      </c>
      <c r="X618" s="345">
        <v>0</v>
      </c>
      <c r="Y618" s="345">
        <v>1</v>
      </c>
      <c r="Z618" s="345">
        <v>1495.1</v>
      </c>
      <c r="AA618">
        <f t="shared" si="9"/>
        <v>0</v>
      </c>
    </row>
    <row r="619" spans="1:27" ht="28.8" x14ac:dyDescent="0.3">
      <c r="A619" s="345" t="s">
        <v>2290</v>
      </c>
      <c r="B619" s="805"/>
      <c r="C619" s="802"/>
      <c r="D619" s="802"/>
      <c r="E619" s="803"/>
      <c r="F619" s="805">
        <v>1</v>
      </c>
      <c r="G619" s="803"/>
      <c r="H619" s="345">
        <v>1497.1</v>
      </c>
      <c r="I619" s="345">
        <v>0</v>
      </c>
      <c r="J619" s="345">
        <v>2.5</v>
      </c>
      <c r="K619" s="345">
        <v>1528.4</v>
      </c>
      <c r="L619" s="346"/>
      <c r="M619" s="346"/>
      <c r="N619" s="346"/>
      <c r="O619" s="345"/>
      <c r="P619" s="345"/>
      <c r="Q619" s="345"/>
      <c r="R619" s="345">
        <v>0</v>
      </c>
      <c r="S619" s="345">
        <v>0.8</v>
      </c>
      <c r="T619" s="345">
        <v>1336.3</v>
      </c>
      <c r="U619" s="345">
        <v>0</v>
      </c>
      <c r="V619" s="345">
        <v>2</v>
      </c>
      <c r="W619" s="345">
        <v>1497.8</v>
      </c>
      <c r="X619" s="345">
        <v>0</v>
      </c>
      <c r="Y619" s="345">
        <v>1</v>
      </c>
      <c r="Z619" s="345">
        <v>1495.1</v>
      </c>
      <c r="AA619">
        <f t="shared" si="9"/>
        <v>0</v>
      </c>
    </row>
    <row r="620" spans="1:27" ht="28.8" x14ac:dyDescent="0.3">
      <c r="A620" s="345" t="s">
        <v>2291</v>
      </c>
      <c r="B620" s="805"/>
      <c r="C620" s="802"/>
      <c r="D620" s="802"/>
      <c r="E620" s="803"/>
      <c r="F620" s="805">
        <v>1</v>
      </c>
      <c r="G620" s="803"/>
      <c r="H620" s="345">
        <v>1497.1</v>
      </c>
      <c r="I620" s="345">
        <v>0</v>
      </c>
      <c r="J620" s="345">
        <v>2.5</v>
      </c>
      <c r="K620" s="345">
        <v>1528.4</v>
      </c>
      <c r="L620" s="346"/>
      <c r="M620" s="346"/>
      <c r="N620" s="346"/>
      <c r="O620" s="345"/>
      <c r="P620" s="345"/>
      <c r="Q620" s="345"/>
      <c r="R620" s="345">
        <v>0</v>
      </c>
      <c r="S620" s="345">
        <v>0.8</v>
      </c>
      <c r="T620" s="345">
        <v>1336.3</v>
      </c>
      <c r="U620" s="345">
        <v>0</v>
      </c>
      <c r="V620" s="345">
        <v>2</v>
      </c>
      <c r="W620" s="345">
        <v>1497.8</v>
      </c>
      <c r="X620" s="345">
        <v>0</v>
      </c>
      <c r="Y620" s="345">
        <v>1</v>
      </c>
      <c r="Z620" s="345">
        <v>1495.1</v>
      </c>
      <c r="AA620">
        <f t="shared" si="9"/>
        <v>0</v>
      </c>
    </row>
    <row r="621" spans="1:27" ht="28.8" x14ac:dyDescent="0.3">
      <c r="A621" s="345" t="s">
        <v>2292</v>
      </c>
      <c r="B621" s="805"/>
      <c r="C621" s="802"/>
      <c r="D621" s="802"/>
      <c r="E621" s="803"/>
      <c r="F621" s="805">
        <v>1</v>
      </c>
      <c r="G621" s="803"/>
      <c r="H621" s="345">
        <v>1497.1</v>
      </c>
      <c r="I621" s="345">
        <v>0</v>
      </c>
      <c r="J621" s="345">
        <v>2.5</v>
      </c>
      <c r="K621" s="345">
        <v>1528.4</v>
      </c>
      <c r="L621" s="346"/>
      <c r="M621" s="346"/>
      <c r="N621" s="346"/>
      <c r="O621" s="345"/>
      <c r="P621" s="345"/>
      <c r="Q621" s="345"/>
      <c r="R621" s="345">
        <v>0</v>
      </c>
      <c r="S621" s="345">
        <v>0.8</v>
      </c>
      <c r="T621" s="345">
        <v>1336.3</v>
      </c>
      <c r="U621" s="345">
        <v>0</v>
      </c>
      <c r="V621" s="345">
        <v>2</v>
      </c>
      <c r="W621" s="345">
        <v>1497.8</v>
      </c>
      <c r="X621" s="345">
        <v>0</v>
      </c>
      <c r="Y621" s="345">
        <v>1</v>
      </c>
      <c r="Z621" s="345">
        <v>1495.1</v>
      </c>
      <c r="AA621">
        <f t="shared" si="9"/>
        <v>0</v>
      </c>
    </row>
    <row r="622" spans="1:27" ht="28.8" x14ac:dyDescent="0.3">
      <c r="A622" s="345" t="s">
        <v>2293</v>
      </c>
      <c r="B622" s="805"/>
      <c r="C622" s="802"/>
      <c r="D622" s="802"/>
      <c r="E622" s="803"/>
      <c r="F622" s="805">
        <v>1</v>
      </c>
      <c r="G622" s="803"/>
      <c r="H622" s="345">
        <v>1497.1</v>
      </c>
      <c r="I622" s="345">
        <v>0</v>
      </c>
      <c r="J622" s="345">
        <v>2.5</v>
      </c>
      <c r="K622" s="345">
        <v>1528.4</v>
      </c>
      <c r="L622" s="346"/>
      <c r="M622" s="346"/>
      <c r="N622" s="346"/>
      <c r="O622" s="345"/>
      <c r="P622" s="345"/>
      <c r="Q622" s="345"/>
      <c r="R622" s="345">
        <v>0</v>
      </c>
      <c r="S622" s="345">
        <v>0.8</v>
      </c>
      <c r="T622" s="345">
        <v>1336.3</v>
      </c>
      <c r="U622" s="345">
        <v>0</v>
      </c>
      <c r="V622" s="345">
        <v>2</v>
      </c>
      <c r="W622" s="345">
        <v>1497.8</v>
      </c>
      <c r="X622" s="345">
        <v>0</v>
      </c>
      <c r="Y622" s="345">
        <v>1</v>
      </c>
      <c r="Z622" s="345">
        <v>1495.1</v>
      </c>
      <c r="AA622">
        <f t="shared" si="9"/>
        <v>0</v>
      </c>
    </row>
    <row r="623" spans="1:27" ht="28.8" x14ac:dyDescent="0.3">
      <c r="A623" s="345" t="s">
        <v>2294</v>
      </c>
      <c r="B623" s="805"/>
      <c r="C623" s="802"/>
      <c r="D623" s="802"/>
      <c r="E623" s="803"/>
      <c r="F623" s="805">
        <v>1</v>
      </c>
      <c r="G623" s="803"/>
      <c r="H623" s="345">
        <v>1497.1</v>
      </c>
      <c r="I623" s="345">
        <v>0</v>
      </c>
      <c r="J623" s="345">
        <v>2.5</v>
      </c>
      <c r="K623" s="345">
        <v>1528.4</v>
      </c>
      <c r="L623" s="346"/>
      <c r="M623" s="346"/>
      <c r="N623" s="346"/>
      <c r="O623" s="345"/>
      <c r="P623" s="345"/>
      <c r="Q623" s="345"/>
      <c r="R623" s="345">
        <v>0</v>
      </c>
      <c r="S623" s="345">
        <v>0.8</v>
      </c>
      <c r="T623" s="345">
        <v>1336.3</v>
      </c>
      <c r="U623" s="345">
        <v>0</v>
      </c>
      <c r="V623" s="345">
        <v>2</v>
      </c>
      <c r="W623" s="345">
        <v>1497.8</v>
      </c>
      <c r="X623" s="345">
        <v>0</v>
      </c>
      <c r="Y623" s="345">
        <v>1</v>
      </c>
      <c r="Z623" s="345">
        <v>1495.1</v>
      </c>
      <c r="AA623">
        <f t="shared" si="9"/>
        <v>0</v>
      </c>
    </row>
    <row r="624" spans="1:27" ht="28.8" x14ac:dyDescent="0.3">
      <c r="A624" s="345" t="s">
        <v>2295</v>
      </c>
      <c r="B624" s="805"/>
      <c r="C624" s="802"/>
      <c r="D624" s="802"/>
      <c r="E624" s="803"/>
      <c r="F624" s="805">
        <v>1</v>
      </c>
      <c r="G624" s="803"/>
      <c r="H624" s="345">
        <v>1497.1</v>
      </c>
      <c r="I624" s="345">
        <v>0</v>
      </c>
      <c r="J624" s="345">
        <v>2.5</v>
      </c>
      <c r="K624" s="345">
        <v>1528.4</v>
      </c>
      <c r="L624" s="346"/>
      <c r="M624" s="346"/>
      <c r="N624" s="346"/>
      <c r="O624" s="345"/>
      <c r="P624" s="345"/>
      <c r="Q624" s="345"/>
      <c r="R624" s="345">
        <v>0</v>
      </c>
      <c r="S624" s="345">
        <v>0.8</v>
      </c>
      <c r="T624" s="345">
        <v>1336.3</v>
      </c>
      <c r="U624" s="345">
        <v>0</v>
      </c>
      <c r="V624" s="345">
        <v>2</v>
      </c>
      <c r="W624" s="345">
        <v>1497.8</v>
      </c>
      <c r="X624" s="345">
        <v>0</v>
      </c>
      <c r="Y624" s="345">
        <v>1</v>
      </c>
      <c r="Z624" s="345">
        <v>1495.1</v>
      </c>
      <c r="AA624">
        <f t="shared" si="9"/>
        <v>0</v>
      </c>
    </row>
    <row r="625" spans="1:27" ht="28.8" x14ac:dyDescent="0.3">
      <c r="A625" s="345" t="s">
        <v>2296</v>
      </c>
      <c r="B625" s="805"/>
      <c r="C625" s="802"/>
      <c r="D625" s="802"/>
      <c r="E625" s="803"/>
      <c r="F625" s="805">
        <v>1</v>
      </c>
      <c r="G625" s="803"/>
      <c r="H625" s="345">
        <v>1497.1</v>
      </c>
      <c r="I625" s="345">
        <v>0</v>
      </c>
      <c r="J625" s="345">
        <v>2.5</v>
      </c>
      <c r="K625" s="345">
        <v>1528.4</v>
      </c>
      <c r="L625" s="346"/>
      <c r="M625" s="346"/>
      <c r="N625" s="346"/>
      <c r="O625" s="345"/>
      <c r="P625" s="345"/>
      <c r="Q625" s="345"/>
      <c r="R625" s="345">
        <v>0</v>
      </c>
      <c r="S625" s="345">
        <v>0.8</v>
      </c>
      <c r="T625" s="345">
        <v>1336.3</v>
      </c>
      <c r="U625" s="345">
        <v>0</v>
      </c>
      <c r="V625" s="345">
        <v>2</v>
      </c>
      <c r="W625" s="345">
        <v>1497.8</v>
      </c>
      <c r="X625" s="345">
        <v>0</v>
      </c>
      <c r="Y625" s="345">
        <v>1</v>
      </c>
      <c r="Z625" s="345">
        <v>1495.1</v>
      </c>
      <c r="AA625">
        <f t="shared" si="9"/>
        <v>0</v>
      </c>
    </row>
    <row r="626" spans="1:27" ht="28.8" x14ac:dyDescent="0.3">
      <c r="A626" s="345" t="s">
        <v>2297</v>
      </c>
      <c r="B626" s="805"/>
      <c r="C626" s="802"/>
      <c r="D626" s="802"/>
      <c r="E626" s="803"/>
      <c r="F626" s="805">
        <v>1</v>
      </c>
      <c r="G626" s="803"/>
      <c r="H626" s="345">
        <v>1497.1</v>
      </c>
      <c r="I626" s="345">
        <v>0</v>
      </c>
      <c r="J626" s="345">
        <v>2.5</v>
      </c>
      <c r="K626" s="345">
        <v>1528.4</v>
      </c>
      <c r="L626" s="346"/>
      <c r="M626" s="346"/>
      <c r="N626" s="346"/>
      <c r="O626" s="345"/>
      <c r="P626" s="345"/>
      <c r="Q626" s="345"/>
      <c r="R626" s="345">
        <v>0</v>
      </c>
      <c r="S626" s="345">
        <v>0.8</v>
      </c>
      <c r="T626" s="345">
        <v>1336.3</v>
      </c>
      <c r="U626" s="345">
        <v>0</v>
      </c>
      <c r="V626" s="345">
        <v>2</v>
      </c>
      <c r="W626" s="345">
        <v>1497.8</v>
      </c>
      <c r="X626" s="345">
        <v>0</v>
      </c>
      <c r="Y626" s="345">
        <v>1</v>
      </c>
      <c r="Z626" s="345">
        <v>1495.1</v>
      </c>
      <c r="AA626">
        <f t="shared" si="9"/>
        <v>0</v>
      </c>
    </row>
    <row r="627" spans="1:27" ht="28.8" x14ac:dyDescent="0.3">
      <c r="A627" s="345" t="s">
        <v>2298</v>
      </c>
      <c r="B627" s="805"/>
      <c r="C627" s="802"/>
      <c r="D627" s="802"/>
      <c r="E627" s="803"/>
      <c r="F627" s="805">
        <v>1</v>
      </c>
      <c r="G627" s="803"/>
      <c r="H627" s="345">
        <v>1497.1</v>
      </c>
      <c r="I627" s="345">
        <v>0</v>
      </c>
      <c r="J627" s="345">
        <v>2.5</v>
      </c>
      <c r="K627" s="345">
        <v>1528.4</v>
      </c>
      <c r="L627" s="346"/>
      <c r="M627" s="346"/>
      <c r="N627" s="346"/>
      <c r="O627" s="345"/>
      <c r="P627" s="345"/>
      <c r="Q627" s="345"/>
      <c r="R627" s="345">
        <v>0</v>
      </c>
      <c r="S627" s="345">
        <v>0.8</v>
      </c>
      <c r="T627" s="345">
        <v>1336.3</v>
      </c>
      <c r="U627" s="345">
        <v>0</v>
      </c>
      <c r="V627" s="345">
        <v>2</v>
      </c>
      <c r="W627" s="345">
        <v>1497.8</v>
      </c>
      <c r="X627" s="345">
        <v>0</v>
      </c>
      <c r="Y627" s="345">
        <v>1</v>
      </c>
      <c r="Z627" s="345">
        <v>1495.1</v>
      </c>
      <c r="AA627">
        <f t="shared" si="9"/>
        <v>0</v>
      </c>
    </row>
    <row r="628" spans="1:27" ht="28.8" x14ac:dyDescent="0.3">
      <c r="A628" s="345" t="s">
        <v>2299</v>
      </c>
      <c r="B628" s="805"/>
      <c r="C628" s="802"/>
      <c r="D628" s="802"/>
      <c r="E628" s="803"/>
      <c r="F628" s="805">
        <v>1</v>
      </c>
      <c r="G628" s="803"/>
      <c r="H628" s="345">
        <v>1497.1</v>
      </c>
      <c r="I628" s="345">
        <v>0</v>
      </c>
      <c r="J628" s="345">
        <v>2.5</v>
      </c>
      <c r="K628" s="345">
        <v>1528.4</v>
      </c>
      <c r="L628" s="346"/>
      <c r="M628" s="346"/>
      <c r="N628" s="346"/>
      <c r="O628" s="345"/>
      <c r="P628" s="345"/>
      <c r="Q628" s="345"/>
      <c r="R628" s="345">
        <v>0</v>
      </c>
      <c r="S628" s="345">
        <v>0.8</v>
      </c>
      <c r="T628" s="345">
        <v>1336.3</v>
      </c>
      <c r="U628" s="345">
        <v>0</v>
      </c>
      <c r="V628" s="345">
        <v>2</v>
      </c>
      <c r="W628" s="345">
        <v>1497.8</v>
      </c>
      <c r="X628" s="345">
        <v>0</v>
      </c>
      <c r="Y628" s="345">
        <v>1</v>
      </c>
      <c r="Z628" s="345">
        <v>1495.1</v>
      </c>
      <c r="AA628">
        <f t="shared" si="9"/>
        <v>0</v>
      </c>
    </row>
    <row r="629" spans="1:27" ht="28.8" x14ac:dyDescent="0.3">
      <c r="A629" s="345" t="s">
        <v>2300</v>
      </c>
      <c r="B629" s="805"/>
      <c r="C629" s="802"/>
      <c r="D629" s="802"/>
      <c r="E629" s="803"/>
      <c r="F629" s="805">
        <v>1</v>
      </c>
      <c r="G629" s="803"/>
      <c r="H629" s="345">
        <v>1497.1</v>
      </c>
      <c r="I629" s="345">
        <v>0</v>
      </c>
      <c r="J629" s="345">
        <v>2.5</v>
      </c>
      <c r="K629" s="345">
        <v>1528.4</v>
      </c>
      <c r="L629" s="346"/>
      <c r="M629" s="346"/>
      <c r="N629" s="346"/>
      <c r="O629" s="345"/>
      <c r="P629" s="345"/>
      <c r="Q629" s="345"/>
      <c r="R629" s="345">
        <v>0</v>
      </c>
      <c r="S629" s="345">
        <v>0.8</v>
      </c>
      <c r="T629" s="345">
        <v>1336.3</v>
      </c>
      <c r="U629" s="345">
        <v>0</v>
      </c>
      <c r="V629" s="345">
        <v>2</v>
      </c>
      <c r="W629" s="345">
        <v>1497.8</v>
      </c>
      <c r="X629" s="345">
        <v>0</v>
      </c>
      <c r="Y629" s="345">
        <v>1</v>
      </c>
      <c r="Z629" s="345">
        <v>1495.1</v>
      </c>
      <c r="AA629">
        <f t="shared" si="9"/>
        <v>0</v>
      </c>
    </row>
    <row r="630" spans="1:27" ht="28.8" x14ac:dyDescent="0.3">
      <c r="A630" s="345" t="s">
        <v>2301</v>
      </c>
      <c r="B630" s="805"/>
      <c r="C630" s="802"/>
      <c r="D630" s="802"/>
      <c r="E630" s="803"/>
      <c r="F630" s="805">
        <v>1</v>
      </c>
      <c r="G630" s="803"/>
      <c r="H630" s="345">
        <v>1497.1</v>
      </c>
      <c r="I630" s="345">
        <v>0</v>
      </c>
      <c r="J630" s="345">
        <v>2.5</v>
      </c>
      <c r="K630" s="345">
        <v>1528.4</v>
      </c>
      <c r="L630" s="346"/>
      <c r="M630" s="346"/>
      <c r="N630" s="346"/>
      <c r="O630" s="345"/>
      <c r="P630" s="345"/>
      <c r="Q630" s="345"/>
      <c r="R630" s="345">
        <v>0</v>
      </c>
      <c r="S630" s="345">
        <v>0.8</v>
      </c>
      <c r="T630" s="345">
        <v>1336.3</v>
      </c>
      <c r="U630" s="345">
        <v>0</v>
      </c>
      <c r="V630" s="345">
        <v>2</v>
      </c>
      <c r="W630" s="345">
        <v>1497.8</v>
      </c>
      <c r="X630" s="345">
        <v>0</v>
      </c>
      <c r="Y630" s="345">
        <v>1</v>
      </c>
      <c r="Z630" s="345">
        <v>1495.1</v>
      </c>
      <c r="AA630">
        <f t="shared" si="9"/>
        <v>0</v>
      </c>
    </row>
    <row r="631" spans="1:27" ht="28.8" x14ac:dyDescent="0.3">
      <c r="A631" s="345" t="s">
        <v>2302</v>
      </c>
      <c r="B631" s="805"/>
      <c r="C631" s="802"/>
      <c r="D631" s="802"/>
      <c r="E631" s="803"/>
      <c r="F631" s="805">
        <v>1</v>
      </c>
      <c r="G631" s="803"/>
      <c r="H631" s="345">
        <v>1497.1</v>
      </c>
      <c r="I631" s="345">
        <v>0</v>
      </c>
      <c r="J631" s="345">
        <v>2.5</v>
      </c>
      <c r="K631" s="345">
        <v>1528.4</v>
      </c>
      <c r="L631" s="346"/>
      <c r="M631" s="346"/>
      <c r="N631" s="346"/>
      <c r="O631" s="345"/>
      <c r="P631" s="345"/>
      <c r="Q631" s="345"/>
      <c r="R631" s="345">
        <v>0</v>
      </c>
      <c r="S631" s="345">
        <v>0.8</v>
      </c>
      <c r="T631" s="345">
        <v>1336.3</v>
      </c>
      <c r="U631" s="345">
        <v>0</v>
      </c>
      <c r="V631" s="345">
        <v>2</v>
      </c>
      <c r="W631" s="345">
        <v>1497.8</v>
      </c>
      <c r="X631" s="345">
        <v>0</v>
      </c>
      <c r="Y631" s="345">
        <v>1</v>
      </c>
      <c r="Z631" s="345">
        <v>1495.1</v>
      </c>
      <c r="AA631">
        <f t="shared" si="9"/>
        <v>0</v>
      </c>
    </row>
    <row r="632" spans="1:27" ht="28.8" x14ac:dyDescent="0.3">
      <c r="A632" s="345" t="s">
        <v>2303</v>
      </c>
      <c r="B632" s="805"/>
      <c r="C632" s="802"/>
      <c r="D632" s="802"/>
      <c r="E632" s="803"/>
      <c r="F632" s="805">
        <v>1</v>
      </c>
      <c r="G632" s="803"/>
      <c r="H632" s="345">
        <v>1497.1</v>
      </c>
      <c r="I632" s="345">
        <v>0</v>
      </c>
      <c r="J632" s="345">
        <v>2.5</v>
      </c>
      <c r="K632" s="345">
        <v>1528.4</v>
      </c>
      <c r="L632" s="346"/>
      <c r="M632" s="346"/>
      <c r="N632" s="346"/>
      <c r="O632" s="345"/>
      <c r="P632" s="345"/>
      <c r="Q632" s="345"/>
      <c r="R632" s="345">
        <v>0</v>
      </c>
      <c r="S632" s="345">
        <v>0.8</v>
      </c>
      <c r="T632" s="345">
        <v>1336.3</v>
      </c>
      <c r="U632" s="345">
        <v>0</v>
      </c>
      <c r="V632" s="345">
        <v>2</v>
      </c>
      <c r="W632" s="345">
        <v>1497.8</v>
      </c>
      <c r="X632" s="345">
        <v>0</v>
      </c>
      <c r="Y632" s="345">
        <v>1</v>
      </c>
      <c r="Z632" s="345">
        <v>1495.1</v>
      </c>
      <c r="AA632">
        <f t="shared" si="9"/>
        <v>0</v>
      </c>
    </row>
    <row r="633" spans="1:27" ht="28.8" x14ac:dyDescent="0.3">
      <c r="A633" s="345" t="s">
        <v>2304</v>
      </c>
      <c r="B633" s="805"/>
      <c r="C633" s="802"/>
      <c r="D633" s="802"/>
      <c r="E633" s="803"/>
      <c r="F633" s="805">
        <v>1</v>
      </c>
      <c r="G633" s="803"/>
      <c r="H633" s="345">
        <v>1497.1</v>
      </c>
      <c r="I633" s="345">
        <v>0</v>
      </c>
      <c r="J633" s="345">
        <v>2.5</v>
      </c>
      <c r="K633" s="345">
        <v>1528.4</v>
      </c>
      <c r="L633" s="346"/>
      <c r="M633" s="346"/>
      <c r="N633" s="346"/>
      <c r="O633" s="345"/>
      <c r="P633" s="345"/>
      <c r="Q633" s="345"/>
      <c r="R633" s="345">
        <v>0</v>
      </c>
      <c r="S633" s="345">
        <v>0.8</v>
      </c>
      <c r="T633" s="345">
        <v>1336.3</v>
      </c>
      <c r="U633" s="345">
        <v>0</v>
      </c>
      <c r="V633" s="345">
        <v>2</v>
      </c>
      <c r="W633" s="345">
        <v>1497.8</v>
      </c>
      <c r="X633" s="345">
        <v>0</v>
      </c>
      <c r="Y633" s="345">
        <v>1</v>
      </c>
      <c r="Z633" s="345">
        <v>1495.1</v>
      </c>
      <c r="AA633">
        <f t="shared" si="9"/>
        <v>0</v>
      </c>
    </row>
    <row r="634" spans="1:27" ht="28.8" x14ac:dyDescent="0.3">
      <c r="A634" s="345" t="s">
        <v>2305</v>
      </c>
      <c r="B634" s="805"/>
      <c r="C634" s="802"/>
      <c r="D634" s="802"/>
      <c r="E634" s="803"/>
      <c r="F634" s="805">
        <v>1</v>
      </c>
      <c r="G634" s="803"/>
      <c r="H634" s="345">
        <v>1497.1</v>
      </c>
      <c r="I634" s="345">
        <v>0</v>
      </c>
      <c r="J634" s="345">
        <v>2.5</v>
      </c>
      <c r="K634" s="345">
        <v>1528.4</v>
      </c>
      <c r="L634" s="346"/>
      <c r="M634" s="346"/>
      <c r="N634" s="346"/>
      <c r="O634" s="345"/>
      <c r="P634" s="345"/>
      <c r="Q634" s="345"/>
      <c r="R634" s="345">
        <v>0</v>
      </c>
      <c r="S634" s="345">
        <v>0.8</v>
      </c>
      <c r="T634" s="345">
        <v>1336.3</v>
      </c>
      <c r="U634" s="345">
        <v>0</v>
      </c>
      <c r="V634" s="345">
        <v>2</v>
      </c>
      <c r="W634" s="345">
        <v>1497.8</v>
      </c>
      <c r="X634" s="345">
        <v>0</v>
      </c>
      <c r="Y634" s="345">
        <v>1</v>
      </c>
      <c r="Z634" s="345">
        <v>1495.1</v>
      </c>
      <c r="AA634">
        <f t="shared" si="9"/>
        <v>0</v>
      </c>
    </row>
    <row r="635" spans="1:27" ht="28.8" x14ac:dyDescent="0.3">
      <c r="A635" s="345" t="s">
        <v>2306</v>
      </c>
      <c r="B635" s="805"/>
      <c r="C635" s="802"/>
      <c r="D635" s="802"/>
      <c r="E635" s="803"/>
      <c r="F635" s="805">
        <v>1</v>
      </c>
      <c r="G635" s="803"/>
      <c r="H635" s="345">
        <v>1497.1</v>
      </c>
      <c r="I635" s="345">
        <v>0</v>
      </c>
      <c r="J635" s="345">
        <v>2.5</v>
      </c>
      <c r="K635" s="345">
        <v>1528.4</v>
      </c>
      <c r="L635" s="346"/>
      <c r="M635" s="346"/>
      <c r="N635" s="346"/>
      <c r="O635" s="345"/>
      <c r="P635" s="345"/>
      <c r="Q635" s="345"/>
      <c r="R635" s="345">
        <v>0</v>
      </c>
      <c r="S635" s="345">
        <v>0.8</v>
      </c>
      <c r="T635" s="345">
        <v>1336.3</v>
      </c>
      <c r="U635" s="345">
        <v>0</v>
      </c>
      <c r="V635" s="345">
        <v>2</v>
      </c>
      <c r="W635" s="345">
        <v>1497.8</v>
      </c>
      <c r="X635" s="345">
        <v>0</v>
      </c>
      <c r="Y635" s="345">
        <v>1</v>
      </c>
      <c r="Z635" s="345">
        <v>1495.1</v>
      </c>
      <c r="AA635">
        <f t="shared" si="9"/>
        <v>0</v>
      </c>
    </row>
    <row r="636" spans="1:27" ht="28.8" x14ac:dyDescent="0.3">
      <c r="A636" s="345" t="s">
        <v>2307</v>
      </c>
      <c r="B636" s="805"/>
      <c r="C636" s="802"/>
      <c r="D636" s="802"/>
      <c r="E636" s="803"/>
      <c r="F636" s="805">
        <v>1</v>
      </c>
      <c r="G636" s="803"/>
      <c r="H636" s="345">
        <v>1497.1</v>
      </c>
      <c r="I636" s="345">
        <v>0</v>
      </c>
      <c r="J636" s="345">
        <v>2.5</v>
      </c>
      <c r="K636" s="345">
        <v>1528.4</v>
      </c>
      <c r="L636" s="346"/>
      <c r="M636" s="346"/>
      <c r="N636" s="346"/>
      <c r="O636" s="345"/>
      <c r="P636" s="345"/>
      <c r="Q636" s="345"/>
      <c r="R636" s="345">
        <v>0</v>
      </c>
      <c r="S636" s="345">
        <v>0.8</v>
      </c>
      <c r="T636" s="345">
        <v>1336.3</v>
      </c>
      <c r="U636" s="345">
        <v>0</v>
      </c>
      <c r="V636" s="345">
        <v>2</v>
      </c>
      <c r="W636" s="345">
        <v>1497.8</v>
      </c>
      <c r="X636" s="345">
        <v>0</v>
      </c>
      <c r="Y636" s="345">
        <v>1</v>
      </c>
      <c r="Z636" s="345">
        <v>1495.1</v>
      </c>
      <c r="AA636">
        <f t="shared" si="9"/>
        <v>0</v>
      </c>
    </row>
    <row r="637" spans="1:27" ht="28.8" x14ac:dyDescent="0.3">
      <c r="A637" s="345" t="s">
        <v>2308</v>
      </c>
      <c r="B637" s="805"/>
      <c r="C637" s="802"/>
      <c r="D637" s="802"/>
      <c r="E637" s="803"/>
      <c r="F637" s="805">
        <v>1</v>
      </c>
      <c r="G637" s="803"/>
      <c r="H637" s="345">
        <v>1497.1</v>
      </c>
      <c r="I637" s="345">
        <v>0</v>
      </c>
      <c r="J637" s="345">
        <v>2.5</v>
      </c>
      <c r="K637" s="345">
        <v>1528.4</v>
      </c>
      <c r="L637" s="346"/>
      <c r="M637" s="346"/>
      <c r="N637" s="346"/>
      <c r="O637" s="345"/>
      <c r="P637" s="345"/>
      <c r="Q637" s="345"/>
      <c r="R637" s="345">
        <v>0</v>
      </c>
      <c r="S637" s="345">
        <v>0.8</v>
      </c>
      <c r="T637" s="345">
        <v>1336.3</v>
      </c>
      <c r="U637" s="345">
        <v>0</v>
      </c>
      <c r="V637" s="345">
        <v>2</v>
      </c>
      <c r="W637" s="345">
        <v>1497.8</v>
      </c>
      <c r="X637" s="345">
        <v>0</v>
      </c>
      <c r="Y637" s="345">
        <v>1</v>
      </c>
      <c r="Z637" s="345">
        <v>1495.1</v>
      </c>
      <c r="AA637">
        <f t="shared" si="9"/>
        <v>0</v>
      </c>
    </row>
    <row r="638" spans="1:27" ht="28.8" x14ac:dyDescent="0.3">
      <c r="A638" s="345" t="s">
        <v>2309</v>
      </c>
      <c r="B638" s="805"/>
      <c r="C638" s="802"/>
      <c r="D638" s="802"/>
      <c r="E638" s="803"/>
      <c r="F638" s="805">
        <v>10</v>
      </c>
      <c r="G638" s="803"/>
      <c r="H638" s="345">
        <v>1506.1</v>
      </c>
      <c r="I638" s="345">
        <v>8</v>
      </c>
      <c r="J638" s="345">
        <v>10.5</v>
      </c>
      <c r="K638" s="345">
        <v>1536.4</v>
      </c>
      <c r="L638" s="346"/>
      <c r="M638" s="346"/>
      <c r="N638" s="346"/>
      <c r="O638" s="345"/>
      <c r="P638" s="345"/>
      <c r="Q638" s="345"/>
      <c r="R638" s="345">
        <v>10.5</v>
      </c>
      <c r="S638" s="345">
        <v>11.3</v>
      </c>
      <c r="T638" s="345">
        <v>1346.8</v>
      </c>
      <c r="U638" s="345">
        <v>6</v>
      </c>
      <c r="V638" s="345">
        <v>8</v>
      </c>
      <c r="W638" s="345">
        <v>1503.8</v>
      </c>
      <c r="X638" s="345">
        <v>5</v>
      </c>
      <c r="Y638" s="345">
        <v>6</v>
      </c>
      <c r="Z638" s="345">
        <v>1500.1</v>
      </c>
      <c r="AA638">
        <f t="shared" si="9"/>
        <v>8</v>
      </c>
    </row>
    <row r="639" spans="1:27" ht="28.8" x14ac:dyDescent="0.3">
      <c r="A639" s="345" t="s">
        <v>2310</v>
      </c>
      <c r="B639" s="805"/>
      <c r="C639" s="802"/>
      <c r="D639" s="802"/>
      <c r="E639" s="803"/>
      <c r="F639" s="805">
        <v>13</v>
      </c>
      <c r="G639" s="803"/>
      <c r="H639" s="345">
        <v>1509.1</v>
      </c>
      <c r="I639" s="345">
        <v>2</v>
      </c>
      <c r="J639" s="345">
        <v>12.5</v>
      </c>
      <c r="K639" s="345">
        <v>1538.4</v>
      </c>
      <c r="L639" s="346"/>
      <c r="M639" s="346"/>
      <c r="N639" s="346"/>
      <c r="O639" s="345"/>
      <c r="P639" s="345"/>
      <c r="Q639" s="345"/>
      <c r="R639" s="345">
        <v>0.14000000000000001</v>
      </c>
      <c r="S639" s="345">
        <v>11.44</v>
      </c>
      <c r="T639" s="345">
        <v>1346.94</v>
      </c>
      <c r="U639" s="345">
        <v>2</v>
      </c>
      <c r="V639" s="345">
        <v>10</v>
      </c>
      <c r="W639" s="345">
        <v>1505.8</v>
      </c>
      <c r="X639" s="345">
        <v>2.5</v>
      </c>
      <c r="Y639" s="345">
        <v>8.5</v>
      </c>
      <c r="Z639" s="345">
        <v>1502.6</v>
      </c>
      <c r="AA639">
        <f t="shared" si="9"/>
        <v>2</v>
      </c>
    </row>
    <row r="640" spans="1:27" s="362" customFormat="1" ht="28.8" x14ac:dyDescent="0.3">
      <c r="A640" s="359" t="s">
        <v>2311</v>
      </c>
      <c r="B640" s="811"/>
      <c r="C640" s="812"/>
      <c r="D640" s="812"/>
      <c r="E640" s="813"/>
      <c r="F640" s="811">
        <v>53</v>
      </c>
      <c r="G640" s="813"/>
      <c r="H640" s="359">
        <v>1549.1</v>
      </c>
      <c r="I640" s="359">
        <v>25</v>
      </c>
      <c r="J640" s="359">
        <v>37.5</v>
      </c>
      <c r="K640" s="359">
        <v>1563.4</v>
      </c>
      <c r="L640" s="359"/>
      <c r="M640" s="359"/>
      <c r="N640" s="359"/>
      <c r="O640" s="359"/>
      <c r="P640" s="359"/>
      <c r="Q640" s="359"/>
      <c r="R640" s="359">
        <v>36.799999999999997</v>
      </c>
      <c r="S640" s="359">
        <v>48.24</v>
      </c>
      <c r="T640" s="359">
        <v>1383.74</v>
      </c>
      <c r="U640" s="359">
        <v>38.5</v>
      </c>
      <c r="V640" s="359">
        <v>48.5</v>
      </c>
      <c r="W640" s="359">
        <v>1544.3</v>
      </c>
      <c r="X640" s="359">
        <v>38</v>
      </c>
      <c r="Y640" s="359">
        <v>46.5</v>
      </c>
      <c r="Z640" s="359">
        <v>1540.6</v>
      </c>
      <c r="AA640" s="362">
        <f t="shared" si="9"/>
        <v>25</v>
      </c>
    </row>
    <row r="641" spans="1:27" ht="28.8" x14ac:dyDescent="0.3">
      <c r="A641" s="345" t="s">
        <v>2312</v>
      </c>
      <c r="B641" s="805"/>
      <c r="C641" s="802"/>
      <c r="D641" s="802"/>
      <c r="E641" s="803"/>
      <c r="F641" s="805">
        <v>0</v>
      </c>
      <c r="G641" s="803"/>
      <c r="H641" s="345">
        <v>1549.1</v>
      </c>
      <c r="I641" s="345">
        <v>0</v>
      </c>
      <c r="J641" s="345">
        <v>0</v>
      </c>
      <c r="K641" s="345">
        <v>1563.4</v>
      </c>
      <c r="L641" s="346"/>
      <c r="M641" s="346"/>
      <c r="N641" s="346"/>
      <c r="O641" s="345"/>
      <c r="P641" s="345"/>
      <c r="Q641" s="345"/>
      <c r="R641" s="345">
        <v>0</v>
      </c>
      <c r="S641" s="345">
        <v>0</v>
      </c>
      <c r="T641" s="345">
        <v>1383.74</v>
      </c>
      <c r="U641" s="345">
        <v>0</v>
      </c>
      <c r="V641" s="345">
        <v>0</v>
      </c>
      <c r="W641" s="345">
        <v>1544.3</v>
      </c>
      <c r="X641" s="345">
        <v>0</v>
      </c>
      <c r="Y641" s="345">
        <v>0</v>
      </c>
      <c r="Z641" s="345">
        <v>1540.6</v>
      </c>
      <c r="AA641">
        <f t="shared" si="9"/>
        <v>0</v>
      </c>
    </row>
    <row r="642" spans="1:27" ht="28.8" x14ac:dyDescent="0.3">
      <c r="A642" s="345" t="s">
        <v>2313</v>
      </c>
      <c r="B642" s="805"/>
      <c r="C642" s="802"/>
      <c r="D642" s="802"/>
      <c r="E642" s="803"/>
      <c r="F642" s="805">
        <v>0</v>
      </c>
      <c r="G642" s="803"/>
      <c r="H642" s="345">
        <v>1549.1</v>
      </c>
      <c r="I642" s="345">
        <v>0</v>
      </c>
      <c r="J642" s="345">
        <v>0</v>
      </c>
      <c r="K642" s="345">
        <v>1563.4</v>
      </c>
      <c r="L642" s="346"/>
      <c r="M642" s="346"/>
      <c r="N642" s="346"/>
      <c r="O642" s="345"/>
      <c r="P642" s="345"/>
      <c r="Q642" s="345"/>
      <c r="R642" s="345">
        <v>0</v>
      </c>
      <c r="S642" s="345">
        <v>0</v>
      </c>
      <c r="T642" s="345">
        <v>1383.74</v>
      </c>
      <c r="U642" s="345">
        <v>0</v>
      </c>
      <c r="V642" s="345">
        <v>0</v>
      </c>
      <c r="W642" s="345">
        <v>1544.3</v>
      </c>
      <c r="X642" s="345">
        <v>0</v>
      </c>
      <c r="Y642" s="345">
        <v>0</v>
      </c>
      <c r="Z642" s="345">
        <v>1540.6</v>
      </c>
      <c r="AA642">
        <f t="shared" si="9"/>
        <v>0</v>
      </c>
    </row>
    <row r="643" spans="1:27" ht="28.8" x14ac:dyDescent="0.3">
      <c r="A643" s="345" t="s">
        <v>2314</v>
      </c>
      <c r="B643" s="805"/>
      <c r="C643" s="802"/>
      <c r="D643" s="802"/>
      <c r="E643" s="803"/>
      <c r="F643" s="805">
        <v>1</v>
      </c>
      <c r="G643" s="803"/>
      <c r="H643" s="345">
        <v>1550.1</v>
      </c>
      <c r="I643" s="345">
        <v>0.5</v>
      </c>
      <c r="J643" s="345">
        <v>0.5</v>
      </c>
      <c r="K643" s="345">
        <v>1563.9</v>
      </c>
      <c r="L643" s="346"/>
      <c r="M643" s="346"/>
      <c r="N643" s="346"/>
      <c r="O643" s="345"/>
      <c r="P643" s="345"/>
      <c r="Q643" s="345"/>
      <c r="R643" s="345">
        <v>0.03</v>
      </c>
      <c r="S643" s="345">
        <v>0.03</v>
      </c>
      <c r="T643" s="345">
        <v>1383.77</v>
      </c>
      <c r="U643" s="345">
        <v>0.5</v>
      </c>
      <c r="V643" s="345">
        <v>0.5</v>
      </c>
      <c r="W643" s="345">
        <v>1544.8</v>
      </c>
      <c r="X643" s="345">
        <v>1</v>
      </c>
      <c r="Y643" s="345">
        <v>1</v>
      </c>
      <c r="Z643" s="345">
        <v>1541.6</v>
      </c>
      <c r="AA643">
        <f t="shared" si="9"/>
        <v>0.5</v>
      </c>
    </row>
    <row r="644" spans="1:27" ht="28.8" x14ac:dyDescent="0.3">
      <c r="A644" s="345" t="s">
        <v>2315</v>
      </c>
      <c r="B644" s="805"/>
      <c r="C644" s="802"/>
      <c r="D644" s="802"/>
      <c r="E644" s="803"/>
      <c r="F644" s="805">
        <v>1</v>
      </c>
      <c r="G644" s="803"/>
      <c r="H644" s="345">
        <v>1550.1</v>
      </c>
      <c r="I644" s="345">
        <v>0</v>
      </c>
      <c r="J644" s="345">
        <v>0.5</v>
      </c>
      <c r="K644" s="345">
        <v>1563.9</v>
      </c>
      <c r="L644" s="346"/>
      <c r="M644" s="346"/>
      <c r="N644" s="346"/>
      <c r="O644" s="345"/>
      <c r="P644" s="345"/>
      <c r="Q644" s="345"/>
      <c r="R644" s="345">
        <v>0</v>
      </c>
      <c r="S644" s="345">
        <v>0.03</v>
      </c>
      <c r="T644" s="345">
        <v>1383.77</v>
      </c>
      <c r="U644" s="345">
        <v>0</v>
      </c>
      <c r="V644" s="345">
        <v>0.5</v>
      </c>
      <c r="W644" s="345">
        <v>1544.8</v>
      </c>
      <c r="X644" s="345">
        <v>0</v>
      </c>
      <c r="Y644" s="345">
        <v>1</v>
      </c>
      <c r="Z644" s="345">
        <v>1541.6</v>
      </c>
      <c r="AA644">
        <f t="shared" si="9"/>
        <v>0</v>
      </c>
    </row>
    <row r="645" spans="1:27" ht="28.8" x14ac:dyDescent="0.3">
      <c r="A645" s="345" t="s">
        <v>2316</v>
      </c>
      <c r="B645" s="805"/>
      <c r="C645" s="802"/>
      <c r="D645" s="802"/>
      <c r="E645" s="803"/>
      <c r="F645" s="805">
        <v>2</v>
      </c>
      <c r="G645" s="803"/>
      <c r="H645" s="345">
        <v>1551.1</v>
      </c>
      <c r="I645" s="345">
        <v>0.5</v>
      </c>
      <c r="J645" s="345">
        <v>1</v>
      </c>
      <c r="K645" s="345">
        <v>1564.4</v>
      </c>
      <c r="L645" s="346"/>
      <c r="M645" s="346"/>
      <c r="N645" s="346"/>
      <c r="O645" s="345"/>
      <c r="P645" s="345"/>
      <c r="Q645" s="345"/>
      <c r="R645" s="345">
        <v>1</v>
      </c>
      <c r="S645" s="345">
        <v>1.03</v>
      </c>
      <c r="T645" s="345">
        <v>1384.77</v>
      </c>
      <c r="U645" s="345">
        <v>2</v>
      </c>
      <c r="V645" s="345">
        <v>2.5</v>
      </c>
      <c r="W645" s="345">
        <v>1546.8</v>
      </c>
      <c r="X645" s="345">
        <v>1.5</v>
      </c>
      <c r="Y645" s="345">
        <v>2.5</v>
      </c>
      <c r="Z645" s="345">
        <v>1543.1</v>
      </c>
      <c r="AA645">
        <f t="shared" si="9"/>
        <v>0.5</v>
      </c>
    </row>
    <row r="646" spans="1:27" ht="28.8" x14ac:dyDescent="0.3">
      <c r="A646" s="345" t="s">
        <v>2317</v>
      </c>
      <c r="B646" s="805"/>
      <c r="C646" s="802"/>
      <c r="D646" s="802"/>
      <c r="E646" s="803"/>
      <c r="F646" s="805">
        <v>5</v>
      </c>
      <c r="G646" s="803"/>
      <c r="H646" s="345">
        <v>1554.1</v>
      </c>
      <c r="I646" s="345">
        <v>3</v>
      </c>
      <c r="J646" s="345">
        <v>4</v>
      </c>
      <c r="K646" s="345">
        <v>1567.4</v>
      </c>
      <c r="L646" s="346"/>
      <c r="M646" s="346"/>
      <c r="N646" s="346"/>
      <c r="O646" s="345"/>
      <c r="P646" s="345"/>
      <c r="Q646" s="345"/>
      <c r="R646" s="345">
        <v>1.4</v>
      </c>
      <c r="S646" s="345">
        <v>2.4300000000000002</v>
      </c>
      <c r="T646" s="345">
        <v>1386.17</v>
      </c>
      <c r="U646" s="345">
        <v>2</v>
      </c>
      <c r="V646" s="345">
        <v>4.5</v>
      </c>
      <c r="W646" s="345">
        <v>1548.8</v>
      </c>
      <c r="X646" s="345">
        <v>3</v>
      </c>
      <c r="Y646" s="345">
        <v>5.5</v>
      </c>
      <c r="Z646" s="345">
        <v>1546.1</v>
      </c>
      <c r="AA646">
        <f t="shared" si="9"/>
        <v>3</v>
      </c>
    </row>
    <row r="647" spans="1:27" ht="28.8" x14ac:dyDescent="0.3">
      <c r="A647" s="345" t="s">
        <v>2318</v>
      </c>
      <c r="B647" s="805"/>
      <c r="C647" s="802"/>
      <c r="D647" s="802"/>
      <c r="E647" s="803"/>
      <c r="F647" s="805">
        <v>14</v>
      </c>
      <c r="G647" s="803"/>
      <c r="H647" s="345">
        <v>1563.1</v>
      </c>
      <c r="I647" s="345">
        <v>9.5</v>
      </c>
      <c r="J647" s="345">
        <v>13.5</v>
      </c>
      <c r="K647" s="345">
        <v>1576.9</v>
      </c>
      <c r="L647" s="346"/>
      <c r="M647" s="346"/>
      <c r="N647" s="346"/>
      <c r="O647" s="345"/>
      <c r="P647" s="345"/>
      <c r="Q647" s="345"/>
      <c r="R647" s="345">
        <v>10.199999999999999</v>
      </c>
      <c r="S647" s="345">
        <v>12.63</v>
      </c>
      <c r="T647" s="345">
        <v>1396.37</v>
      </c>
      <c r="U647" s="345">
        <v>9.5</v>
      </c>
      <c r="V647" s="345">
        <v>14</v>
      </c>
      <c r="W647" s="345">
        <v>1558.3</v>
      </c>
      <c r="X647" s="345">
        <v>9</v>
      </c>
      <c r="Y647" s="345">
        <v>14.5</v>
      </c>
      <c r="Z647" s="345">
        <v>1555.1</v>
      </c>
      <c r="AA647">
        <f t="shared" si="9"/>
        <v>9.5</v>
      </c>
    </row>
    <row r="648" spans="1:27" ht="28.8" x14ac:dyDescent="0.3">
      <c r="A648" s="345" t="s">
        <v>2319</v>
      </c>
      <c r="B648" s="805"/>
      <c r="C648" s="802"/>
      <c r="D648" s="802"/>
      <c r="E648" s="803"/>
      <c r="F648" s="805">
        <v>14</v>
      </c>
      <c r="G648" s="803"/>
      <c r="H648" s="345">
        <v>1563.1</v>
      </c>
      <c r="I648" s="345">
        <v>0</v>
      </c>
      <c r="J648" s="345">
        <v>13.5</v>
      </c>
      <c r="K648" s="345">
        <v>1576.9</v>
      </c>
      <c r="L648" s="346"/>
      <c r="M648" s="346"/>
      <c r="N648" s="346"/>
      <c r="O648" s="345"/>
      <c r="P648" s="345"/>
      <c r="Q648" s="345"/>
      <c r="R648" s="345">
        <v>0.4</v>
      </c>
      <c r="S648" s="345">
        <v>13.03</v>
      </c>
      <c r="T648" s="345">
        <v>1396.77</v>
      </c>
      <c r="U648" s="345">
        <v>0</v>
      </c>
      <c r="V648" s="345">
        <v>14</v>
      </c>
      <c r="W648" s="345">
        <v>1558.3</v>
      </c>
      <c r="X648" s="345">
        <v>0</v>
      </c>
      <c r="Y648" s="345">
        <v>14.5</v>
      </c>
      <c r="Z648" s="345">
        <v>1555.1</v>
      </c>
      <c r="AA648">
        <f t="shared" ref="AA648:AA711" si="10">MAX(B648+I648+L648+O648)</f>
        <v>0</v>
      </c>
    </row>
    <row r="649" spans="1:27" ht="28.8" x14ac:dyDescent="0.3">
      <c r="A649" s="345" t="s">
        <v>2320</v>
      </c>
      <c r="B649" s="805"/>
      <c r="C649" s="802"/>
      <c r="D649" s="802"/>
      <c r="E649" s="803"/>
      <c r="F649" s="805">
        <v>14</v>
      </c>
      <c r="G649" s="803"/>
      <c r="H649" s="345">
        <v>1563.1</v>
      </c>
      <c r="I649" s="345">
        <v>0</v>
      </c>
      <c r="J649" s="345">
        <v>13.5</v>
      </c>
      <c r="K649" s="345">
        <v>1576.9</v>
      </c>
      <c r="L649" s="346"/>
      <c r="M649" s="346"/>
      <c r="N649" s="346"/>
      <c r="O649" s="345"/>
      <c r="P649" s="345"/>
      <c r="Q649" s="345"/>
      <c r="R649" s="345">
        <v>0</v>
      </c>
      <c r="S649" s="345">
        <v>13.03</v>
      </c>
      <c r="T649" s="345">
        <v>1396.77</v>
      </c>
      <c r="U649" s="345"/>
      <c r="V649" s="345"/>
      <c r="W649" s="345"/>
      <c r="X649" s="345"/>
      <c r="Y649" s="345"/>
      <c r="Z649" s="345"/>
      <c r="AA649">
        <f t="shared" si="10"/>
        <v>0</v>
      </c>
    </row>
    <row r="650" spans="1:27" ht="28.8" x14ac:dyDescent="0.3">
      <c r="A650" s="345" t="s">
        <v>2321</v>
      </c>
      <c r="B650" s="805"/>
      <c r="C650" s="802"/>
      <c r="D650" s="802"/>
      <c r="E650" s="803"/>
      <c r="F650" s="805">
        <v>14</v>
      </c>
      <c r="G650" s="803"/>
      <c r="H650" s="345">
        <v>1563.1</v>
      </c>
      <c r="I650" s="345">
        <v>0</v>
      </c>
      <c r="J650" s="345">
        <v>13.5</v>
      </c>
      <c r="K650" s="345">
        <v>1576.9</v>
      </c>
      <c r="L650" s="346"/>
      <c r="M650" s="346"/>
      <c r="N650" s="346"/>
      <c r="O650" s="345"/>
      <c r="P650" s="345"/>
      <c r="Q650" s="345"/>
      <c r="R650" s="345">
        <v>0</v>
      </c>
      <c r="S650" s="345">
        <v>13.03</v>
      </c>
      <c r="T650" s="345">
        <v>1396.77</v>
      </c>
      <c r="U650" s="345">
        <v>0</v>
      </c>
      <c r="V650" s="345">
        <v>14</v>
      </c>
      <c r="W650" s="345">
        <v>1558.3</v>
      </c>
      <c r="X650" s="345">
        <v>0</v>
      </c>
      <c r="Y650" s="345">
        <v>14.5</v>
      </c>
      <c r="Z650" s="345">
        <v>1555.1</v>
      </c>
      <c r="AA650">
        <f t="shared" si="10"/>
        <v>0</v>
      </c>
    </row>
    <row r="651" spans="1:27" ht="28.8" x14ac:dyDescent="0.3">
      <c r="A651" s="345" t="s">
        <v>2322</v>
      </c>
      <c r="B651" s="805"/>
      <c r="C651" s="802"/>
      <c r="D651" s="802"/>
      <c r="E651" s="803"/>
      <c r="F651" s="805">
        <v>25.5</v>
      </c>
      <c r="G651" s="803"/>
      <c r="H651" s="345">
        <v>1574.6</v>
      </c>
      <c r="I651" s="345">
        <v>34.5</v>
      </c>
      <c r="J651" s="345">
        <v>48</v>
      </c>
      <c r="K651" s="345">
        <v>1611.4</v>
      </c>
      <c r="L651" s="346"/>
      <c r="M651" s="346"/>
      <c r="N651" s="346"/>
      <c r="O651" s="345"/>
      <c r="P651" s="345"/>
      <c r="Q651" s="345"/>
      <c r="R651" s="345">
        <v>0.4</v>
      </c>
      <c r="S651" s="345">
        <v>13.43</v>
      </c>
      <c r="T651" s="345">
        <v>1397.17</v>
      </c>
      <c r="U651" s="345">
        <v>11.5</v>
      </c>
      <c r="V651" s="345">
        <v>25.5</v>
      </c>
      <c r="W651" s="345">
        <v>1569.8</v>
      </c>
      <c r="X651" s="345">
        <v>11.5</v>
      </c>
      <c r="Y651" s="345">
        <v>26</v>
      </c>
      <c r="Z651" s="345">
        <v>1566.6</v>
      </c>
      <c r="AA651">
        <f t="shared" si="10"/>
        <v>34.5</v>
      </c>
    </row>
    <row r="652" spans="1:27" ht="28.8" x14ac:dyDescent="0.3">
      <c r="A652" s="345" t="s">
        <v>2323</v>
      </c>
      <c r="B652" s="805"/>
      <c r="C652" s="802"/>
      <c r="D652" s="802"/>
      <c r="E652" s="803"/>
      <c r="F652" s="805">
        <v>27.5</v>
      </c>
      <c r="G652" s="803"/>
      <c r="H652" s="345">
        <v>1576.6</v>
      </c>
      <c r="I652" s="345">
        <v>0.5</v>
      </c>
      <c r="J652" s="345">
        <v>48.5</v>
      </c>
      <c r="K652" s="345">
        <v>1611.9</v>
      </c>
      <c r="L652" s="346"/>
      <c r="M652" s="346"/>
      <c r="N652" s="346"/>
      <c r="O652" s="345"/>
      <c r="P652" s="345"/>
      <c r="Q652" s="345"/>
      <c r="R652" s="345">
        <v>1.4</v>
      </c>
      <c r="S652" s="345">
        <v>14.83</v>
      </c>
      <c r="T652" s="345">
        <v>1398.57</v>
      </c>
      <c r="U652" s="345">
        <v>1</v>
      </c>
      <c r="V652" s="345">
        <v>26.5</v>
      </c>
      <c r="W652" s="345">
        <v>1570.8</v>
      </c>
      <c r="X652" s="345">
        <v>1.5</v>
      </c>
      <c r="Y652" s="345">
        <v>27.5</v>
      </c>
      <c r="Z652" s="345">
        <v>1568.1</v>
      </c>
      <c r="AA652">
        <f t="shared" si="10"/>
        <v>0.5</v>
      </c>
    </row>
    <row r="653" spans="1:27" ht="28.8" x14ac:dyDescent="0.3">
      <c r="A653" s="345" t="s">
        <v>2324</v>
      </c>
      <c r="B653" s="805"/>
      <c r="C653" s="802"/>
      <c r="D653" s="802"/>
      <c r="E653" s="803"/>
      <c r="F653" s="805">
        <v>27.5</v>
      </c>
      <c r="G653" s="803"/>
      <c r="H653" s="345">
        <v>1576.6</v>
      </c>
      <c r="I653" s="345">
        <v>0</v>
      </c>
      <c r="J653" s="345">
        <v>48.5</v>
      </c>
      <c r="K653" s="345">
        <v>1611.9</v>
      </c>
      <c r="L653" s="346"/>
      <c r="M653" s="346"/>
      <c r="N653" s="346"/>
      <c r="O653" s="345"/>
      <c r="P653" s="345"/>
      <c r="Q653" s="345"/>
      <c r="R653" s="345">
        <v>0</v>
      </c>
      <c r="S653" s="345">
        <v>14.83</v>
      </c>
      <c r="T653" s="345">
        <v>1398.57</v>
      </c>
      <c r="U653" s="345">
        <v>0</v>
      </c>
      <c r="V653" s="345">
        <v>26.5</v>
      </c>
      <c r="W653" s="345">
        <v>1570.8</v>
      </c>
      <c r="X653" s="345">
        <v>0</v>
      </c>
      <c r="Y653" s="345">
        <v>27.5</v>
      </c>
      <c r="Z653" s="345">
        <v>1568.1</v>
      </c>
      <c r="AA653">
        <f t="shared" si="10"/>
        <v>0</v>
      </c>
    </row>
    <row r="654" spans="1:27" ht="28.8" x14ac:dyDescent="0.3">
      <c r="A654" s="345" t="s">
        <v>2325</v>
      </c>
      <c r="B654" s="805"/>
      <c r="C654" s="802"/>
      <c r="D654" s="802"/>
      <c r="E654" s="803"/>
      <c r="F654" s="805">
        <v>27.5</v>
      </c>
      <c r="G654" s="803"/>
      <c r="H654" s="345">
        <v>1576.6</v>
      </c>
      <c r="I654" s="345">
        <v>0</v>
      </c>
      <c r="J654" s="345">
        <v>48.5</v>
      </c>
      <c r="K654" s="345">
        <v>1611.9</v>
      </c>
      <c r="L654" s="346"/>
      <c r="M654" s="346"/>
      <c r="N654" s="346"/>
      <c r="O654" s="345"/>
      <c r="P654" s="345"/>
      <c r="Q654" s="345"/>
      <c r="R654" s="345">
        <v>0</v>
      </c>
      <c r="S654" s="345">
        <v>14.83</v>
      </c>
      <c r="T654" s="345">
        <v>1398.57</v>
      </c>
      <c r="U654" s="345">
        <v>0</v>
      </c>
      <c r="V654" s="345">
        <v>26.5</v>
      </c>
      <c r="W654" s="345">
        <v>1570.8</v>
      </c>
      <c r="X654" s="345">
        <v>0</v>
      </c>
      <c r="Y654" s="345">
        <v>27.5</v>
      </c>
      <c r="Z654" s="345">
        <v>1568.1</v>
      </c>
      <c r="AA654">
        <f t="shared" si="10"/>
        <v>0</v>
      </c>
    </row>
    <row r="655" spans="1:27" ht="28.8" x14ac:dyDescent="0.3">
      <c r="A655" s="345" t="s">
        <v>2326</v>
      </c>
      <c r="B655" s="805"/>
      <c r="C655" s="802"/>
      <c r="D655" s="802"/>
      <c r="E655" s="803"/>
      <c r="F655" s="805">
        <v>45</v>
      </c>
      <c r="G655" s="803"/>
      <c r="H655" s="345">
        <v>1594.1</v>
      </c>
      <c r="I655" s="345">
        <v>9</v>
      </c>
      <c r="J655" s="345">
        <v>57.5</v>
      </c>
      <c r="K655" s="345">
        <v>1620.9</v>
      </c>
      <c r="L655" s="346"/>
      <c r="M655" s="346"/>
      <c r="N655" s="346"/>
      <c r="O655" s="345"/>
      <c r="P655" s="345"/>
      <c r="Q655" s="345"/>
      <c r="R655" s="345">
        <v>9.5</v>
      </c>
      <c r="S655" s="345">
        <v>24.33</v>
      </c>
      <c r="T655" s="345">
        <v>1408.07</v>
      </c>
      <c r="U655" s="345">
        <v>10.5</v>
      </c>
      <c r="V655" s="345">
        <v>37</v>
      </c>
      <c r="W655" s="345">
        <v>1581.3</v>
      </c>
      <c r="X655" s="345">
        <v>10</v>
      </c>
      <c r="Y655" s="345">
        <v>37.5</v>
      </c>
      <c r="Z655" s="345">
        <v>1578.1</v>
      </c>
      <c r="AA655">
        <f t="shared" si="10"/>
        <v>9</v>
      </c>
    </row>
    <row r="656" spans="1:27" ht="28.8" x14ac:dyDescent="0.3">
      <c r="A656" s="345" t="s">
        <v>2327</v>
      </c>
      <c r="B656" s="805"/>
      <c r="C656" s="802"/>
      <c r="D656" s="802"/>
      <c r="E656" s="803"/>
      <c r="F656" s="805">
        <v>51.5</v>
      </c>
      <c r="G656" s="803"/>
      <c r="H656" s="345">
        <v>1600.6</v>
      </c>
      <c r="I656" s="345">
        <v>10</v>
      </c>
      <c r="J656" s="345">
        <v>67.5</v>
      </c>
      <c r="K656" s="345">
        <v>1630.9</v>
      </c>
      <c r="L656" s="346"/>
      <c r="M656" s="346"/>
      <c r="N656" s="346"/>
      <c r="O656" s="345"/>
      <c r="P656" s="345"/>
      <c r="Q656" s="345"/>
      <c r="R656" s="345">
        <v>5</v>
      </c>
      <c r="S656" s="345">
        <v>29.33</v>
      </c>
      <c r="T656" s="345">
        <v>1413.07</v>
      </c>
      <c r="U656" s="345">
        <v>5</v>
      </c>
      <c r="V656" s="345">
        <v>42</v>
      </c>
      <c r="W656" s="345">
        <v>1586.3</v>
      </c>
      <c r="X656" s="345">
        <v>5.5</v>
      </c>
      <c r="Y656" s="345">
        <v>43</v>
      </c>
      <c r="Z656" s="345">
        <v>1583.6</v>
      </c>
      <c r="AA656">
        <f t="shared" si="10"/>
        <v>10</v>
      </c>
    </row>
    <row r="657" spans="1:27" ht="28.8" x14ac:dyDescent="0.3">
      <c r="A657" s="345" t="s">
        <v>2328</v>
      </c>
      <c r="B657" s="805"/>
      <c r="C657" s="802"/>
      <c r="D657" s="802"/>
      <c r="E657" s="803"/>
      <c r="F657" s="805">
        <v>51.5</v>
      </c>
      <c r="G657" s="803"/>
      <c r="H657" s="345">
        <v>1600.6</v>
      </c>
      <c r="I657" s="345">
        <v>0</v>
      </c>
      <c r="J657" s="345">
        <v>67.5</v>
      </c>
      <c r="K657" s="345">
        <v>1630.9</v>
      </c>
      <c r="L657" s="346"/>
      <c r="M657" s="346"/>
      <c r="N657" s="346"/>
      <c r="O657" s="345"/>
      <c r="P657" s="345"/>
      <c r="Q657" s="345"/>
      <c r="R657" s="345">
        <v>0</v>
      </c>
      <c r="S657" s="345">
        <v>29.33</v>
      </c>
      <c r="T657" s="345">
        <v>1413.07</v>
      </c>
      <c r="U657" s="345">
        <v>0</v>
      </c>
      <c r="V657" s="345">
        <v>42</v>
      </c>
      <c r="W657" s="345">
        <v>1586.3</v>
      </c>
      <c r="X657" s="345">
        <v>0</v>
      </c>
      <c r="Y657" s="345">
        <v>43</v>
      </c>
      <c r="Z657" s="345">
        <v>1583.6</v>
      </c>
      <c r="AA657">
        <f t="shared" si="10"/>
        <v>0</v>
      </c>
    </row>
    <row r="658" spans="1:27" ht="28.8" x14ac:dyDescent="0.3">
      <c r="A658" s="345" t="s">
        <v>2329</v>
      </c>
      <c r="B658" s="805"/>
      <c r="C658" s="802"/>
      <c r="D658" s="802"/>
      <c r="E658" s="803"/>
      <c r="F658" s="805">
        <v>51.5</v>
      </c>
      <c r="G658" s="803"/>
      <c r="H658" s="345">
        <v>1600.6</v>
      </c>
      <c r="I658" s="345">
        <v>0</v>
      </c>
      <c r="J658" s="345">
        <v>67.5</v>
      </c>
      <c r="K658" s="345">
        <v>1630.9</v>
      </c>
      <c r="L658" s="346"/>
      <c r="M658" s="346"/>
      <c r="N658" s="346"/>
      <c r="O658" s="345"/>
      <c r="P658" s="345"/>
      <c r="Q658" s="345"/>
      <c r="R658" s="345"/>
      <c r="S658" s="345"/>
      <c r="T658" s="345"/>
      <c r="U658" s="345">
        <v>0</v>
      </c>
      <c r="V658" s="345">
        <v>42</v>
      </c>
      <c r="W658" s="345">
        <v>1586.3</v>
      </c>
      <c r="X658" s="345">
        <v>0</v>
      </c>
      <c r="Y658" s="345">
        <v>43</v>
      </c>
      <c r="Z658" s="345">
        <v>1583.6</v>
      </c>
      <c r="AA658">
        <f t="shared" si="10"/>
        <v>0</v>
      </c>
    </row>
    <row r="659" spans="1:27" ht="28.8" x14ac:dyDescent="0.3">
      <c r="A659" s="345" t="s">
        <v>2330</v>
      </c>
      <c r="B659" s="805"/>
      <c r="C659" s="802"/>
      <c r="D659" s="802"/>
      <c r="E659" s="803"/>
      <c r="F659" s="805">
        <v>74.5</v>
      </c>
      <c r="G659" s="803"/>
      <c r="H659" s="345">
        <v>1623.6</v>
      </c>
      <c r="I659" s="345">
        <v>28</v>
      </c>
      <c r="J659" s="345">
        <v>95.5</v>
      </c>
      <c r="K659" s="345">
        <v>1658.9</v>
      </c>
      <c r="L659" s="346"/>
      <c r="M659" s="346"/>
      <c r="N659" s="346"/>
      <c r="O659" s="345"/>
      <c r="P659" s="345"/>
      <c r="Q659" s="345"/>
      <c r="R659" s="345">
        <v>20</v>
      </c>
      <c r="S659" s="345">
        <v>49.33</v>
      </c>
      <c r="T659" s="345">
        <v>1433.07</v>
      </c>
      <c r="U659" s="345">
        <v>23</v>
      </c>
      <c r="V659" s="345">
        <v>65</v>
      </c>
      <c r="W659" s="345">
        <v>1609.3</v>
      </c>
      <c r="X659" s="345">
        <v>22</v>
      </c>
      <c r="Y659" s="345">
        <v>65</v>
      </c>
      <c r="Z659" s="345">
        <v>1605.6</v>
      </c>
      <c r="AA659">
        <f t="shared" si="10"/>
        <v>28</v>
      </c>
    </row>
    <row r="660" spans="1:27" ht="28.8" x14ac:dyDescent="0.3">
      <c r="A660" s="345" t="s">
        <v>2331</v>
      </c>
      <c r="B660" s="805"/>
      <c r="C660" s="802"/>
      <c r="D660" s="802"/>
      <c r="E660" s="803"/>
      <c r="F660" s="805">
        <v>125</v>
      </c>
      <c r="G660" s="803"/>
      <c r="H660" s="345">
        <v>1674.1</v>
      </c>
      <c r="I660" s="345">
        <v>50</v>
      </c>
      <c r="J660" s="345">
        <v>145.5</v>
      </c>
      <c r="K660" s="345">
        <v>1708.9</v>
      </c>
      <c r="L660" s="346"/>
      <c r="M660" s="346"/>
      <c r="N660" s="346"/>
      <c r="O660" s="345"/>
      <c r="P660" s="345"/>
      <c r="Q660" s="345"/>
      <c r="R660" s="345">
        <v>73</v>
      </c>
      <c r="S660" s="345">
        <v>122.33</v>
      </c>
      <c r="T660" s="345">
        <v>1506.07</v>
      </c>
      <c r="U660" s="345">
        <v>75</v>
      </c>
      <c r="V660" s="345">
        <v>140</v>
      </c>
      <c r="W660" s="345">
        <v>1684.3</v>
      </c>
      <c r="X660" s="345">
        <v>52</v>
      </c>
      <c r="Y660" s="345">
        <v>117</v>
      </c>
      <c r="Z660" s="345">
        <v>1657.6</v>
      </c>
      <c r="AA660">
        <f t="shared" si="10"/>
        <v>50</v>
      </c>
    </row>
    <row r="661" spans="1:27" ht="28.8" x14ac:dyDescent="0.3">
      <c r="A661" s="345" t="s">
        <v>2332</v>
      </c>
      <c r="B661" s="805"/>
      <c r="C661" s="802"/>
      <c r="D661" s="802"/>
      <c r="E661" s="803"/>
      <c r="F661" s="805">
        <v>125</v>
      </c>
      <c r="G661" s="803"/>
      <c r="H661" s="345">
        <v>1674.1</v>
      </c>
      <c r="I661" s="345">
        <v>0</v>
      </c>
      <c r="J661" s="345">
        <v>145.5</v>
      </c>
      <c r="K661" s="345">
        <v>1708.9</v>
      </c>
      <c r="L661" s="346"/>
      <c r="M661" s="346"/>
      <c r="N661" s="346"/>
      <c r="O661" s="345"/>
      <c r="P661" s="345"/>
      <c r="Q661" s="345"/>
      <c r="R661" s="345">
        <v>0</v>
      </c>
      <c r="S661" s="345">
        <v>122.33</v>
      </c>
      <c r="T661" s="345">
        <v>1506.07</v>
      </c>
      <c r="U661" s="345">
        <v>0</v>
      </c>
      <c r="V661" s="345">
        <v>140</v>
      </c>
      <c r="W661" s="345">
        <v>1684.3</v>
      </c>
      <c r="X661" s="345">
        <v>0</v>
      </c>
      <c r="Y661" s="345">
        <v>117</v>
      </c>
      <c r="Z661" s="345">
        <v>1657.6</v>
      </c>
      <c r="AA661">
        <f t="shared" si="10"/>
        <v>0</v>
      </c>
    </row>
    <row r="662" spans="1:27" ht="28.8" x14ac:dyDescent="0.3">
      <c r="A662" s="345" t="s">
        <v>2333</v>
      </c>
      <c r="B662" s="805"/>
      <c r="C662" s="802"/>
      <c r="D662" s="802"/>
      <c r="E662" s="803"/>
      <c r="F662" s="805">
        <v>144</v>
      </c>
      <c r="G662" s="803"/>
      <c r="H662" s="345">
        <v>1693.1</v>
      </c>
      <c r="I662" s="345">
        <v>8</v>
      </c>
      <c r="J662" s="345">
        <v>153.5</v>
      </c>
      <c r="K662" s="345">
        <v>1716.9</v>
      </c>
      <c r="L662" s="346"/>
      <c r="M662" s="346"/>
      <c r="N662" s="346"/>
      <c r="O662" s="345"/>
      <c r="P662" s="345"/>
      <c r="Q662" s="345"/>
      <c r="R662" s="345">
        <v>10</v>
      </c>
      <c r="S662" s="345">
        <v>132.33000000000001</v>
      </c>
      <c r="T662" s="345">
        <v>1516.07</v>
      </c>
      <c r="U662" s="345"/>
      <c r="V662" s="345"/>
      <c r="W662" s="345"/>
      <c r="X662" s="345"/>
      <c r="Y662" s="345"/>
      <c r="Z662" s="345"/>
      <c r="AA662">
        <f t="shared" si="10"/>
        <v>8</v>
      </c>
    </row>
    <row r="663" spans="1:27" ht="28.8" x14ac:dyDescent="0.3">
      <c r="A663" s="345" t="s">
        <v>2334</v>
      </c>
      <c r="B663" s="805"/>
      <c r="C663" s="802"/>
      <c r="D663" s="802"/>
      <c r="E663" s="803"/>
      <c r="F663" s="805">
        <v>144</v>
      </c>
      <c r="G663" s="803"/>
      <c r="H663" s="345">
        <v>1693.1</v>
      </c>
      <c r="I663" s="345">
        <v>0</v>
      </c>
      <c r="J663" s="345">
        <v>153.5</v>
      </c>
      <c r="K663" s="345">
        <v>1716.9</v>
      </c>
      <c r="L663" s="346"/>
      <c r="M663" s="346"/>
      <c r="N663" s="346"/>
      <c r="O663" s="345"/>
      <c r="P663" s="345"/>
      <c r="Q663" s="345"/>
      <c r="R663" s="345">
        <v>0</v>
      </c>
      <c r="S663" s="345">
        <v>132.33000000000001</v>
      </c>
      <c r="T663" s="345">
        <v>1516.07</v>
      </c>
      <c r="U663" s="345">
        <v>0</v>
      </c>
      <c r="V663" s="345">
        <v>140</v>
      </c>
      <c r="W663" s="345">
        <v>1684.3</v>
      </c>
      <c r="X663" s="345">
        <v>0</v>
      </c>
      <c r="Y663" s="345">
        <v>117</v>
      </c>
      <c r="Z663" s="345">
        <v>1657.6</v>
      </c>
      <c r="AA663">
        <f t="shared" si="10"/>
        <v>0</v>
      </c>
    </row>
    <row r="664" spans="1:27" ht="28.8" x14ac:dyDescent="0.3">
      <c r="A664" s="345" t="s">
        <v>2335</v>
      </c>
      <c r="B664" s="805"/>
      <c r="C664" s="802"/>
      <c r="D664" s="802"/>
      <c r="E664" s="803"/>
      <c r="F664" s="805">
        <v>149</v>
      </c>
      <c r="G664" s="803"/>
      <c r="H664" s="345">
        <v>1698.1</v>
      </c>
      <c r="I664" s="345">
        <v>7</v>
      </c>
      <c r="J664" s="345">
        <v>160.5</v>
      </c>
      <c r="K664" s="345">
        <v>1723.9</v>
      </c>
      <c r="L664" s="346"/>
      <c r="M664" s="346"/>
      <c r="N664" s="346"/>
      <c r="O664" s="345"/>
      <c r="P664" s="345"/>
      <c r="Q664" s="345"/>
      <c r="R664" s="345">
        <v>3.2</v>
      </c>
      <c r="S664" s="345">
        <v>135.53</v>
      </c>
      <c r="T664" s="345">
        <v>1519.27</v>
      </c>
      <c r="U664" s="345">
        <v>4</v>
      </c>
      <c r="V664" s="345">
        <v>144</v>
      </c>
      <c r="W664" s="345">
        <v>1688.3</v>
      </c>
      <c r="X664" s="345">
        <v>5.5</v>
      </c>
      <c r="Y664" s="345">
        <v>122.5</v>
      </c>
      <c r="Z664" s="345">
        <v>1663.1</v>
      </c>
      <c r="AA664">
        <f t="shared" si="10"/>
        <v>7</v>
      </c>
    </row>
    <row r="665" spans="1:27" ht="28.8" x14ac:dyDescent="0.3">
      <c r="A665" s="345" t="s">
        <v>2336</v>
      </c>
      <c r="B665" s="805"/>
      <c r="C665" s="802"/>
      <c r="D665" s="802"/>
      <c r="E665" s="803"/>
      <c r="F665" s="805">
        <v>149.5</v>
      </c>
      <c r="G665" s="803"/>
      <c r="H665" s="345">
        <v>1698.6</v>
      </c>
      <c r="I665" s="345">
        <v>1</v>
      </c>
      <c r="J665" s="345">
        <v>161.5</v>
      </c>
      <c r="K665" s="345">
        <v>1724.9</v>
      </c>
      <c r="L665" s="346"/>
      <c r="M665" s="346"/>
      <c r="N665" s="346"/>
      <c r="O665" s="345"/>
      <c r="P665" s="345"/>
      <c r="Q665" s="345"/>
      <c r="R665" s="345">
        <v>0.4</v>
      </c>
      <c r="S665" s="345">
        <v>135.93</v>
      </c>
      <c r="T665" s="345">
        <v>1519.67</v>
      </c>
      <c r="U665" s="345">
        <v>0.5</v>
      </c>
      <c r="V665" s="345">
        <v>144.5</v>
      </c>
      <c r="W665" s="345">
        <v>1688.8</v>
      </c>
      <c r="X665" s="345">
        <v>0.5</v>
      </c>
      <c r="Y665" s="345">
        <v>123</v>
      </c>
      <c r="Z665" s="345">
        <v>1663.6</v>
      </c>
      <c r="AA665">
        <f t="shared" si="10"/>
        <v>1</v>
      </c>
    </row>
    <row r="666" spans="1:27" ht="28.8" x14ac:dyDescent="0.3">
      <c r="A666" s="345" t="s">
        <v>2337</v>
      </c>
      <c r="B666" s="805"/>
      <c r="C666" s="802"/>
      <c r="D666" s="802"/>
      <c r="E666" s="803"/>
      <c r="F666" s="805">
        <v>150</v>
      </c>
      <c r="G666" s="803"/>
      <c r="H666" s="345">
        <v>1699.1</v>
      </c>
      <c r="I666" s="345">
        <v>0.5</v>
      </c>
      <c r="J666" s="345">
        <v>162</v>
      </c>
      <c r="K666" s="345">
        <v>1725.4</v>
      </c>
      <c r="L666" s="346"/>
      <c r="M666" s="346"/>
      <c r="N666" s="346"/>
      <c r="O666" s="345"/>
      <c r="P666" s="345"/>
      <c r="Q666" s="345"/>
      <c r="R666" s="345">
        <v>0.2</v>
      </c>
      <c r="S666" s="345">
        <v>136.13</v>
      </c>
      <c r="T666" s="345">
        <v>1519.87</v>
      </c>
      <c r="U666" s="345">
        <v>0.4</v>
      </c>
      <c r="V666" s="345">
        <v>144.9</v>
      </c>
      <c r="W666" s="345">
        <v>1689.2</v>
      </c>
      <c r="X666" s="345">
        <v>0.5</v>
      </c>
      <c r="Y666" s="345">
        <v>123.5</v>
      </c>
      <c r="Z666" s="345">
        <v>1664.1</v>
      </c>
      <c r="AA666">
        <f t="shared" si="10"/>
        <v>0.5</v>
      </c>
    </row>
    <row r="667" spans="1:27" ht="28.8" x14ac:dyDescent="0.3">
      <c r="A667" s="345" t="s">
        <v>2338</v>
      </c>
      <c r="B667" s="805"/>
      <c r="C667" s="802"/>
      <c r="D667" s="802"/>
      <c r="E667" s="803"/>
      <c r="F667" s="805">
        <v>150.4</v>
      </c>
      <c r="G667" s="803"/>
      <c r="H667" s="345">
        <v>1699.5</v>
      </c>
      <c r="I667" s="345">
        <v>0.5</v>
      </c>
      <c r="J667" s="345">
        <v>162.5</v>
      </c>
      <c r="K667" s="345">
        <v>1725.9</v>
      </c>
      <c r="L667" s="346"/>
      <c r="M667" s="346"/>
      <c r="N667" s="346"/>
      <c r="O667" s="345"/>
      <c r="P667" s="345"/>
      <c r="Q667" s="345"/>
      <c r="R667" s="345">
        <v>0.4</v>
      </c>
      <c r="S667" s="345">
        <v>136.53</v>
      </c>
      <c r="T667" s="345">
        <v>1520.27</v>
      </c>
      <c r="U667" s="345">
        <v>0.4</v>
      </c>
      <c r="V667" s="345">
        <v>145.30000000000001</v>
      </c>
      <c r="W667" s="345">
        <v>1689.6</v>
      </c>
      <c r="X667" s="345">
        <v>0.6</v>
      </c>
      <c r="Y667" s="345">
        <v>124.1</v>
      </c>
      <c r="Z667" s="345">
        <v>1664.7</v>
      </c>
      <c r="AA667">
        <f t="shared" si="10"/>
        <v>0.5</v>
      </c>
    </row>
    <row r="668" spans="1:27" ht="28.8" x14ac:dyDescent="0.3">
      <c r="A668" s="345" t="s">
        <v>2339</v>
      </c>
      <c r="B668" s="805"/>
      <c r="C668" s="802"/>
      <c r="D668" s="802"/>
      <c r="E668" s="803"/>
      <c r="F668" s="805">
        <v>150.4</v>
      </c>
      <c r="G668" s="803"/>
      <c r="H668" s="345">
        <v>1699.5</v>
      </c>
      <c r="I668" s="345">
        <v>0</v>
      </c>
      <c r="J668" s="345">
        <v>162.5</v>
      </c>
      <c r="K668" s="345">
        <v>1725.9</v>
      </c>
      <c r="L668" s="346"/>
      <c r="M668" s="346"/>
      <c r="N668" s="346"/>
      <c r="O668" s="345"/>
      <c r="P668" s="345"/>
      <c r="Q668" s="345"/>
      <c r="R668" s="345">
        <v>0</v>
      </c>
      <c r="S668" s="345">
        <v>136.53</v>
      </c>
      <c r="T668" s="345">
        <v>1520.27</v>
      </c>
      <c r="U668" s="345">
        <v>0</v>
      </c>
      <c r="V668" s="345">
        <v>145.30000000000001</v>
      </c>
      <c r="W668" s="345">
        <v>1689.6</v>
      </c>
      <c r="X668" s="345">
        <v>0</v>
      </c>
      <c r="Y668" s="345">
        <v>124.1</v>
      </c>
      <c r="Z668" s="345">
        <v>1664.7</v>
      </c>
      <c r="AA668">
        <f t="shared" si="10"/>
        <v>0</v>
      </c>
    </row>
    <row r="669" spans="1:27" ht="28.8" x14ac:dyDescent="0.3">
      <c r="A669" s="345" t="s">
        <v>2340</v>
      </c>
      <c r="B669" s="805"/>
      <c r="C669" s="802"/>
      <c r="D669" s="802"/>
      <c r="E669" s="803"/>
      <c r="F669" s="805">
        <v>150.4</v>
      </c>
      <c r="G669" s="803"/>
      <c r="H669" s="345">
        <v>1699.5</v>
      </c>
      <c r="I669" s="345">
        <v>0</v>
      </c>
      <c r="J669" s="345">
        <v>162.5</v>
      </c>
      <c r="K669" s="345">
        <v>1725.9</v>
      </c>
      <c r="L669" s="346"/>
      <c r="M669" s="346"/>
      <c r="N669" s="346"/>
      <c r="O669" s="345"/>
      <c r="P669" s="345"/>
      <c r="Q669" s="345"/>
      <c r="R669" s="345">
        <v>0</v>
      </c>
      <c r="S669" s="345">
        <v>136.53</v>
      </c>
      <c r="T669" s="345">
        <v>1520.27</v>
      </c>
      <c r="U669" s="345">
        <v>0</v>
      </c>
      <c r="V669" s="345">
        <v>145.30000000000001</v>
      </c>
      <c r="W669" s="345">
        <v>1689.6</v>
      </c>
      <c r="X669" s="345">
        <v>0</v>
      </c>
      <c r="Y669" s="345">
        <v>124.1</v>
      </c>
      <c r="Z669" s="345">
        <v>1664.7</v>
      </c>
      <c r="AA669">
        <f t="shared" si="10"/>
        <v>0</v>
      </c>
    </row>
    <row r="670" spans="1:27" ht="28.8" x14ac:dyDescent="0.3">
      <c r="A670" s="345" t="s">
        <v>2341</v>
      </c>
      <c r="B670" s="805"/>
      <c r="C670" s="802"/>
      <c r="D670" s="802"/>
      <c r="E670" s="803"/>
      <c r="F670" s="805">
        <v>150.4</v>
      </c>
      <c r="G670" s="803"/>
      <c r="H670" s="345">
        <v>1699.5</v>
      </c>
      <c r="I670" s="345">
        <v>0</v>
      </c>
      <c r="J670" s="345">
        <v>162.5</v>
      </c>
      <c r="K670" s="345">
        <v>1725.9</v>
      </c>
      <c r="L670" s="346"/>
      <c r="M670" s="346"/>
      <c r="N670" s="346"/>
      <c r="O670" s="345"/>
      <c r="P670" s="345"/>
      <c r="Q670" s="345"/>
      <c r="R670" s="345">
        <v>0</v>
      </c>
      <c r="S670" s="345">
        <v>136.53</v>
      </c>
      <c r="T670" s="345">
        <v>1520.27</v>
      </c>
      <c r="U670" s="345">
        <v>0</v>
      </c>
      <c r="V670" s="345">
        <v>145.30000000000001</v>
      </c>
      <c r="W670" s="345">
        <v>1689.6</v>
      </c>
      <c r="X670" s="345">
        <v>0</v>
      </c>
      <c r="Y670" s="345">
        <v>124.1</v>
      </c>
      <c r="Z670" s="345">
        <v>1664.7</v>
      </c>
      <c r="AA670">
        <f t="shared" si="10"/>
        <v>0</v>
      </c>
    </row>
    <row r="671" spans="1:27" s="362" customFormat="1" ht="28.8" x14ac:dyDescent="0.3">
      <c r="A671" s="359" t="s">
        <v>2342</v>
      </c>
      <c r="B671" s="811"/>
      <c r="C671" s="812"/>
      <c r="D671" s="812"/>
      <c r="E671" s="813"/>
      <c r="F671" s="811">
        <v>150.4</v>
      </c>
      <c r="G671" s="813"/>
      <c r="H671" s="359">
        <v>1699.5</v>
      </c>
      <c r="I671" s="359">
        <v>0</v>
      </c>
      <c r="J671" s="359">
        <v>162.5</v>
      </c>
      <c r="K671" s="359">
        <v>1725.9</v>
      </c>
      <c r="L671" s="359"/>
      <c r="M671" s="359"/>
      <c r="N671" s="359"/>
      <c r="O671" s="359"/>
      <c r="P671" s="359"/>
      <c r="Q671" s="359"/>
      <c r="R671" s="359">
        <v>0</v>
      </c>
      <c r="S671" s="359">
        <v>136.53</v>
      </c>
      <c r="T671" s="359">
        <v>1520.27</v>
      </c>
      <c r="U671" s="359">
        <v>0</v>
      </c>
      <c r="V671" s="359">
        <v>145.30000000000001</v>
      </c>
      <c r="W671" s="359">
        <v>1689.6</v>
      </c>
      <c r="X671" s="359">
        <v>0</v>
      </c>
      <c r="Y671" s="359">
        <v>124.1</v>
      </c>
      <c r="Z671" s="359">
        <v>1664.7</v>
      </c>
      <c r="AA671" s="362">
        <f t="shared" si="10"/>
        <v>0</v>
      </c>
    </row>
    <row r="672" spans="1:27" ht="28.8" x14ac:dyDescent="0.3">
      <c r="A672" s="345" t="s">
        <v>2343</v>
      </c>
      <c r="B672" s="805"/>
      <c r="C672" s="802"/>
      <c r="D672" s="802"/>
      <c r="E672" s="803"/>
      <c r="F672" s="805">
        <v>0</v>
      </c>
      <c r="G672" s="803"/>
      <c r="H672" s="345">
        <v>1699.5</v>
      </c>
      <c r="I672" s="345">
        <v>0</v>
      </c>
      <c r="J672" s="345">
        <v>0</v>
      </c>
      <c r="K672" s="345">
        <v>1725.9</v>
      </c>
      <c r="L672" s="346"/>
      <c r="M672" s="346"/>
      <c r="N672" s="346"/>
      <c r="O672" s="345"/>
      <c r="P672" s="345"/>
      <c r="Q672" s="345"/>
      <c r="R672" s="345">
        <v>0</v>
      </c>
      <c r="S672" s="345">
        <v>0</v>
      </c>
      <c r="T672" s="345">
        <v>1520.27</v>
      </c>
      <c r="U672" s="345">
        <v>0</v>
      </c>
      <c r="V672" s="345">
        <v>0</v>
      </c>
      <c r="W672" s="345">
        <v>1689.6</v>
      </c>
      <c r="X672" s="345">
        <v>0</v>
      </c>
      <c r="Y672" s="345">
        <v>0</v>
      </c>
      <c r="Z672" s="345">
        <v>1664.7</v>
      </c>
      <c r="AA672">
        <f t="shared" si="10"/>
        <v>0</v>
      </c>
    </row>
    <row r="673" spans="1:27" ht="28.8" x14ac:dyDescent="0.3">
      <c r="A673" s="345" t="s">
        <v>2344</v>
      </c>
      <c r="B673" s="805"/>
      <c r="C673" s="802"/>
      <c r="D673" s="802"/>
      <c r="E673" s="803"/>
      <c r="F673" s="805">
        <v>0</v>
      </c>
      <c r="G673" s="803"/>
      <c r="H673" s="345">
        <v>1699.5</v>
      </c>
      <c r="I673" s="345">
        <v>0</v>
      </c>
      <c r="J673" s="345">
        <v>0</v>
      </c>
      <c r="K673" s="345">
        <v>1725.9</v>
      </c>
      <c r="L673" s="346"/>
      <c r="M673" s="346"/>
      <c r="N673" s="346"/>
      <c r="O673" s="345"/>
      <c r="P673" s="345"/>
      <c r="Q673" s="345"/>
      <c r="R673" s="345">
        <v>0</v>
      </c>
      <c r="S673" s="345">
        <v>0</v>
      </c>
      <c r="T673" s="345">
        <v>1520.27</v>
      </c>
      <c r="U673" s="345">
        <v>0</v>
      </c>
      <c r="V673" s="345">
        <v>0</v>
      </c>
      <c r="W673" s="345">
        <v>1689.6</v>
      </c>
      <c r="X673" s="345">
        <v>0</v>
      </c>
      <c r="Y673" s="345">
        <v>0</v>
      </c>
      <c r="Z673" s="345">
        <v>1664.7</v>
      </c>
      <c r="AA673">
        <f t="shared" si="10"/>
        <v>0</v>
      </c>
    </row>
    <row r="674" spans="1:27" ht="28.8" x14ac:dyDescent="0.3">
      <c r="A674" s="345" t="s">
        <v>2345</v>
      </c>
      <c r="B674" s="805"/>
      <c r="C674" s="802"/>
      <c r="D674" s="802"/>
      <c r="E674" s="803"/>
      <c r="F674" s="805">
        <v>0</v>
      </c>
      <c r="G674" s="803"/>
      <c r="H674" s="345">
        <v>1699.5</v>
      </c>
      <c r="I674" s="345">
        <v>0</v>
      </c>
      <c r="J674" s="345">
        <v>0</v>
      </c>
      <c r="K674" s="345">
        <v>1725.9</v>
      </c>
      <c r="L674" s="346"/>
      <c r="M674" s="346"/>
      <c r="N674" s="346"/>
      <c r="O674" s="345"/>
      <c r="P674" s="345"/>
      <c r="Q674" s="345"/>
      <c r="R674" s="345">
        <v>0</v>
      </c>
      <c r="S674" s="345">
        <v>0</v>
      </c>
      <c r="T674" s="345">
        <v>1520.27</v>
      </c>
      <c r="U674" s="345">
        <v>0</v>
      </c>
      <c r="V674" s="345">
        <v>0</v>
      </c>
      <c r="W674" s="345">
        <v>1689.6</v>
      </c>
      <c r="X674" s="345">
        <v>0</v>
      </c>
      <c r="Y674" s="345">
        <v>0</v>
      </c>
      <c r="Z674" s="345">
        <v>1664.7</v>
      </c>
      <c r="AA674">
        <f t="shared" si="10"/>
        <v>0</v>
      </c>
    </row>
    <row r="675" spans="1:27" ht="28.8" x14ac:dyDescent="0.3">
      <c r="A675" s="345" t="s">
        <v>2346</v>
      </c>
      <c r="B675" s="805"/>
      <c r="C675" s="802"/>
      <c r="D675" s="802"/>
      <c r="E675" s="803"/>
      <c r="F675" s="805">
        <v>0</v>
      </c>
      <c r="G675" s="803"/>
      <c r="H675" s="345">
        <v>1699.5</v>
      </c>
      <c r="I675" s="345">
        <v>0</v>
      </c>
      <c r="J675" s="345">
        <v>0</v>
      </c>
      <c r="K675" s="345">
        <v>1725.9</v>
      </c>
      <c r="L675" s="346"/>
      <c r="M675" s="346"/>
      <c r="N675" s="346"/>
      <c r="O675" s="345"/>
      <c r="P675" s="345"/>
      <c r="Q675" s="345"/>
      <c r="R675" s="345">
        <v>0</v>
      </c>
      <c r="S675" s="345">
        <v>0</v>
      </c>
      <c r="T675" s="345">
        <v>1520.27</v>
      </c>
      <c r="U675" s="345">
        <v>0</v>
      </c>
      <c r="V675" s="345">
        <v>0</v>
      </c>
      <c r="W675" s="345">
        <v>1689.6</v>
      </c>
      <c r="X675" s="345">
        <v>0</v>
      </c>
      <c r="Y675" s="345">
        <v>0</v>
      </c>
      <c r="Z675" s="345">
        <v>1664.7</v>
      </c>
      <c r="AA675">
        <f t="shared" si="10"/>
        <v>0</v>
      </c>
    </row>
    <row r="676" spans="1:27" ht="28.8" x14ac:dyDescent="0.3">
      <c r="A676" s="345" t="s">
        <v>2347</v>
      </c>
      <c r="B676" s="805"/>
      <c r="C676" s="802"/>
      <c r="D676" s="802"/>
      <c r="E676" s="803"/>
      <c r="F676" s="805">
        <v>0</v>
      </c>
      <c r="G676" s="803"/>
      <c r="H676" s="345">
        <v>1699.5</v>
      </c>
      <c r="I676" s="345">
        <v>0</v>
      </c>
      <c r="J676" s="345">
        <v>0</v>
      </c>
      <c r="K676" s="345">
        <v>1725.9</v>
      </c>
      <c r="L676" s="346"/>
      <c r="M676" s="346"/>
      <c r="N676" s="346"/>
      <c r="O676" s="345"/>
      <c r="P676" s="345"/>
      <c r="Q676" s="345"/>
      <c r="R676" s="345">
        <v>0</v>
      </c>
      <c r="S676" s="345">
        <v>0</v>
      </c>
      <c r="T676" s="345">
        <v>1520.27</v>
      </c>
      <c r="U676" s="345">
        <v>0</v>
      </c>
      <c r="V676" s="345">
        <v>0</v>
      </c>
      <c r="W676" s="345">
        <v>1689.6</v>
      </c>
      <c r="X676" s="345">
        <v>0</v>
      </c>
      <c r="Y676" s="345">
        <v>0</v>
      </c>
      <c r="Z676" s="345">
        <v>1664.7</v>
      </c>
      <c r="AA676">
        <f t="shared" si="10"/>
        <v>0</v>
      </c>
    </row>
    <row r="677" spans="1:27" ht="28.8" x14ac:dyDescent="0.3">
      <c r="A677" s="345" t="s">
        <v>2348</v>
      </c>
      <c r="B677" s="805"/>
      <c r="C677" s="802"/>
      <c r="D677" s="802"/>
      <c r="E677" s="803"/>
      <c r="F677" s="805">
        <v>0</v>
      </c>
      <c r="G677" s="803"/>
      <c r="H677" s="345">
        <v>1699.5</v>
      </c>
      <c r="I677" s="345">
        <v>0</v>
      </c>
      <c r="J677" s="345">
        <v>0</v>
      </c>
      <c r="K677" s="345">
        <v>1725.9</v>
      </c>
      <c r="L677" s="346"/>
      <c r="M677" s="346"/>
      <c r="N677" s="346"/>
      <c r="O677" s="345"/>
      <c r="P677" s="345"/>
      <c r="Q677" s="345"/>
      <c r="R677" s="345">
        <v>0</v>
      </c>
      <c r="S677" s="345">
        <v>0</v>
      </c>
      <c r="T677" s="345">
        <v>1520.27</v>
      </c>
      <c r="U677" s="345">
        <v>0</v>
      </c>
      <c r="V677" s="345">
        <v>0</v>
      </c>
      <c r="W677" s="345">
        <v>1689.6</v>
      </c>
      <c r="X677" s="345">
        <v>0</v>
      </c>
      <c r="Y677" s="345">
        <v>0</v>
      </c>
      <c r="Z677" s="345">
        <v>1664.7</v>
      </c>
      <c r="AA677">
        <f t="shared" si="10"/>
        <v>0</v>
      </c>
    </row>
    <row r="678" spans="1:27" ht="28.8" x14ac:dyDescent="0.3">
      <c r="A678" s="345" t="s">
        <v>2349</v>
      </c>
      <c r="B678" s="805"/>
      <c r="C678" s="802"/>
      <c r="D678" s="802"/>
      <c r="E678" s="803"/>
      <c r="F678" s="805">
        <v>0</v>
      </c>
      <c r="G678" s="803"/>
      <c r="H678" s="345">
        <v>1699.5</v>
      </c>
      <c r="I678" s="345">
        <v>0</v>
      </c>
      <c r="J678" s="345">
        <v>0</v>
      </c>
      <c r="K678" s="345">
        <v>1725.9</v>
      </c>
      <c r="L678" s="346"/>
      <c r="M678" s="346"/>
      <c r="N678" s="346"/>
      <c r="O678" s="345"/>
      <c r="P678" s="345"/>
      <c r="Q678" s="345"/>
      <c r="R678" s="345">
        <v>0</v>
      </c>
      <c r="S678" s="345">
        <v>0</v>
      </c>
      <c r="T678" s="345">
        <v>1520.27</v>
      </c>
      <c r="U678" s="345">
        <v>0</v>
      </c>
      <c r="V678" s="345">
        <v>0</v>
      </c>
      <c r="W678" s="345">
        <v>1689.6</v>
      </c>
      <c r="X678" s="345">
        <v>0</v>
      </c>
      <c r="Y678" s="345">
        <v>0</v>
      </c>
      <c r="Z678" s="345">
        <v>1664.7</v>
      </c>
      <c r="AA678">
        <f t="shared" si="10"/>
        <v>0</v>
      </c>
    </row>
    <row r="679" spans="1:27" ht="28.8" x14ac:dyDescent="0.3">
      <c r="A679" s="345" t="s">
        <v>2350</v>
      </c>
      <c r="B679" s="805"/>
      <c r="C679" s="802"/>
      <c r="D679" s="802"/>
      <c r="E679" s="803"/>
      <c r="F679" s="805">
        <v>0</v>
      </c>
      <c r="G679" s="803"/>
      <c r="H679" s="345">
        <v>1699.5</v>
      </c>
      <c r="I679" s="345">
        <v>0</v>
      </c>
      <c r="J679" s="345">
        <v>0</v>
      </c>
      <c r="K679" s="345">
        <v>1725.9</v>
      </c>
      <c r="L679" s="346"/>
      <c r="M679" s="346"/>
      <c r="N679" s="346"/>
      <c r="O679" s="345"/>
      <c r="P679" s="345"/>
      <c r="Q679" s="345"/>
      <c r="R679" s="345">
        <v>0</v>
      </c>
      <c r="S679" s="345">
        <v>0</v>
      </c>
      <c r="T679" s="345">
        <v>1520.27</v>
      </c>
      <c r="U679" s="345">
        <v>0</v>
      </c>
      <c r="V679" s="345">
        <v>0</v>
      </c>
      <c r="W679" s="345">
        <v>1689.6</v>
      </c>
      <c r="X679" s="345">
        <v>0</v>
      </c>
      <c r="Y679" s="345">
        <v>0</v>
      </c>
      <c r="Z679" s="345">
        <v>1664.7</v>
      </c>
      <c r="AA679">
        <f t="shared" si="10"/>
        <v>0</v>
      </c>
    </row>
    <row r="680" spans="1:27" ht="28.8" x14ac:dyDescent="0.3">
      <c r="A680" s="345" t="s">
        <v>2351</v>
      </c>
      <c r="B680" s="805"/>
      <c r="C680" s="802"/>
      <c r="D680" s="802"/>
      <c r="E680" s="803"/>
      <c r="F680" s="805">
        <v>1.5</v>
      </c>
      <c r="G680" s="803"/>
      <c r="H680" s="345">
        <v>1701</v>
      </c>
      <c r="I680" s="345">
        <v>2</v>
      </c>
      <c r="J680" s="345">
        <v>2</v>
      </c>
      <c r="K680" s="345">
        <v>1727.9</v>
      </c>
      <c r="L680" s="346"/>
      <c r="M680" s="346"/>
      <c r="N680" s="346"/>
      <c r="O680" s="345"/>
      <c r="P680" s="345"/>
      <c r="Q680" s="345"/>
      <c r="R680" s="345">
        <v>1</v>
      </c>
      <c r="S680" s="345">
        <v>1</v>
      </c>
      <c r="T680" s="345">
        <v>1521.27</v>
      </c>
      <c r="U680" s="345">
        <v>1.5</v>
      </c>
      <c r="V680" s="345">
        <v>1.5</v>
      </c>
      <c r="W680" s="345">
        <v>1691.1</v>
      </c>
      <c r="X680" s="345">
        <v>1</v>
      </c>
      <c r="Y680" s="345">
        <v>1</v>
      </c>
      <c r="Z680" s="345">
        <v>1665.7</v>
      </c>
      <c r="AA680">
        <f t="shared" si="10"/>
        <v>2</v>
      </c>
    </row>
    <row r="681" spans="1:27" ht="28.8" x14ac:dyDescent="0.3">
      <c r="A681" s="345" t="s">
        <v>2352</v>
      </c>
      <c r="B681" s="805"/>
      <c r="C681" s="802"/>
      <c r="D681" s="802"/>
      <c r="E681" s="803"/>
      <c r="F681" s="805">
        <v>2</v>
      </c>
      <c r="G681" s="803"/>
      <c r="H681" s="345">
        <v>1701.5</v>
      </c>
      <c r="I681" s="345">
        <v>0.5</v>
      </c>
      <c r="J681" s="345">
        <v>2.5</v>
      </c>
      <c r="K681" s="345">
        <v>1728.4</v>
      </c>
      <c r="L681" s="346"/>
      <c r="M681" s="346"/>
      <c r="N681" s="346"/>
      <c r="O681" s="345"/>
      <c r="P681" s="345"/>
      <c r="Q681" s="345"/>
      <c r="R681" s="345">
        <v>0.5</v>
      </c>
      <c r="S681" s="345">
        <v>1.5</v>
      </c>
      <c r="T681" s="345">
        <v>1521.77</v>
      </c>
      <c r="U681" s="345">
        <v>0.5</v>
      </c>
      <c r="V681" s="345">
        <v>2</v>
      </c>
      <c r="W681" s="345">
        <v>1691.6</v>
      </c>
      <c r="X681" s="345">
        <v>0.5</v>
      </c>
      <c r="Y681" s="345">
        <v>1.5</v>
      </c>
      <c r="Z681" s="345">
        <v>1666.2</v>
      </c>
      <c r="AA681">
        <f t="shared" si="10"/>
        <v>0.5</v>
      </c>
    </row>
    <row r="682" spans="1:27" ht="28.8" x14ac:dyDescent="0.3">
      <c r="A682" s="345" t="s">
        <v>2353</v>
      </c>
      <c r="B682" s="805"/>
      <c r="C682" s="802"/>
      <c r="D682" s="802"/>
      <c r="E682" s="803"/>
      <c r="F682" s="805">
        <v>2</v>
      </c>
      <c r="G682" s="803"/>
      <c r="H682" s="345">
        <v>1701.5</v>
      </c>
      <c r="I682" s="345">
        <v>0</v>
      </c>
      <c r="J682" s="345">
        <v>2.5</v>
      </c>
      <c r="K682" s="345">
        <v>1728.4</v>
      </c>
      <c r="L682" s="346"/>
      <c r="M682" s="346"/>
      <c r="N682" s="346"/>
      <c r="O682" s="345"/>
      <c r="P682" s="345"/>
      <c r="Q682" s="345"/>
      <c r="R682" s="345">
        <v>0</v>
      </c>
      <c r="S682" s="345">
        <v>1.5</v>
      </c>
      <c r="T682" s="345">
        <v>1521.77</v>
      </c>
      <c r="U682" s="345">
        <v>0</v>
      </c>
      <c r="V682" s="345">
        <v>2</v>
      </c>
      <c r="W682" s="345">
        <v>1691.6</v>
      </c>
      <c r="X682" s="345">
        <v>0</v>
      </c>
      <c r="Y682" s="345">
        <v>1.5</v>
      </c>
      <c r="Z682" s="345">
        <v>1666.2</v>
      </c>
      <c r="AA682">
        <f t="shared" si="10"/>
        <v>0</v>
      </c>
    </row>
    <row r="683" spans="1:27" ht="28.8" x14ac:dyDescent="0.3">
      <c r="A683" s="345" t="s">
        <v>2354</v>
      </c>
      <c r="B683" s="805"/>
      <c r="C683" s="802"/>
      <c r="D683" s="802"/>
      <c r="E683" s="803"/>
      <c r="F683" s="805">
        <v>2</v>
      </c>
      <c r="G683" s="803"/>
      <c r="H683" s="345">
        <v>1701.5</v>
      </c>
      <c r="I683" s="345">
        <v>0</v>
      </c>
      <c r="J683" s="345">
        <v>2.5</v>
      </c>
      <c r="K683" s="345">
        <v>1728.4</v>
      </c>
      <c r="L683" s="346"/>
      <c r="M683" s="346"/>
      <c r="N683" s="346"/>
      <c r="O683" s="345"/>
      <c r="P683" s="345"/>
      <c r="Q683" s="345"/>
      <c r="R683" s="345">
        <v>0</v>
      </c>
      <c r="S683" s="345">
        <v>1.5</v>
      </c>
      <c r="T683" s="345">
        <v>1521.77</v>
      </c>
      <c r="U683" s="345">
        <v>0</v>
      </c>
      <c r="V683" s="345">
        <v>2</v>
      </c>
      <c r="W683" s="345">
        <v>1691.6</v>
      </c>
      <c r="X683" s="345">
        <v>0</v>
      </c>
      <c r="Y683" s="345">
        <v>1.5</v>
      </c>
      <c r="Z683" s="345">
        <v>1666.2</v>
      </c>
      <c r="AA683">
        <f t="shared" si="10"/>
        <v>0</v>
      </c>
    </row>
    <row r="684" spans="1:27" ht="28.8" x14ac:dyDescent="0.3">
      <c r="A684" s="345" t="s">
        <v>2355</v>
      </c>
      <c r="B684" s="805"/>
      <c r="C684" s="802"/>
      <c r="D684" s="802"/>
      <c r="E684" s="803"/>
      <c r="F684" s="805">
        <v>2</v>
      </c>
      <c r="G684" s="803"/>
      <c r="H684" s="345">
        <v>1701.5</v>
      </c>
      <c r="I684" s="345">
        <v>0</v>
      </c>
      <c r="J684" s="345">
        <v>2.5</v>
      </c>
      <c r="K684" s="345">
        <v>1728.4</v>
      </c>
      <c r="L684" s="346"/>
      <c r="M684" s="346"/>
      <c r="N684" s="346"/>
      <c r="O684" s="345"/>
      <c r="P684" s="345"/>
      <c r="Q684" s="345"/>
      <c r="R684" s="345">
        <v>0</v>
      </c>
      <c r="S684" s="345">
        <v>1.5</v>
      </c>
      <c r="T684" s="345">
        <v>1521.77</v>
      </c>
      <c r="U684" s="345">
        <v>0</v>
      </c>
      <c r="V684" s="345">
        <v>2</v>
      </c>
      <c r="W684" s="345">
        <v>1691.6</v>
      </c>
      <c r="X684" s="345">
        <v>0</v>
      </c>
      <c r="Y684" s="345">
        <v>1.5</v>
      </c>
      <c r="Z684" s="345">
        <v>1666.2</v>
      </c>
      <c r="AA684">
        <f t="shared" si="10"/>
        <v>0</v>
      </c>
    </row>
    <row r="685" spans="1:27" ht="28.8" x14ac:dyDescent="0.3">
      <c r="A685" s="345" t="s">
        <v>2356</v>
      </c>
      <c r="B685" s="805"/>
      <c r="C685" s="802"/>
      <c r="D685" s="802"/>
      <c r="E685" s="803"/>
      <c r="F685" s="805">
        <v>2</v>
      </c>
      <c r="G685" s="803"/>
      <c r="H685" s="345">
        <v>1701.5</v>
      </c>
      <c r="I685" s="345">
        <v>0</v>
      </c>
      <c r="J685" s="345">
        <v>2.5</v>
      </c>
      <c r="K685" s="345">
        <v>1728.4</v>
      </c>
      <c r="L685" s="346"/>
      <c r="M685" s="346"/>
      <c r="N685" s="346"/>
      <c r="O685" s="345"/>
      <c r="P685" s="345"/>
      <c r="Q685" s="345"/>
      <c r="R685" s="345">
        <v>0</v>
      </c>
      <c r="S685" s="345">
        <v>1.5</v>
      </c>
      <c r="T685" s="345">
        <v>1521.77</v>
      </c>
      <c r="U685" s="345">
        <v>0</v>
      </c>
      <c r="V685" s="345">
        <v>2</v>
      </c>
      <c r="W685" s="345">
        <v>1691.6</v>
      </c>
      <c r="X685" s="345">
        <v>0</v>
      </c>
      <c r="Y685" s="345">
        <v>1.5</v>
      </c>
      <c r="Z685" s="345">
        <v>1666.2</v>
      </c>
      <c r="AA685">
        <f t="shared" si="10"/>
        <v>0</v>
      </c>
    </row>
    <row r="686" spans="1:27" ht="28.8" x14ac:dyDescent="0.3">
      <c r="A686" s="345" t="s">
        <v>2357</v>
      </c>
      <c r="B686" s="805"/>
      <c r="C686" s="802"/>
      <c r="D686" s="802"/>
      <c r="E686" s="803"/>
      <c r="F686" s="805">
        <v>2</v>
      </c>
      <c r="G686" s="803"/>
      <c r="H686" s="345">
        <v>1701.5</v>
      </c>
      <c r="I686" s="345">
        <v>0</v>
      </c>
      <c r="J686" s="345">
        <v>2.5</v>
      </c>
      <c r="K686" s="345">
        <v>1728.4</v>
      </c>
      <c r="L686" s="346"/>
      <c r="M686" s="346"/>
      <c r="N686" s="346"/>
      <c r="O686" s="345"/>
      <c r="P686" s="345"/>
      <c r="Q686" s="345"/>
      <c r="R686" s="345">
        <v>0</v>
      </c>
      <c r="S686" s="345">
        <v>1.5</v>
      </c>
      <c r="T686" s="345">
        <v>1521.77</v>
      </c>
      <c r="U686" s="345">
        <v>0</v>
      </c>
      <c r="V686" s="345">
        <v>2</v>
      </c>
      <c r="W686" s="345">
        <v>1691.6</v>
      </c>
      <c r="X686" s="345">
        <v>0</v>
      </c>
      <c r="Y686" s="345">
        <v>1.5</v>
      </c>
      <c r="Z686" s="345">
        <v>1666.2</v>
      </c>
      <c r="AA686">
        <f t="shared" si="10"/>
        <v>0</v>
      </c>
    </row>
    <row r="687" spans="1:27" ht="28.8" x14ac:dyDescent="0.3">
      <c r="A687" s="345" t="s">
        <v>2358</v>
      </c>
      <c r="B687" s="805"/>
      <c r="C687" s="802"/>
      <c r="D687" s="802"/>
      <c r="E687" s="803"/>
      <c r="F687" s="805">
        <v>2</v>
      </c>
      <c r="G687" s="803"/>
      <c r="H687" s="345">
        <v>1701.5</v>
      </c>
      <c r="I687" s="345">
        <v>0</v>
      </c>
      <c r="J687" s="345">
        <v>2.5</v>
      </c>
      <c r="K687" s="345">
        <v>1728.4</v>
      </c>
      <c r="L687" s="346"/>
      <c r="M687" s="346"/>
      <c r="N687" s="346"/>
      <c r="O687" s="345"/>
      <c r="P687" s="345"/>
      <c r="Q687" s="345"/>
      <c r="R687" s="345">
        <v>0</v>
      </c>
      <c r="S687" s="345">
        <v>1.5</v>
      </c>
      <c r="T687" s="345">
        <v>1521.77</v>
      </c>
      <c r="U687" s="345">
        <v>0</v>
      </c>
      <c r="V687" s="345">
        <v>2</v>
      </c>
      <c r="W687" s="345">
        <v>1691.6</v>
      </c>
      <c r="X687" s="345">
        <v>0</v>
      </c>
      <c r="Y687" s="345">
        <v>1.5</v>
      </c>
      <c r="Z687" s="345">
        <v>1666.2</v>
      </c>
      <c r="AA687">
        <f t="shared" si="10"/>
        <v>0</v>
      </c>
    </row>
    <row r="688" spans="1:27" ht="28.8" x14ac:dyDescent="0.3">
      <c r="A688" s="345" t="s">
        <v>2359</v>
      </c>
      <c r="B688" s="805"/>
      <c r="C688" s="802"/>
      <c r="D688" s="802"/>
      <c r="E688" s="803"/>
      <c r="F688" s="805">
        <v>2</v>
      </c>
      <c r="G688" s="803"/>
      <c r="H688" s="345">
        <v>1701.5</v>
      </c>
      <c r="I688" s="345">
        <v>0</v>
      </c>
      <c r="J688" s="345">
        <v>2.5</v>
      </c>
      <c r="K688" s="345">
        <v>1728.4</v>
      </c>
      <c r="L688" s="346"/>
      <c r="M688" s="346"/>
      <c r="N688" s="346"/>
      <c r="O688" s="345"/>
      <c r="P688" s="345"/>
      <c r="Q688" s="345"/>
      <c r="R688" s="345">
        <v>0</v>
      </c>
      <c r="S688" s="345">
        <v>1.5</v>
      </c>
      <c r="T688" s="345">
        <v>1521.77</v>
      </c>
      <c r="U688" s="345">
        <v>0</v>
      </c>
      <c r="V688" s="345">
        <v>2</v>
      </c>
      <c r="W688" s="345">
        <v>1691.6</v>
      </c>
      <c r="X688" s="345">
        <v>0</v>
      </c>
      <c r="Y688" s="345">
        <v>1.5</v>
      </c>
      <c r="Z688" s="345">
        <v>1666.2</v>
      </c>
      <c r="AA688">
        <f t="shared" si="10"/>
        <v>0</v>
      </c>
    </row>
    <row r="689" spans="1:27" ht="28.8" x14ac:dyDescent="0.3">
      <c r="A689" s="345" t="s">
        <v>2360</v>
      </c>
      <c r="B689" s="805"/>
      <c r="C689" s="802"/>
      <c r="D689" s="802"/>
      <c r="E689" s="803"/>
      <c r="F689" s="805">
        <v>2</v>
      </c>
      <c r="G689" s="803"/>
      <c r="H689" s="345">
        <v>1701.5</v>
      </c>
      <c r="I689" s="345">
        <v>0</v>
      </c>
      <c r="J689" s="345">
        <v>2.5</v>
      </c>
      <c r="K689" s="345">
        <v>1728.4</v>
      </c>
      <c r="L689" s="346"/>
      <c r="M689" s="346"/>
      <c r="N689" s="346"/>
      <c r="O689" s="345"/>
      <c r="P689" s="345"/>
      <c r="Q689" s="345"/>
      <c r="R689" s="345">
        <v>0</v>
      </c>
      <c r="S689" s="345">
        <v>1.5</v>
      </c>
      <c r="T689" s="345">
        <v>1521.77</v>
      </c>
      <c r="U689" s="345">
        <v>0</v>
      </c>
      <c r="V689" s="345">
        <v>2</v>
      </c>
      <c r="W689" s="345">
        <v>1691.6</v>
      </c>
      <c r="X689" s="345">
        <v>0</v>
      </c>
      <c r="Y689" s="345">
        <v>1.5</v>
      </c>
      <c r="Z689" s="345">
        <v>1666.2</v>
      </c>
      <c r="AA689">
        <f t="shared" si="10"/>
        <v>0</v>
      </c>
    </row>
    <row r="690" spans="1:27" ht="28.8" x14ac:dyDescent="0.3">
      <c r="A690" s="345" t="s">
        <v>2361</v>
      </c>
      <c r="B690" s="805"/>
      <c r="C690" s="802"/>
      <c r="D690" s="802"/>
      <c r="E690" s="803"/>
      <c r="F690" s="805">
        <v>2.5</v>
      </c>
      <c r="G690" s="803"/>
      <c r="H690" s="345">
        <v>1702</v>
      </c>
      <c r="I690" s="345">
        <v>0</v>
      </c>
      <c r="J690" s="345">
        <v>2.5</v>
      </c>
      <c r="K690" s="345">
        <v>1728.4</v>
      </c>
      <c r="L690" s="346"/>
      <c r="M690" s="346"/>
      <c r="N690" s="346"/>
      <c r="O690" s="345"/>
      <c r="P690" s="345"/>
      <c r="Q690" s="345"/>
      <c r="R690" s="345">
        <v>2</v>
      </c>
      <c r="S690" s="345">
        <v>3.5</v>
      </c>
      <c r="T690" s="345">
        <v>1523.77</v>
      </c>
      <c r="U690" s="345">
        <v>2</v>
      </c>
      <c r="V690" s="345">
        <v>4</v>
      </c>
      <c r="W690" s="345">
        <v>1693.6</v>
      </c>
      <c r="X690" s="345">
        <v>5</v>
      </c>
      <c r="Y690" s="345">
        <v>6.5</v>
      </c>
      <c r="Z690" s="345">
        <v>1671.2</v>
      </c>
      <c r="AA690">
        <f t="shared" si="10"/>
        <v>0</v>
      </c>
    </row>
    <row r="691" spans="1:27" ht="28.8" x14ac:dyDescent="0.3">
      <c r="A691" s="345" t="s">
        <v>2362</v>
      </c>
      <c r="B691" s="805"/>
      <c r="C691" s="802"/>
      <c r="D691" s="802"/>
      <c r="E691" s="803"/>
      <c r="F691" s="805">
        <v>2.5</v>
      </c>
      <c r="G691" s="803"/>
      <c r="H691" s="345">
        <v>1702</v>
      </c>
      <c r="I691" s="345">
        <v>0</v>
      </c>
      <c r="J691" s="345">
        <v>2.5</v>
      </c>
      <c r="K691" s="345">
        <v>1728.4</v>
      </c>
      <c r="L691" s="346"/>
      <c r="M691" s="346"/>
      <c r="N691" s="346"/>
      <c r="O691" s="345"/>
      <c r="P691" s="345"/>
      <c r="Q691" s="345"/>
      <c r="R691" s="345">
        <v>0</v>
      </c>
      <c r="S691" s="345">
        <v>3.5</v>
      </c>
      <c r="T691" s="345">
        <v>1523.77</v>
      </c>
      <c r="U691" s="345">
        <v>0</v>
      </c>
      <c r="V691" s="345">
        <v>4</v>
      </c>
      <c r="W691" s="345">
        <v>1693.6</v>
      </c>
      <c r="X691" s="345">
        <v>0</v>
      </c>
      <c r="Y691" s="345">
        <v>6.5</v>
      </c>
      <c r="Z691" s="345">
        <v>1671.2</v>
      </c>
      <c r="AA691">
        <f t="shared" si="10"/>
        <v>0</v>
      </c>
    </row>
    <row r="692" spans="1:27" ht="28.8" x14ac:dyDescent="0.3">
      <c r="A692" s="345" t="s">
        <v>2363</v>
      </c>
      <c r="B692" s="805"/>
      <c r="C692" s="802"/>
      <c r="D692" s="802"/>
      <c r="E692" s="803"/>
      <c r="F692" s="805">
        <v>2.5</v>
      </c>
      <c r="G692" s="803"/>
      <c r="H692" s="345">
        <v>1702</v>
      </c>
      <c r="I692" s="345">
        <v>0</v>
      </c>
      <c r="J692" s="345">
        <v>2.5</v>
      </c>
      <c r="K692" s="345">
        <v>1728.4</v>
      </c>
      <c r="L692" s="346"/>
      <c r="M692" s="346"/>
      <c r="N692" s="346"/>
      <c r="O692" s="345"/>
      <c r="P692" s="345"/>
      <c r="Q692" s="345"/>
      <c r="R692" s="345">
        <v>0</v>
      </c>
      <c r="S692" s="345">
        <v>3.5</v>
      </c>
      <c r="T692" s="345">
        <v>1523.77</v>
      </c>
      <c r="U692" s="345">
        <v>0</v>
      </c>
      <c r="V692" s="345">
        <v>4</v>
      </c>
      <c r="W692" s="345">
        <v>1693.6</v>
      </c>
      <c r="X692" s="345">
        <v>0</v>
      </c>
      <c r="Y692" s="345">
        <v>6.5</v>
      </c>
      <c r="Z692" s="345">
        <v>1671.2</v>
      </c>
      <c r="AA692">
        <f t="shared" si="10"/>
        <v>0</v>
      </c>
    </row>
    <row r="693" spans="1:27" ht="28.8" x14ac:dyDescent="0.3">
      <c r="A693" s="345" t="s">
        <v>2364</v>
      </c>
      <c r="B693" s="805"/>
      <c r="C693" s="802"/>
      <c r="D693" s="802"/>
      <c r="E693" s="803"/>
      <c r="F693" s="805">
        <v>7.5</v>
      </c>
      <c r="G693" s="803"/>
      <c r="H693" s="345">
        <v>1707</v>
      </c>
      <c r="I693" s="345">
        <v>2.5</v>
      </c>
      <c r="J693" s="345">
        <v>5</v>
      </c>
      <c r="K693" s="345">
        <v>1730.9</v>
      </c>
      <c r="L693" s="346"/>
      <c r="M693" s="346"/>
      <c r="N693" s="346"/>
      <c r="O693" s="345"/>
      <c r="P693" s="345"/>
      <c r="Q693" s="345"/>
      <c r="R693" s="345">
        <v>5</v>
      </c>
      <c r="S693" s="345">
        <v>8.5</v>
      </c>
      <c r="T693" s="345">
        <v>1528.77</v>
      </c>
      <c r="U693" s="345">
        <v>5</v>
      </c>
      <c r="V693" s="345">
        <v>9</v>
      </c>
      <c r="W693" s="345">
        <v>1698.6</v>
      </c>
      <c r="X693" s="345">
        <v>7.5</v>
      </c>
      <c r="Y693" s="345">
        <v>14</v>
      </c>
      <c r="Z693" s="345">
        <v>1678.7</v>
      </c>
      <c r="AA693">
        <f t="shared" si="10"/>
        <v>2.5</v>
      </c>
    </row>
    <row r="694" spans="1:27" ht="28.8" x14ac:dyDescent="0.3">
      <c r="A694" s="345" t="s">
        <v>2365</v>
      </c>
      <c r="B694" s="805"/>
      <c r="C694" s="802"/>
      <c r="D694" s="802"/>
      <c r="E694" s="803"/>
      <c r="F694" s="805">
        <v>20</v>
      </c>
      <c r="G694" s="803"/>
      <c r="H694" s="345">
        <v>1719.5</v>
      </c>
      <c r="I694" s="345">
        <v>4</v>
      </c>
      <c r="J694" s="345">
        <v>9</v>
      </c>
      <c r="K694" s="345">
        <v>1734.9</v>
      </c>
      <c r="L694" s="346"/>
      <c r="M694" s="346"/>
      <c r="N694" s="346"/>
      <c r="O694" s="345"/>
      <c r="P694" s="345"/>
      <c r="Q694" s="345"/>
      <c r="R694" s="345">
        <v>11.4</v>
      </c>
      <c r="S694" s="345">
        <v>19.899999999999999</v>
      </c>
      <c r="T694" s="345">
        <v>1540.17</v>
      </c>
      <c r="U694" s="345">
        <v>13</v>
      </c>
      <c r="V694" s="345">
        <v>22</v>
      </c>
      <c r="W694" s="345">
        <v>1711.6</v>
      </c>
      <c r="X694" s="345">
        <v>12</v>
      </c>
      <c r="Y694" s="345">
        <v>26</v>
      </c>
      <c r="Z694" s="345">
        <v>1690.7</v>
      </c>
      <c r="AA694">
        <f t="shared" si="10"/>
        <v>4</v>
      </c>
    </row>
    <row r="695" spans="1:27" ht="28.8" x14ac:dyDescent="0.3">
      <c r="A695" s="345" t="s">
        <v>2366</v>
      </c>
      <c r="B695" s="805"/>
      <c r="C695" s="802"/>
      <c r="D695" s="802"/>
      <c r="E695" s="803"/>
      <c r="F695" s="805">
        <v>31</v>
      </c>
      <c r="G695" s="803"/>
      <c r="H695" s="345">
        <v>1730.5</v>
      </c>
      <c r="I695" s="345">
        <v>24</v>
      </c>
      <c r="J695" s="345">
        <v>33</v>
      </c>
      <c r="K695" s="345">
        <v>1758.9</v>
      </c>
      <c r="L695" s="346"/>
      <c r="M695" s="346"/>
      <c r="N695" s="346"/>
      <c r="O695" s="345"/>
      <c r="P695" s="345"/>
      <c r="Q695" s="345"/>
      <c r="R695" s="345">
        <v>25.4</v>
      </c>
      <c r="S695" s="345">
        <v>45.3</v>
      </c>
      <c r="T695" s="345">
        <v>1565.57</v>
      </c>
      <c r="U695" s="345">
        <v>30</v>
      </c>
      <c r="V695" s="345">
        <v>52</v>
      </c>
      <c r="W695" s="345">
        <v>1741.6</v>
      </c>
      <c r="X695" s="345">
        <v>32</v>
      </c>
      <c r="Y695" s="345">
        <v>58</v>
      </c>
      <c r="Z695" s="345">
        <v>1722.7</v>
      </c>
      <c r="AA695">
        <f t="shared" si="10"/>
        <v>24</v>
      </c>
    </row>
    <row r="696" spans="1:27" ht="28.8" x14ac:dyDescent="0.3">
      <c r="A696" s="345" t="s">
        <v>2367</v>
      </c>
      <c r="B696" s="805"/>
      <c r="C696" s="802"/>
      <c r="D696" s="802"/>
      <c r="E696" s="803"/>
      <c r="F696" s="805">
        <v>37</v>
      </c>
      <c r="G696" s="803"/>
      <c r="H696" s="345">
        <v>1736.5</v>
      </c>
      <c r="I696" s="345">
        <v>3.5</v>
      </c>
      <c r="J696" s="345">
        <v>36.5</v>
      </c>
      <c r="K696" s="345">
        <v>1762.4</v>
      </c>
      <c r="L696" s="346"/>
      <c r="M696" s="346"/>
      <c r="N696" s="346"/>
      <c r="O696" s="345"/>
      <c r="P696" s="345"/>
      <c r="Q696" s="345"/>
      <c r="R696" s="345">
        <v>2.2000000000000002</v>
      </c>
      <c r="S696" s="345">
        <v>47.5</v>
      </c>
      <c r="T696" s="345">
        <v>1567.77</v>
      </c>
      <c r="U696" s="345">
        <v>2.5</v>
      </c>
      <c r="V696" s="345">
        <v>54.5</v>
      </c>
      <c r="W696" s="345">
        <v>1744.1</v>
      </c>
      <c r="X696" s="345">
        <v>4</v>
      </c>
      <c r="Y696" s="345">
        <v>62</v>
      </c>
      <c r="Z696" s="345">
        <v>1726.7</v>
      </c>
      <c r="AA696">
        <f t="shared" si="10"/>
        <v>3.5</v>
      </c>
    </row>
    <row r="697" spans="1:27" ht="28.8" x14ac:dyDescent="0.3">
      <c r="A697" s="345" t="s">
        <v>2368</v>
      </c>
      <c r="B697" s="805"/>
      <c r="C697" s="802"/>
      <c r="D697" s="802"/>
      <c r="E697" s="803"/>
      <c r="F697" s="805">
        <v>58</v>
      </c>
      <c r="G697" s="803"/>
      <c r="H697" s="345">
        <v>1757.5</v>
      </c>
      <c r="I697" s="345">
        <v>25.5</v>
      </c>
      <c r="J697" s="345">
        <v>62</v>
      </c>
      <c r="K697" s="345">
        <v>1787.9</v>
      </c>
      <c r="L697" s="346"/>
      <c r="M697" s="346"/>
      <c r="N697" s="346"/>
      <c r="O697" s="345"/>
      <c r="P697" s="345"/>
      <c r="Q697" s="345"/>
      <c r="R697" s="345">
        <v>16.600000000000001</v>
      </c>
      <c r="S697" s="345">
        <v>64.099999999999994</v>
      </c>
      <c r="T697" s="345">
        <v>1584.37</v>
      </c>
      <c r="U697" s="345">
        <v>21.5</v>
      </c>
      <c r="V697" s="345">
        <v>76</v>
      </c>
      <c r="W697" s="345">
        <v>1765.6</v>
      </c>
      <c r="X697" s="345">
        <v>15.5</v>
      </c>
      <c r="Y697" s="345">
        <v>77.5</v>
      </c>
      <c r="Z697" s="345">
        <v>1742.2</v>
      </c>
      <c r="AA697">
        <f t="shared" si="10"/>
        <v>25.5</v>
      </c>
    </row>
    <row r="698" spans="1:27" ht="28.8" x14ac:dyDescent="0.3">
      <c r="A698" s="345" t="s">
        <v>2369</v>
      </c>
      <c r="B698" s="805"/>
      <c r="C698" s="802"/>
      <c r="D698" s="802"/>
      <c r="E698" s="803"/>
      <c r="F698" s="805">
        <v>61</v>
      </c>
      <c r="G698" s="803"/>
      <c r="H698" s="345">
        <v>1760.5</v>
      </c>
      <c r="I698" s="345">
        <v>2</v>
      </c>
      <c r="J698" s="345">
        <v>64</v>
      </c>
      <c r="K698" s="345">
        <v>1789.9</v>
      </c>
      <c r="L698" s="346"/>
      <c r="M698" s="346"/>
      <c r="N698" s="346"/>
      <c r="O698" s="345"/>
      <c r="P698" s="345"/>
      <c r="Q698" s="345"/>
      <c r="R698" s="345">
        <v>4.5999999999999996</v>
      </c>
      <c r="S698" s="345">
        <v>68.7</v>
      </c>
      <c r="T698" s="345">
        <v>1588.97</v>
      </c>
      <c r="U698" s="345">
        <v>3.5</v>
      </c>
      <c r="V698" s="345">
        <v>79.5</v>
      </c>
      <c r="W698" s="345">
        <v>1769.1</v>
      </c>
      <c r="X698" s="345">
        <v>10.5</v>
      </c>
      <c r="Y698" s="345">
        <v>88</v>
      </c>
      <c r="Z698" s="345">
        <v>1752.7</v>
      </c>
      <c r="AA698">
        <f t="shared" si="10"/>
        <v>2</v>
      </c>
    </row>
    <row r="699" spans="1:27" ht="28.8" x14ac:dyDescent="0.3">
      <c r="A699" s="345" t="s">
        <v>2370</v>
      </c>
      <c r="B699" s="805"/>
      <c r="C699" s="802"/>
      <c r="D699" s="802"/>
      <c r="E699" s="803"/>
      <c r="F699" s="805">
        <v>61</v>
      </c>
      <c r="G699" s="803"/>
      <c r="H699" s="345">
        <v>1760.5</v>
      </c>
      <c r="I699" s="345">
        <v>0</v>
      </c>
      <c r="J699" s="345">
        <v>64</v>
      </c>
      <c r="K699" s="345">
        <v>1789.9</v>
      </c>
      <c r="L699" s="346"/>
      <c r="M699" s="346"/>
      <c r="N699" s="346"/>
      <c r="O699" s="345"/>
      <c r="P699" s="345"/>
      <c r="Q699" s="345"/>
      <c r="R699" s="345">
        <v>0.2</v>
      </c>
      <c r="S699" s="345">
        <v>68.900000000000006</v>
      </c>
      <c r="T699" s="345">
        <v>1589.17</v>
      </c>
      <c r="U699" s="345">
        <v>0</v>
      </c>
      <c r="V699" s="345">
        <v>79.5</v>
      </c>
      <c r="W699" s="345">
        <v>1769.1</v>
      </c>
      <c r="X699" s="345">
        <v>0</v>
      </c>
      <c r="Y699" s="345">
        <v>88</v>
      </c>
      <c r="Z699" s="345">
        <v>1752.7</v>
      </c>
      <c r="AA699">
        <f t="shared" si="10"/>
        <v>0</v>
      </c>
    </row>
    <row r="700" spans="1:27" ht="28.8" x14ac:dyDescent="0.3">
      <c r="A700" s="345" t="s">
        <v>2371</v>
      </c>
      <c r="B700" s="805"/>
      <c r="C700" s="802"/>
      <c r="D700" s="802"/>
      <c r="E700" s="803"/>
      <c r="F700" s="805">
        <v>61.5</v>
      </c>
      <c r="G700" s="803"/>
      <c r="H700" s="345">
        <v>1761</v>
      </c>
      <c r="I700" s="345">
        <v>0.5</v>
      </c>
      <c r="J700" s="345">
        <v>64.5</v>
      </c>
      <c r="K700" s="345">
        <v>1790.4</v>
      </c>
      <c r="L700" s="346"/>
      <c r="M700" s="346"/>
      <c r="N700" s="346"/>
      <c r="O700" s="345"/>
      <c r="P700" s="345"/>
      <c r="Q700" s="345"/>
      <c r="R700" s="345">
        <v>0.4</v>
      </c>
      <c r="S700" s="345">
        <v>69.3</v>
      </c>
      <c r="T700" s="345">
        <v>1589.57</v>
      </c>
      <c r="U700" s="345">
        <v>0.4</v>
      </c>
      <c r="V700" s="345">
        <v>79.900000000000006</v>
      </c>
      <c r="W700" s="345">
        <v>1769.5</v>
      </c>
      <c r="X700" s="345">
        <v>1</v>
      </c>
      <c r="Y700" s="345">
        <v>89</v>
      </c>
      <c r="Z700" s="345">
        <v>1753.7</v>
      </c>
      <c r="AA700">
        <f t="shared" si="10"/>
        <v>0.5</v>
      </c>
    </row>
    <row r="701" spans="1:27" s="362" customFormat="1" ht="28.8" x14ac:dyDescent="0.3">
      <c r="A701" s="359" t="s">
        <v>2372</v>
      </c>
      <c r="B701" s="811"/>
      <c r="C701" s="812"/>
      <c r="D701" s="812"/>
      <c r="E701" s="813"/>
      <c r="F701" s="811">
        <v>61.5</v>
      </c>
      <c r="G701" s="813"/>
      <c r="H701" s="359">
        <v>1761</v>
      </c>
      <c r="I701" s="359">
        <v>0</v>
      </c>
      <c r="J701" s="359">
        <v>64.5</v>
      </c>
      <c r="K701" s="359">
        <v>1790.4</v>
      </c>
      <c r="L701" s="359"/>
      <c r="M701" s="359"/>
      <c r="N701" s="359"/>
      <c r="O701" s="359"/>
      <c r="P701" s="359"/>
      <c r="Q701" s="359"/>
      <c r="R701" s="359">
        <v>0</v>
      </c>
      <c r="S701" s="359">
        <v>69.3</v>
      </c>
      <c r="T701" s="359">
        <v>1589.57</v>
      </c>
      <c r="U701" s="359">
        <v>0</v>
      </c>
      <c r="V701" s="359">
        <v>79.900000000000006</v>
      </c>
      <c r="W701" s="359">
        <v>1769.5</v>
      </c>
      <c r="X701" s="359">
        <v>2.5</v>
      </c>
      <c r="Y701" s="359">
        <v>91.5</v>
      </c>
      <c r="Z701" s="359">
        <v>1756.2</v>
      </c>
      <c r="AA701" s="362">
        <f t="shared" si="10"/>
        <v>0</v>
      </c>
    </row>
    <row r="702" spans="1:27" ht="28.8" x14ac:dyDescent="0.3">
      <c r="A702" s="345" t="s">
        <v>2373</v>
      </c>
      <c r="B702" s="805"/>
      <c r="C702" s="802"/>
      <c r="D702" s="802"/>
      <c r="E702" s="803"/>
      <c r="F702" s="805">
        <v>0</v>
      </c>
      <c r="G702" s="803"/>
      <c r="H702" s="345">
        <v>1761</v>
      </c>
      <c r="I702" s="345">
        <v>0</v>
      </c>
      <c r="J702" s="345">
        <v>0</v>
      </c>
      <c r="K702" s="345">
        <v>1790.4</v>
      </c>
      <c r="L702" s="346"/>
      <c r="M702" s="346"/>
      <c r="N702" s="346"/>
      <c r="O702" s="345"/>
      <c r="P702" s="345"/>
      <c r="Q702" s="345"/>
      <c r="R702" s="345">
        <v>0</v>
      </c>
      <c r="S702" s="345">
        <v>0</v>
      </c>
      <c r="T702" s="345">
        <v>1589.57</v>
      </c>
      <c r="U702" s="345">
        <v>0</v>
      </c>
      <c r="V702" s="345">
        <v>0</v>
      </c>
      <c r="W702" s="345">
        <v>1769.5</v>
      </c>
      <c r="X702" s="345">
        <v>2.5</v>
      </c>
      <c r="Y702" s="345">
        <v>2.5</v>
      </c>
      <c r="Z702" s="345">
        <v>1758.7</v>
      </c>
      <c r="AA702">
        <f t="shared" si="10"/>
        <v>0</v>
      </c>
    </row>
    <row r="703" spans="1:27" ht="28.8" x14ac:dyDescent="0.3">
      <c r="A703" s="345" t="s">
        <v>2374</v>
      </c>
      <c r="B703" s="805"/>
      <c r="C703" s="802"/>
      <c r="D703" s="802"/>
      <c r="E703" s="803"/>
      <c r="F703" s="805">
        <v>0</v>
      </c>
      <c r="G703" s="803"/>
      <c r="H703" s="345">
        <v>1761</v>
      </c>
      <c r="I703" s="345">
        <v>0</v>
      </c>
      <c r="J703" s="345">
        <v>0</v>
      </c>
      <c r="K703" s="345">
        <v>1790.4</v>
      </c>
      <c r="L703" s="346"/>
      <c r="M703" s="346"/>
      <c r="N703" s="346"/>
      <c r="O703" s="345"/>
      <c r="P703" s="345"/>
      <c r="Q703" s="345"/>
      <c r="R703" s="345">
        <v>0.2</v>
      </c>
      <c r="S703" s="345">
        <v>0.2</v>
      </c>
      <c r="T703" s="345">
        <v>1589.77</v>
      </c>
      <c r="U703" s="345">
        <v>0</v>
      </c>
      <c r="V703" s="345">
        <v>0</v>
      </c>
      <c r="W703" s="345">
        <v>1769.5</v>
      </c>
      <c r="X703" s="345">
        <v>0</v>
      </c>
      <c r="Y703" s="345">
        <v>2.5</v>
      </c>
      <c r="Z703" s="345">
        <v>1758.7</v>
      </c>
      <c r="AA703">
        <f t="shared" si="10"/>
        <v>0</v>
      </c>
    </row>
    <row r="704" spans="1:27" ht="28.8" x14ac:dyDescent="0.3">
      <c r="A704" s="345" t="s">
        <v>2375</v>
      </c>
      <c r="B704" s="805"/>
      <c r="C704" s="802"/>
      <c r="D704" s="802"/>
      <c r="E704" s="803"/>
      <c r="F704" s="805">
        <v>0</v>
      </c>
      <c r="G704" s="803"/>
      <c r="H704" s="345">
        <v>1761</v>
      </c>
      <c r="I704" s="345">
        <v>0</v>
      </c>
      <c r="J704" s="345">
        <v>0</v>
      </c>
      <c r="K704" s="345">
        <v>1790.4</v>
      </c>
      <c r="L704" s="346"/>
      <c r="M704" s="346"/>
      <c r="N704" s="346"/>
      <c r="O704" s="345"/>
      <c r="P704" s="345"/>
      <c r="Q704" s="345"/>
      <c r="R704" s="345">
        <v>0.2</v>
      </c>
      <c r="S704" s="345">
        <v>0.4</v>
      </c>
      <c r="T704" s="345">
        <v>1589.97</v>
      </c>
      <c r="U704" s="345">
        <v>0</v>
      </c>
      <c r="V704" s="345">
        <v>0</v>
      </c>
      <c r="W704" s="345">
        <v>1769.5</v>
      </c>
      <c r="X704" s="345">
        <v>0</v>
      </c>
      <c r="Y704" s="345">
        <v>2.5</v>
      </c>
      <c r="Z704" s="345">
        <v>1758.7</v>
      </c>
      <c r="AA704">
        <f t="shared" si="10"/>
        <v>0</v>
      </c>
    </row>
    <row r="705" spans="1:27" ht="28.8" x14ac:dyDescent="0.3">
      <c r="A705" s="345" t="s">
        <v>2376</v>
      </c>
      <c r="B705" s="805"/>
      <c r="C705" s="802"/>
      <c r="D705" s="802"/>
      <c r="E705" s="803"/>
      <c r="F705" s="805">
        <v>0</v>
      </c>
      <c r="G705" s="803"/>
      <c r="H705" s="345">
        <v>1761</v>
      </c>
      <c r="I705" s="345">
        <v>0</v>
      </c>
      <c r="J705" s="345">
        <v>0</v>
      </c>
      <c r="K705" s="345">
        <v>1790.4</v>
      </c>
      <c r="L705" s="346"/>
      <c r="M705" s="346"/>
      <c r="N705" s="346"/>
      <c r="O705" s="345"/>
      <c r="P705" s="345"/>
      <c r="Q705" s="345"/>
      <c r="R705" s="345">
        <v>0</v>
      </c>
      <c r="S705" s="345">
        <v>0.4</v>
      </c>
      <c r="T705" s="345">
        <v>1589.97</v>
      </c>
      <c r="U705" s="345">
        <v>0</v>
      </c>
      <c r="V705" s="345">
        <v>0</v>
      </c>
      <c r="W705" s="345">
        <v>1769.5</v>
      </c>
      <c r="X705" s="345">
        <v>0</v>
      </c>
      <c r="Y705" s="345">
        <v>2.5</v>
      </c>
      <c r="Z705" s="345">
        <v>1758.7</v>
      </c>
      <c r="AA705">
        <f t="shared" si="10"/>
        <v>0</v>
      </c>
    </row>
    <row r="706" spans="1:27" ht="28.8" x14ac:dyDescent="0.3">
      <c r="A706" s="345" t="s">
        <v>2377</v>
      </c>
      <c r="B706" s="805"/>
      <c r="C706" s="802"/>
      <c r="D706" s="802"/>
      <c r="E706" s="803"/>
      <c r="F706" s="805">
        <v>0</v>
      </c>
      <c r="G706" s="803"/>
      <c r="H706" s="345">
        <v>1761</v>
      </c>
      <c r="I706" s="345">
        <v>0</v>
      </c>
      <c r="J706" s="345">
        <v>0</v>
      </c>
      <c r="K706" s="345">
        <v>1790.4</v>
      </c>
      <c r="L706" s="346"/>
      <c r="M706" s="346"/>
      <c r="N706" s="346"/>
      <c r="O706" s="345"/>
      <c r="P706" s="345"/>
      <c r="Q706" s="345"/>
      <c r="R706" s="345">
        <v>0</v>
      </c>
      <c r="S706" s="345">
        <v>0.4</v>
      </c>
      <c r="T706" s="345">
        <v>1589.97</v>
      </c>
      <c r="U706" s="345">
        <v>0</v>
      </c>
      <c r="V706" s="345">
        <v>0</v>
      </c>
      <c r="W706" s="345">
        <v>1769.5</v>
      </c>
      <c r="X706" s="345">
        <v>0</v>
      </c>
      <c r="Y706" s="345">
        <v>2.5</v>
      </c>
      <c r="Z706" s="345">
        <v>1758.7</v>
      </c>
      <c r="AA706">
        <f t="shared" si="10"/>
        <v>0</v>
      </c>
    </row>
    <row r="707" spans="1:27" ht="28.8" x14ac:dyDescent="0.3">
      <c r="A707" s="345" t="s">
        <v>2378</v>
      </c>
      <c r="B707" s="805"/>
      <c r="C707" s="802"/>
      <c r="D707" s="802"/>
      <c r="E707" s="803"/>
      <c r="F707" s="805">
        <v>26</v>
      </c>
      <c r="G707" s="803"/>
      <c r="H707" s="345">
        <v>1787</v>
      </c>
      <c r="I707" s="345">
        <v>21.5</v>
      </c>
      <c r="J707" s="345">
        <v>21.5</v>
      </c>
      <c r="K707" s="345">
        <v>1811.9</v>
      </c>
      <c r="L707" s="346"/>
      <c r="M707" s="346"/>
      <c r="N707" s="346"/>
      <c r="O707" s="345"/>
      <c r="P707" s="345"/>
      <c r="Q707" s="345"/>
      <c r="R707" s="345">
        <v>9</v>
      </c>
      <c r="S707" s="345">
        <v>9.4</v>
      </c>
      <c r="T707" s="345">
        <v>1598.97</v>
      </c>
      <c r="U707" s="345">
        <v>10</v>
      </c>
      <c r="V707" s="345">
        <v>10</v>
      </c>
      <c r="W707" s="345">
        <v>1779.5</v>
      </c>
      <c r="X707" s="345">
        <v>8</v>
      </c>
      <c r="Y707" s="345">
        <v>10.5</v>
      </c>
      <c r="Z707" s="345">
        <v>1766.7</v>
      </c>
      <c r="AA707">
        <f t="shared" si="10"/>
        <v>21.5</v>
      </c>
    </row>
    <row r="708" spans="1:27" ht="28.8" x14ac:dyDescent="0.3">
      <c r="A708" s="345" t="s">
        <v>2379</v>
      </c>
      <c r="B708" s="805"/>
      <c r="C708" s="802"/>
      <c r="D708" s="802"/>
      <c r="E708" s="803"/>
      <c r="F708" s="805">
        <v>28</v>
      </c>
      <c r="G708" s="803"/>
      <c r="H708" s="345">
        <v>1789</v>
      </c>
      <c r="I708" s="345">
        <v>1.5</v>
      </c>
      <c r="J708" s="345">
        <v>23</v>
      </c>
      <c r="K708" s="345">
        <v>1813.4</v>
      </c>
      <c r="L708" s="346"/>
      <c r="M708" s="346"/>
      <c r="N708" s="346"/>
      <c r="O708" s="345"/>
      <c r="P708" s="345"/>
      <c r="Q708" s="345"/>
      <c r="R708" s="345">
        <v>2.8</v>
      </c>
      <c r="S708" s="345">
        <v>12.2</v>
      </c>
      <c r="T708" s="345">
        <v>1601.77</v>
      </c>
      <c r="U708" s="345">
        <v>3.5</v>
      </c>
      <c r="V708" s="345">
        <v>13.5</v>
      </c>
      <c r="W708" s="345">
        <v>1783</v>
      </c>
      <c r="X708" s="345">
        <v>3</v>
      </c>
      <c r="Y708" s="345">
        <v>13.5</v>
      </c>
      <c r="Z708" s="345">
        <v>1769.7</v>
      </c>
      <c r="AA708">
        <f t="shared" si="10"/>
        <v>1.5</v>
      </c>
    </row>
    <row r="709" spans="1:27" ht="28.8" x14ac:dyDescent="0.3">
      <c r="A709" s="345" t="s">
        <v>2380</v>
      </c>
      <c r="B709" s="805"/>
      <c r="C709" s="802"/>
      <c r="D709" s="802"/>
      <c r="E709" s="803"/>
      <c r="F709" s="805">
        <v>31</v>
      </c>
      <c r="G709" s="803"/>
      <c r="H709" s="345">
        <v>1792</v>
      </c>
      <c r="I709" s="345">
        <v>10.5</v>
      </c>
      <c r="J709" s="345">
        <v>33.5</v>
      </c>
      <c r="K709" s="345">
        <v>1823.9</v>
      </c>
      <c r="L709" s="346"/>
      <c r="M709" s="346"/>
      <c r="N709" s="346"/>
      <c r="O709" s="345"/>
      <c r="P709" s="345"/>
      <c r="Q709" s="345"/>
      <c r="R709" s="345">
        <v>1</v>
      </c>
      <c r="S709" s="345">
        <v>13.2</v>
      </c>
      <c r="T709" s="345">
        <v>1602.77</v>
      </c>
      <c r="U709" s="345">
        <v>1.5</v>
      </c>
      <c r="V709" s="345">
        <v>15</v>
      </c>
      <c r="W709" s="345">
        <v>1784.5</v>
      </c>
      <c r="X709" s="345">
        <v>2</v>
      </c>
      <c r="Y709" s="345">
        <v>15.5</v>
      </c>
      <c r="Z709" s="345">
        <v>1771.7</v>
      </c>
      <c r="AA709">
        <f t="shared" si="10"/>
        <v>10.5</v>
      </c>
    </row>
    <row r="710" spans="1:27" ht="28.8" x14ac:dyDescent="0.3">
      <c r="A710" s="345" t="s">
        <v>2381</v>
      </c>
      <c r="B710" s="805"/>
      <c r="C710" s="802"/>
      <c r="D710" s="802"/>
      <c r="E710" s="803"/>
      <c r="F710" s="805">
        <v>62.5</v>
      </c>
      <c r="G710" s="803"/>
      <c r="H710" s="345">
        <v>1823.5</v>
      </c>
      <c r="I710" s="345">
        <v>21</v>
      </c>
      <c r="J710" s="345">
        <v>54.5</v>
      </c>
      <c r="K710" s="345">
        <v>1844.9</v>
      </c>
      <c r="L710" s="346"/>
      <c r="M710" s="346"/>
      <c r="N710" s="346"/>
      <c r="O710" s="345"/>
      <c r="P710" s="345"/>
      <c r="Q710" s="345"/>
      <c r="R710" s="345">
        <v>23.2</v>
      </c>
      <c r="S710" s="345">
        <v>36.4</v>
      </c>
      <c r="T710" s="345">
        <v>1625.97</v>
      </c>
      <c r="U710" s="345">
        <v>25</v>
      </c>
      <c r="V710" s="345">
        <v>40</v>
      </c>
      <c r="W710" s="345">
        <v>1809.5</v>
      </c>
      <c r="X710" s="345">
        <v>27.5</v>
      </c>
      <c r="Y710" s="345">
        <v>43</v>
      </c>
      <c r="Z710" s="345">
        <v>1799.2</v>
      </c>
      <c r="AA710">
        <f t="shared" si="10"/>
        <v>21</v>
      </c>
    </row>
    <row r="711" spans="1:27" ht="28.8" x14ac:dyDescent="0.3">
      <c r="A711" s="345" t="s">
        <v>2382</v>
      </c>
      <c r="B711" s="805"/>
      <c r="C711" s="802"/>
      <c r="D711" s="802"/>
      <c r="E711" s="803"/>
      <c r="F711" s="805">
        <v>64</v>
      </c>
      <c r="G711" s="803"/>
      <c r="H711" s="345">
        <v>1825</v>
      </c>
      <c r="I711" s="345">
        <v>1</v>
      </c>
      <c r="J711" s="345">
        <v>55.5</v>
      </c>
      <c r="K711" s="345">
        <v>1845.9</v>
      </c>
      <c r="L711" s="346"/>
      <c r="M711" s="346"/>
      <c r="N711" s="346"/>
      <c r="O711" s="345"/>
      <c r="P711" s="345"/>
      <c r="Q711" s="345"/>
      <c r="R711" s="345">
        <v>1</v>
      </c>
      <c r="S711" s="345">
        <v>37.4</v>
      </c>
      <c r="T711" s="345">
        <v>1626.97</v>
      </c>
      <c r="U711" s="345">
        <v>1.7</v>
      </c>
      <c r="V711" s="345">
        <v>41.7</v>
      </c>
      <c r="W711" s="345">
        <v>1811.2</v>
      </c>
      <c r="X711" s="345">
        <v>1.5</v>
      </c>
      <c r="Y711" s="345">
        <v>44.5</v>
      </c>
      <c r="Z711" s="345">
        <v>1800.7</v>
      </c>
      <c r="AA711">
        <f t="shared" si="10"/>
        <v>1</v>
      </c>
    </row>
    <row r="712" spans="1:27" ht="28.8" x14ac:dyDescent="0.3">
      <c r="A712" s="345" t="s">
        <v>2383</v>
      </c>
      <c r="B712" s="805"/>
      <c r="C712" s="802"/>
      <c r="D712" s="802"/>
      <c r="E712" s="803"/>
      <c r="F712" s="805">
        <v>65.5</v>
      </c>
      <c r="G712" s="803"/>
      <c r="H712" s="345">
        <v>1826.5</v>
      </c>
      <c r="I712" s="345">
        <v>1.5</v>
      </c>
      <c r="J712" s="345">
        <v>57</v>
      </c>
      <c r="K712" s="345">
        <v>1847.4</v>
      </c>
      <c r="L712" s="346"/>
      <c r="M712" s="346"/>
      <c r="N712" s="346"/>
      <c r="O712" s="345"/>
      <c r="P712" s="345"/>
      <c r="Q712" s="345"/>
      <c r="R712" s="345">
        <v>1.4</v>
      </c>
      <c r="S712" s="345">
        <v>38.799999999999997</v>
      </c>
      <c r="T712" s="345">
        <v>1628.37</v>
      </c>
      <c r="U712" s="345">
        <v>1.5</v>
      </c>
      <c r="V712" s="345">
        <v>43.2</v>
      </c>
      <c r="W712" s="345">
        <v>1812.7</v>
      </c>
      <c r="X712" s="345">
        <v>0.5</v>
      </c>
      <c r="Y712" s="345">
        <v>45</v>
      </c>
      <c r="Z712" s="345">
        <v>1801.2</v>
      </c>
      <c r="AA712">
        <f t="shared" ref="AA712:AA778" si="11">MAX(B712+I712+L712+O712)</f>
        <v>1.5</v>
      </c>
    </row>
    <row r="713" spans="1:27" ht="28.8" x14ac:dyDescent="0.3">
      <c r="A713" s="345" t="s">
        <v>2384</v>
      </c>
      <c r="B713" s="805"/>
      <c r="C713" s="802"/>
      <c r="D713" s="802"/>
      <c r="E713" s="803"/>
      <c r="F713" s="805">
        <v>70.5</v>
      </c>
      <c r="G713" s="803"/>
      <c r="H713" s="345">
        <v>1831.5</v>
      </c>
      <c r="I713" s="345">
        <v>5.5</v>
      </c>
      <c r="J713" s="345">
        <v>62.5</v>
      </c>
      <c r="K713" s="345">
        <v>1852.9</v>
      </c>
      <c r="L713" s="346"/>
      <c r="M713" s="346"/>
      <c r="N713" s="346"/>
      <c r="O713" s="345"/>
      <c r="P713" s="345"/>
      <c r="Q713" s="345"/>
      <c r="R713" s="345">
        <v>10.199999999999999</v>
      </c>
      <c r="S713" s="345">
        <v>49</v>
      </c>
      <c r="T713" s="345">
        <v>1638.57</v>
      </c>
      <c r="U713" s="345">
        <v>10.5</v>
      </c>
      <c r="V713" s="345">
        <v>53.7</v>
      </c>
      <c r="W713" s="345">
        <v>1823.2</v>
      </c>
      <c r="X713" s="345">
        <v>8.5</v>
      </c>
      <c r="Y713" s="345">
        <v>53.5</v>
      </c>
      <c r="Z713" s="345">
        <v>1809.7</v>
      </c>
      <c r="AA713">
        <f t="shared" si="11"/>
        <v>5.5</v>
      </c>
    </row>
    <row r="714" spans="1:27" ht="28.8" x14ac:dyDescent="0.3">
      <c r="A714" s="345" t="s">
        <v>2385</v>
      </c>
      <c r="B714" s="805"/>
      <c r="C714" s="802"/>
      <c r="D714" s="802"/>
      <c r="E714" s="803"/>
      <c r="F714" s="805">
        <v>82</v>
      </c>
      <c r="G714" s="803"/>
      <c r="H714" s="345">
        <v>1843</v>
      </c>
      <c r="I714" s="345">
        <v>16</v>
      </c>
      <c r="J714" s="345">
        <v>78.5</v>
      </c>
      <c r="K714" s="345">
        <v>1868.9</v>
      </c>
      <c r="L714" s="346"/>
      <c r="M714" s="346"/>
      <c r="N714" s="346"/>
      <c r="O714" s="345"/>
      <c r="P714" s="345"/>
      <c r="Q714" s="345"/>
      <c r="R714" s="345">
        <v>16.600000000000001</v>
      </c>
      <c r="S714" s="345">
        <v>65.599999999999994</v>
      </c>
      <c r="T714" s="345">
        <v>1655.17</v>
      </c>
      <c r="U714" s="345">
        <v>17</v>
      </c>
      <c r="V714" s="345">
        <v>70.7</v>
      </c>
      <c r="W714" s="345">
        <v>1840.2</v>
      </c>
      <c r="X714" s="345">
        <v>12</v>
      </c>
      <c r="Y714" s="345">
        <v>65.5</v>
      </c>
      <c r="Z714" s="345">
        <v>1821.7</v>
      </c>
      <c r="AA714">
        <f t="shared" si="11"/>
        <v>16</v>
      </c>
    </row>
    <row r="715" spans="1:27" ht="28.8" x14ac:dyDescent="0.3">
      <c r="A715" s="345" t="s">
        <v>2386</v>
      </c>
      <c r="B715" s="805"/>
      <c r="C715" s="802"/>
      <c r="D715" s="802"/>
      <c r="E715" s="803"/>
      <c r="F715" s="805">
        <v>82</v>
      </c>
      <c r="G715" s="803"/>
      <c r="H715" s="345">
        <v>1843</v>
      </c>
      <c r="I715" s="345">
        <v>0</v>
      </c>
      <c r="J715" s="345">
        <v>78.5</v>
      </c>
      <c r="K715" s="345">
        <v>1868.9</v>
      </c>
      <c r="L715" s="346"/>
      <c r="M715" s="346"/>
      <c r="N715" s="346"/>
      <c r="O715" s="345"/>
      <c r="P715" s="345"/>
      <c r="Q715" s="345"/>
      <c r="R715" s="345">
        <v>0</v>
      </c>
      <c r="S715" s="345">
        <v>65.599999999999994</v>
      </c>
      <c r="T715" s="345">
        <v>1655.17</v>
      </c>
      <c r="U715" s="345">
        <v>0</v>
      </c>
      <c r="V715" s="345">
        <v>70.7</v>
      </c>
      <c r="W715" s="345">
        <v>1840.2</v>
      </c>
      <c r="X715" s="345">
        <v>0</v>
      </c>
      <c r="Y715" s="345">
        <v>65.5</v>
      </c>
      <c r="Z715" s="345">
        <v>1821.7</v>
      </c>
      <c r="AA715">
        <f t="shared" si="11"/>
        <v>0</v>
      </c>
    </row>
    <row r="716" spans="1:27" ht="28.8" x14ac:dyDescent="0.3">
      <c r="A716" s="345" t="s">
        <v>2387</v>
      </c>
      <c r="B716" s="805"/>
      <c r="C716" s="802"/>
      <c r="D716" s="802"/>
      <c r="E716" s="803"/>
      <c r="F716" s="805">
        <v>82</v>
      </c>
      <c r="G716" s="803"/>
      <c r="H716" s="345">
        <v>1843</v>
      </c>
      <c r="I716" s="345">
        <v>0</v>
      </c>
      <c r="J716" s="345">
        <v>78.5</v>
      </c>
      <c r="K716" s="345">
        <v>1868.9</v>
      </c>
      <c r="L716" s="346"/>
      <c r="M716" s="346"/>
      <c r="N716" s="346"/>
      <c r="O716" s="345"/>
      <c r="P716" s="345"/>
      <c r="Q716" s="345"/>
      <c r="R716" s="345">
        <v>0</v>
      </c>
      <c r="S716" s="345">
        <v>65.599999999999994</v>
      </c>
      <c r="T716" s="345">
        <v>1655.17</v>
      </c>
      <c r="U716" s="345">
        <v>0</v>
      </c>
      <c r="V716" s="345">
        <v>70.7</v>
      </c>
      <c r="W716" s="345">
        <v>1840.2</v>
      </c>
      <c r="X716" s="345">
        <v>0</v>
      </c>
      <c r="Y716" s="345">
        <v>65.5</v>
      </c>
      <c r="Z716" s="345">
        <v>1821.7</v>
      </c>
      <c r="AA716">
        <f t="shared" si="11"/>
        <v>0</v>
      </c>
    </row>
    <row r="717" spans="1:27" ht="28.8" x14ac:dyDescent="0.3">
      <c r="A717" s="345" t="s">
        <v>2388</v>
      </c>
      <c r="B717" s="805"/>
      <c r="C717" s="802"/>
      <c r="D717" s="802"/>
      <c r="E717" s="803"/>
      <c r="F717" s="805">
        <v>82</v>
      </c>
      <c r="G717" s="803"/>
      <c r="H717" s="345">
        <v>1843</v>
      </c>
      <c r="I717" s="345">
        <v>0</v>
      </c>
      <c r="J717" s="345">
        <v>78.5</v>
      </c>
      <c r="K717" s="345">
        <v>1868.9</v>
      </c>
      <c r="L717" s="346"/>
      <c r="M717" s="346"/>
      <c r="N717" s="346"/>
      <c r="O717" s="345"/>
      <c r="P717" s="345"/>
      <c r="Q717" s="345"/>
      <c r="R717" s="345">
        <v>0</v>
      </c>
      <c r="S717" s="345">
        <v>65.599999999999994</v>
      </c>
      <c r="T717" s="345">
        <v>1655.17</v>
      </c>
      <c r="U717" s="345">
        <v>0</v>
      </c>
      <c r="V717" s="345">
        <v>70.7</v>
      </c>
      <c r="W717" s="345">
        <v>1840.2</v>
      </c>
      <c r="X717" s="345">
        <v>0</v>
      </c>
      <c r="Y717" s="345">
        <v>65.5</v>
      </c>
      <c r="Z717" s="345">
        <v>1821.7</v>
      </c>
      <c r="AA717">
        <f t="shared" si="11"/>
        <v>0</v>
      </c>
    </row>
    <row r="718" spans="1:27" ht="28.8" x14ac:dyDescent="0.3">
      <c r="A718" s="345" t="s">
        <v>2389</v>
      </c>
      <c r="B718" s="805"/>
      <c r="C718" s="802"/>
      <c r="D718" s="802"/>
      <c r="E718" s="803"/>
      <c r="F718" s="805">
        <v>93.5</v>
      </c>
      <c r="G718" s="803"/>
      <c r="H718" s="345">
        <v>1854.5</v>
      </c>
      <c r="I718" s="345">
        <v>18.5</v>
      </c>
      <c r="J718" s="345">
        <v>97</v>
      </c>
      <c r="K718" s="345">
        <v>1887.4</v>
      </c>
      <c r="L718" s="346"/>
      <c r="M718" s="346"/>
      <c r="N718" s="346"/>
      <c r="O718" s="345"/>
      <c r="P718" s="345"/>
      <c r="Q718" s="345"/>
      <c r="R718" s="345">
        <v>24</v>
      </c>
      <c r="S718" s="345">
        <v>89.6</v>
      </c>
      <c r="T718" s="345">
        <v>1679.17</v>
      </c>
      <c r="U718" s="345">
        <v>21.5</v>
      </c>
      <c r="V718" s="345">
        <v>92.2</v>
      </c>
      <c r="W718" s="345">
        <v>1861.7</v>
      </c>
      <c r="X718" s="345">
        <v>23</v>
      </c>
      <c r="Y718" s="345">
        <v>88.5</v>
      </c>
      <c r="Z718" s="345">
        <v>1844.7</v>
      </c>
      <c r="AA718">
        <f t="shared" si="11"/>
        <v>18.5</v>
      </c>
    </row>
    <row r="719" spans="1:27" ht="28.8" x14ac:dyDescent="0.3">
      <c r="A719" s="345" t="s">
        <v>2390</v>
      </c>
      <c r="B719" s="805"/>
      <c r="C719" s="802"/>
      <c r="D719" s="802"/>
      <c r="E719" s="803"/>
      <c r="F719" s="805">
        <v>127</v>
      </c>
      <c r="G719" s="803"/>
      <c r="H719" s="345">
        <v>1888</v>
      </c>
      <c r="I719" s="345">
        <v>33</v>
      </c>
      <c r="J719" s="345">
        <v>130</v>
      </c>
      <c r="K719" s="345">
        <v>1920.4</v>
      </c>
      <c r="L719" s="346"/>
      <c r="M719" s="346"/>
      <c r="N719" s="346"/>
      <c r="O719" s="345"/>
      <c r="P719" s="345"/>
      <c r="Q719" s="345"/>
      <c r="R719" s="345">
        <v>24</v>
      </c>
      <c r="S719" s="345">
        <v>113.6</v>
      </c>
      <c r="T719" s="345">
        <v>1703.17</v>
      </c>
      <c r="U719" s="345">
        <v>29</v>
      </c>
      <c r="V719" s="345">
        <v>121.2</v>
      </c>
      <c r="W719" s="345">
        <v>1890.7</v>
      </c>
      <c r="X719" s="345">
        <v>32.5</v>
      </c>
      <c r="Y719" s="345">
        <v>121</v>
      </c>
      <c r="Z719" s="345">
        <v>1877.2</v>
      </c>
      <c r="AA719">
        <f t="shared" si="11"/>
        <v>33</v>
      </c>
    </row>
    <row r="720" spans="1:27" ht="28.8" x14ac:dyDescent="0.3">
      <c r="A720" s="345" t="s">
        <v>2391</v>
      </c>
      <c r="B720" s="805"/>
      <c r="C720" s="802"/>
      <c r="D720" s="802"/>
      <c r="E720" s="803"/>
      <c r="F720" s="805">
        <v>167</v>
      </c>
      <c r="G720" s="803"/>
      <c r="H720" s="345">
        <v>1928</v>
      </c>
      <c r="I720" s="345">
        <v>45</v>
      </c>
      <c r="J720" s="345">
        <v>175</v>
      </c>
      <c r="K720" s="345">
        <v>1965.4</v>
      </c>
      <c r="L720" s="346"/>
      <c r="M720" s="346"/>
      <c r="N720" s="346"/>
      <c r="O720" s="345"/>
      <c r="P720" s="345"/>
      <c r="Q720" s="345"/>
      <c r="R720" s="345">
        <v>34.4</v>
      </c>
      <c r="S720" s="345">
        <v>148</v>
      </c>
      <c r="T720" s="345">
        <v>1737.57</v>
      </c>
      <c r="U720" s="345">
        <v>39.5</v>
      </c>
      <c r="V720" s="345">
        <v>160.69999999999999</v>
      </c>
      <c r="W720" s="345">
        <v>1930.2</v>
      </c>
      <c r="X720" s="345">
        <v>38</v>
      </c>
      <c r="Y720" s="345">
        <v>159</v>
      </c>
      <c r="Z720" s="345">
        <v>1915.2</v>
      </c>
      <c r="AA720">
        <f t="shared" si="11"/>
        <v>45</v>
      </c>
    </row>
    <row r="721" spans="1:27" ht="28.8" x14ac:dyDescent="0.3">
      <c r="A721" s="345" t="s">
        <v>2392</v>
      </c>
      <c r="B721" s="805"/>
      <c r="C721" s="802"/>
      <c r="D721" s="802"/>
      <c r="E721" s="803"/>
      <c r="F721" s="805">
        <v>167.5</v>
      </c>
      <c r="G721" s="803"/>
      <c r="H721" s="345">
        <v>1928.5</v>
      </c>
      <c r="I721" s="345">
        <v>1</v>
      </c>
      <c r="J721" s="345">
        <v>176</v>
      </c>
      <c r="K721" s="345">
        <v>1966.4</v>
      </c>
      <c r="L721" s="346"/>
      <c r="M721" s="346"/>
      <c r="N721" s="346"/>
      <c r="O721" s="345"/>
      <c r="P721" s="345"/>
      <c r="Q721" s="345"/>
      <c r="R721" s="345">
        <v>0.4</v>
      </c>
      <c r="S721" s="345">
        <v>148.4</v>
      </c>
      <c r="T721" s="345">
        <v>1737.97</v>
      </c>
      <c r="U721" s="345">
        <v>0.5</v>
      </c>
      <c r="V721" s="345">
        <v>161.19999999999999</v>
      </c>
      <c r="W721" s="345">
        <v>1930.7</v>
      </c>
      <c r="X721" s="345">
        <v>0</v>
      </c>
      <c r="Y721" s="345">
        <v>159</v>
      </c>
      <c r="Z721" s="345">
        <v>1915.2</v>
      </c>
      <c r="AA721">
        <f t="shared" si="11"/>
        <v>1</v>
      </c>
    </row>
    <row r="722" spans="1:27" ht="28.8" x14ac:dyDescent="0.3">
      <c r="A722" s="345" t="s">
        <v>2393</v>
      </c>
      <c r="B722" s="805"/>
      <c r="C722" s="802"/>
      <c r="D722" s="802"/>
      <c r="E722" s="803"/>
      <c r="F722" s="805">
        <v>167.5</v>
      </c>
      <c r="G722" s="803"/>
      <c r="H722" s="345">
        <v>1928.5</v>
      </c>
      <c r="I722" s="345">
        <v>0</v>
      </c>
      <c r="J722" s="345">
        <v>176</v>
      </c>
      <c r="K722" s="345">
        <v>1966.4</v>
      </c>
      <c r="L722" s="346"/>
      <c r="M722" s="346"/>
      <c r="N722" s="346"/>
      <c r="O722" s="345"/>
      <c r="P722" s="345"/>
      <c r="Q722" s="345"/>
      <c r="R722" s="345">
        <v>0</v>
      </c>
      <c r="S722" s="345">
        <v>148.4</v>
      </c>
      <c r="T722" s="345">
        <v>1737.97</v>
      </c>
      <c r="U722" s="345">
        <v>0</v>
      </c>
      <c r="V722" s="345">
        <v>161.19999999999999</v>
      </c>
      <c r="W722" s="345">
        <v>1930.7</v>
      </c>
      <c r="X722" s="345">
        <v>0</v>
      </c>
      <c r="Y722" s="345">
        <v>159</v>
      </c>
      <c r="Z722" s="345">
        <v>1915.2</v>
      </c>
      <c r="AA722">
        <f t="shared" si="11"/>
        <v>0</v>
      </c>
    </row>
    <row r="723" spans="1:27" ht="28.8" x14ac:dyDescent="0.3">
      <c r="A723" s="345" t="s">
        <v>2394</v>
      </c>
      <c r="B723" s="805"/>
      <c r="C723" s="802"/>
      <c r="D723" s="802"/>
      <c r="E723" s="803"/>
      <c r="F723" s="805">
        <v>167.5</v>
      </c>
      <c r="G723" s="803"/>
      <c r="H723" s="345">
        <v>1928.5</v>
      </c>
      <c r="I723" s="345">
        <v>0</v>
      </c>
      <c r="J723" s="345">
        <v>176</v>
      </c>
      <c r="K723" s="345">
        <v>1966.4</v>
      </c>
      <c r="L723" s="346"/>
      <c r="M723" s="346"/>
      <c r="N723" s="346"/>
      <c r="O723" s="345"/>
      <c r="P723" s="345"/>
      <c r="Q723" s="345"/>
      <c r="R723" s="345">
        <v>0</v>
      </c>
      <c r="S723" s="345">
        <v>148.4</v>
      </c>
      <c r="T723" s="345">
        <v>1737.97</v>
      </c>
      <c r="U723" s="345">
        <v>0</v>
      </c>
      <c r="V723" s="345">
        <v>161.19999999999999</v>
      </c>
      <c r="W723" s="345">
        <v>1930.7</v>
      </c>
      <c r="X723" s="345">
        <v>0</v>
      </c>
      <c r="Y723" s="345">
        <v>159</v>
      </c>
      <c r="Z723" s="345">
        <v>1915.2</v>
      </c>
      <c r="AA723">
        <f t="shared" si="11"/>
        <v>0</v>
      </c>
    </row>
    <row r="724" spans="1:27" ht="28.8" x14ac:dyDescent="0.3">
      <c r="A724" s="345" t="s">
        <v>2395</v>
      </c>
      <c r="B724" s="805"/>
      <c r="C724" s="802"/>
      <c r="D724" s="802"/>
      <c r="E724" s="803"/>
      <c r="F724" s="805">
        <v>177.5</v>
      </c>
      <c r="G724" s="803"/>
      <c r="H724" s="345">
        <v>1938.5</v>
      </c>
      <c r="I724" s="345">
        <v>16</v>
      </c>
      <c r="J724" s="345">
        <v>192</v>
      </c>
      <c r="K724" s="345">
        <v>1982.4</v>
      </c>
      <c r="L724" s="346"/>
      <c r="M724" s="346"/>
      <c r="N724" s="346"/>
      <c r="O724" s="345"/>
      <c r="P724" s="345"/>
      <c r="Q724" s="345"/>
      <c r="R724" s="345">
        <v>12.6</v>
      </c>
      <c r="S724" s="345">
        <v>161</v>
      </c>
      <c r="T724" s="345">
        <v>1750.57</v>
      </c>
      <c r="U724" s="345">
        <v>11.5</v>
      </c>
      <c r="V724" s="345">
        <v>172.7</v>
      </c>
      <c r="W724" s="345">
        <v>1942.2</v>
      </c>
      <c r="X724" s="345">
        <v>14</v>
      </c>
      <c r="Y724" s="345">
        <v>173</v>
      </c>
      <c r="Z724" s="345">
        <v>1929.2</v>
      </c>
      <c r="AA724">
        <f t="shared" si="11"/>
        <v>16</v>
      </c>
    </row>
    <row r="725" spans="1:27" ht="28.8" x14ac:dyDescent="0.3">
      <c r="A725" s="345" t="s">
        <v>2396</v>
      </c>
      <c r="B725" s="805"/>
      <c r="C725" s="802"/>
      <c r="D725" s="802"/>
      <c r="E725" s="803"/>
      <c r="F725" s="805">
        <v>182</v>
      </c>
      <c r="G725" s="803"/>
      <c r="H725" s="345">
        <v>1943</v>
      </c>
      <c r="I725" s="345">
        <v>8.5</v>
      </c>
      <c r="J725" s="345">
        <v>200.5</v>
      </c>
      <c r="K725" s="345">
        <v>1990.9</v>
      </c>
      <c r="L725" s="346"/>
      <c r="M725" s="346"/>
      <c r="N725" s="346"/>
      <c r="O725" s="345"/>
      <c r="P725" s="345"/>
      <c r="Q725" s="345"/>
      <c r="R725" s="345">
        <v>4.8</v>
      </c>
      <c r="S725" s="345">
        <v>165.8</v>
      </c>
      <c r="T725" s="345">
        <v>1755.37</v>
      </c>
      <c r="U725" s="345">
        <v>5</v>
      </c>
      <c r="V725" s="345">
        <v>177.7</v>
      </c>
      <c r="W725" s="345">
        <v>1947.2</v>
      </c>
      <c r="X725" s="345">
        <v>4</v>
      </c>
      <c r="Y725" s="345">
        <v>177</v>
      </c>
      <c r="Z725" s="345">
        <v>1933.2</v>
      </c>
      <c r="AA725">
        <f t="shared" si="11"/>
        <v>8.5</v>
      </c>
    </row>
    <row r="726" spans="1:27" ht="28.8" x14ac:dyDescent="0.3">
      <c r="A726" s="345" t="s">
        <v>2397</v>
      </c>
      <c r="B726" s="805"/>
      <c r="C726" s="802"/>
      <c r="D726" s="802"/>
      <c r="E726" s="803"/>
      <c r="F726" s="805">
        <v>202</v>
      </c>
      <c r="G726" s="803"/>
      <c r="H726" s="345">
        <v>1963</v>
      </c>
      <c r="I726" s="345">
        <v>19</v>
      </c>
      <c r="J726" s="345">
        <v>219.5</v>
      </c>
      <c r="K726" s="345">
        <v>2009.9</v>
      </c>
      <c r="L726" s="346"/>
      <c r="M726" s="346"/>
      <c r="N726" s="346"/>
      <c r="O726" s="345"/>
      <c r="P726" s="345"/>
      <c r="Q726" s="345"/>
      <c r="R726" s="345">
        <v>5.6</v>
      </c>
      <c r="S726" s="345">
        <v>171.4</v>
      </c>
      <c r="T726" s="345">
        <v>1760.97</v>
      </c>
      <c r="U726" s="345">
        <v>6.5</v>
      </c>
      <c r="V726" s="345">
        <v>184.2</v>
      </c>
      <c r="W726" s="345">
        <v>1953.7</v>
      </c>
      <c r="X726" s="345">
        <v>6</v>
      </c>
      <c r="Y726" s="345">
        <v>183</v>
      </c>
      <c r="Z726" s="345">
        <v>1939.2</v>
      </c>
      <c r="AA726">
        <f t="shared" si="11"/>
        <v>19</v>
      </c>
    </row>
    <row r="727" spans="1:27" ht="28.8" x14ac:dyDescent="0.3">
      <c r="A727" s="345" t="s">
        <v>2398</v>
      </c>
      <c r="B727" s="805"/>
      <c r="C727" s="802"/>
      <c r="D727" s="802"/>
      <c r="E727" s="803"/>
      <c r="F727" s="805">
        <v>209</v>
      </c>
      <c r="G727" s="803"/>
      <c r="H727" s="345">
        <v>1970</v>
      </c>
      <c r="I727" s="345">
        <v>7.5</v>
      </c>
      <c r="J727" s="345">
        <v>227</v>
      </c>
      <c r="K727" s="345">
        <v>2017.4</v>
      </c>
      <c r="L727" s="346"/>
      <c r="M727" s="346"/>
      <c r="N727" s="346"/>
      <c r="O727" s="345"/>
      <c r="P727" s="345"/>
      <c r="Q727" s="345"/>
      <c r="R727" s="345">
        <v>1.2</v>
      </c>
      <c r="S727" s="345">
        <v>172.6</v>
      </c>
      <c r="T727" s="345">
        <v>1762.17</v>
      </c>
      <c r="U727" s="345">
        <v>1.5</v>
      </c>
      <c r="V727" s="345">
        <v>185.7</v>
      </c>
      <c r="W727" s="345">
        <v>1955.2</v>
      </c>
      <c r="X727" s="345">
        <v>1.5</v>
      </c>
      <c r="Y727" s="345">
        <v>184.5</v>
      </c>
      <c r="Z727" s="345">
        <v>1940.7</v>
      </c>
      <c r="AA727">
        <f t="shared" si="11"/>
        <v>7.5</v>
      </c>
    </row>
    <row r="728" spans="1:27" ht="28.8" x14ac:dyDescent="0.3">
      <c r="A728" s="345" t="s">
        <v>2399</v>
      </c>
      <c r="B728" s="805"/>
      <c r="C728" s="802"/>
      <c r="D728" s="802"/>
      <c r="E728" s="803"/>
      <c r="F728" s="805">
        <v>211.5</v>
      </c>
      <c r="G728" s="803"/>
      <c r="H728" s="345">
        <v>1972.5</v>
      </c>
      <c r="I728" s="345">
        <v>1.5</v>
      </c>
      <c r="J728" s="345">
        <v>228.5</v>
      </c>
      <c r="K728" s="345">
        <v>2018.9</v>
      </c>
      <c r="L728" s="346"/>
      <c r="M728" s="346"/>
      <c r="N728" s="346"/>
      <c r="O728" s="345"/>
      <c r="P728" s="345"/>
      <c r="Q728" s="345"/>
      <c r="R728" s="345">
        <v>2.2000000000000002</v>
      </c>
      <c r="S728" s="345">
        <v>174.8</v>
      </c>
      <c r="T728" s="345">
        <v>1764.37</v>
      </c>
      <c r="U728" s="345">
        <v>2.5</v>
      </c>
      <c r="V728" s="345">
        <v>188.2</v>
      </c>
      <c r="W728" s="345">
        <v>1957.7</v>
      </c>
      <c r="X728" s="345">
        <v>2.5</v>
      </c>
      <c r="Y728" s="345">
        <v>187</v>
      </c>
      <c r="Z728" s="345">
        <v>1943.2</v>
      </c>
      <c r="AA728">
        <f t="shared" si="11"/>
        <v>1.5</v>
      </c>
    </row>
    <row r="729" spans="1:27" ht="28.8" x14ac:dyDescent="0.3">
      <c r="A729" s="345" t="s">
        <v>2400</v>
      </c>
      <c r="B729" s="805"/>
      <c r="C729" s="802"/>
      <c r="D729" s="802"/>
      <c r="E729" s="803"/>
      <c r="F729" s="805">
        <v>211.5</v>
      </c>
      <c r="G729" s="803"/>
      <c r="H729" s="345">
        <v>1972.5</v>
      </c>
      <c r="I729" s="345">
        <v>0</v>
      </c>
      <c r="J729" s="345">
        <v>228.5</v>
      </c>
      <c r="K729" s="345">
        <v>2018.9</v>
      </c>
      <c r="L729" s="346"/>
      <c r="M729" s="346"/>
      <c r="N729" s="346"/>
      <c r="O729" s="345"/>
      <c r="P729" s="345"/>
      <c r="Q729" s="345"/>
      <c r="R729" s="345">
        <v>0</v>
      </c>
      <c r="S729" s="345">
        <v>174.8</v>
      </c>
      <c r="T729" s="345">
        <v>1764.37</v>
      </c>
      <c r="U729" s="345">
        <v>0</v>
      </c>
      <c r="V729" s="345">
        <v>188.2</v>
      </c>
      <c r="W729" s="345">
        <v>1957.7</v>
      </c>
      <c r="X729" s="345">
        <v>0</v>
      </c>
      <c r="Y729" s="345">
        <v>187</v>
      </c>
      <c r="Z729" s="345">
        <v>1943.2</v>
      </c>
      <c r="AA729">
        <f t="shared" si="11"/>
        <v>0</v>
      </c>
    </row>
    <row r="730" spans="1:27" ht="28.8" x14ac:dyDescent="0.3">
      <c r="A730" s="345" t="s">
        <v>2401</v>
      </c>
      <c r="B730" s="805"/>
      <c r="C730" s="802"/>
      <c r="D730" s="802"/>
      <c r="E730" s="803"/>
      <c r="F730" s="805">
        <v>211.5</v>
      </c>
      <c r="G730" s="803"/>
      <c r="H730" s="345">
        <v>1972.5</v>
      </c>
      <c r="I730" s="345">
        <v>0</v>
      </c>
      <c r="J730" s="345">
        <v>228.5</v>
      </c>
      <c r="K730" s="345">
        <v>2018.9</v>
      </c>
      <c r="L730" s="346"/>
      <c r="M730" s="346"/>
      <c r="N730" s="346"/>
      <c r="O730" s="345"/>
      <c r="P730" s="345"/>
      <c r="Q730" s="345"/>
      <c r="R730" s="345">
        <v>0</v>
      </c>
      <c r="S730" s="345">
        <v>174.8</v>
      </c>
      <c r="T730" s="345">
        <v>1764.37</v>
      </c>
      <c r="U730" s="345">
        <v>0</v>
      </c>
      <c r="V730" s="345">
        <v>188.2</v>
      </c>
      <c r="W730" s="345">
        <v>1957.7</v>
      </c>
      <c r="X730" s="345">
        <v>0</v>
      </c>
      <c r="Y730" s="345">
        <v>187</v>
      </c>
      <c r="Z730" s="345">
        <v>1943.2</v>
      </c>
      <c r="AA730">
        <f t="shared" si="11"/>
        <v>0</v>
      </c>
    </row>
    <row r="731" spans="1:27" s="362" customFormat="1" ht="28.8" x14ac:dyDescent="0.3">
      <c r="A731" s="359" t="s">
        <v>2402</v>
      </c>
      <c r="B731" s="811"/>
      <c r="C731" s="812"/>
      <c r="D731" s="812"/>
      <c r="E731" s="813"/>
      <c r="F731" s="811">
        <v>211.5</v>
      </c>
      <c r="G731" s="813"/>
      <c r="H731" s="359">
        <v>1972.5</v>
      </c>
      <c r="I731" s="359">
        <v>0</v>
      </c>
      <c r="J731" s="359">
        <v>228.5</v>
      </c>
      <c r="K731" s="359">
        <v>2018.9</v>
      </c>
      <c r="L731" s="359"/>
      <c r="M731" s="359"/>
      <c r="N731" s="359"/>
      <c r="O731" s="359"/>
      <c r="P731" s="359"/>
      <c r="Q731" s="359"/>
      <c r="R731" s="359">
        <v>0</v>
      </c>
      <c r="S731" s="359">
        <v>174.8</v>
      </c>
      <c r="T731" s="359">
        <v>1764.37</v>
      </c>
      <c r="U731" s="359">
        <v>0</v>
      </c>
      <c r="V731" s="359">
        <v>188.2</v>
      </c>
      <c r="W731" s="359">
        <v>1957.7</v>
      </c>
      <c r="X731" s="359">
        <v>0</v>
      </c>
      <c r="Y731" s="359">
        <v>187</v>
      </c>
      <c r="Z731" s="359">
        <v>1943.2</v>
      </c>
      <c r="AA731" s="362">
        <f t="shared" si="11"/>
        <v>0</v>
      </c>
    </row>
    <row r="732" spans="1:27" s="362" customFormat="1" x14ac:dyDescent="0.3">
      <c r="A732" s="367">
        <v>43830</v>
      </c>
      <c r="B732" s="359"/>
      <c r="C732" s="360"/>
      <c r="D732" s="360"/>
      <c r="E732" s="361"/>
      <c r="F732" s="359"/>
      <c r="G732" s="361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62">
        <v>0</v>
      </c>
    </row>
    <row r="733" spans="1:27" ht="28.8" x14ac:dyDescent="0.3">
      <c r="A733" s="345" t="s">
        <v>2403</v>
      </c>
      <c r="B733" s="805"/>
      <c r="C733" s="802"/>
      <c r="D733" s="802"/>
      <c r="E733" s="803"/>
      <c r="F733" s="805">
        <v>13</v>
      </c>
      <c r="G733" s="803"/>
      <c r="H733" s="345">
        <v>13</v>
      </c>
      <c r="I733" s="345">
        <v>15</v>
      </c>
      <c r="J733" s="345">
        <v>15</v>
      </c>
      <c r="K733" s="345">
        <v>15</v>
      </c>
      <c r="L733" s="346"/>
      <c r="M733" s="346"/>
      <c r="N733" s="346"/>
      <c r="O733" s="345"/>
      <c r="P733" s="345"/>
      <c r="Q733" s="345"/>
      <c r="R733" s="345">
        <v>11</v>
      </c>
      <c r="S733" s="345">
        <v>11</v>
      </c>
      <c r="T733" s="345">
        <v>11</v>
      </c>
      <c r="U733" s="345">
        <v>12</v>
      </c>
      <c r="V733" s="345">
        <v>12</v>
      </c>
      <c r="W733" s="345">
        <v>12</v>
      </c>
      <c r="X733" s="345">
        <v>12</v>
      </c>
      <c r="Y733" s="345">
        <v>12</v>
      </c>
      <c r="Z733" s="345">
        <v>12</v>
      </c>
      <c r="AA733">
        <f t="shared" si="11"/>
        <v>15</v>
      </c>
    </row>
    <row r="734" spans="1:27" ht="28.8" x14ac:dyDescent="0.3">
      <c r="A734" s="345" t="s">
        <v>2404</v>
      </c>
      <c r="B734" s="805"/>
      <c r="C734" s="802"/>
      <c r="D734" s="802"/>
      <c r="E734" s="803"/>
      <c r="F734" s="805">
        <v>13</v>
      </c>
      <c r="G734" s="803"/>
      <c r="H734" s="345">
        <v>13</v>
      </c>
      <c r="I734" s="345">
        <v>0</v>
      </c>
      <c r="J734" s="345">
        <v>15</v>
      </c>
      <c r="K734" s="345">
        <v>15</v>
      </c>
      <c r="L734" s="346"/>
      <c r="M734" s="346"/>
      <c r="N734" s="346"/>
      <c r="O734" s="345"/>
      <c r="P734" s="345"/>
      <c r="Q734" s="345"/>
      <c r="R734" s="345">
        <v>0</v>
      </c>
      <c r="S734" s="345">
        <v>11</v>
      </c>
      <c r="T734" s="345">
        <v>11</v>
      </c>
      <c r="U734" s="345">
        <v>0</v>
      </c>
      <c r="V734" s="345">
        <v>12</v>
      </c>
      <c r="W734" s="345">
        <v>12</v>
      </c>
      <c r="X734" s="345">
        <v>0</v>
      </c>
      <c r="Y734" s="345">
        <v>12</v>
      </c>
      <c r="Z734" s="345">
        <v>12</v>
      </c>
      <c r="AA734">
        <f t="shared" si="11"/>
        <v>0</v>
      </c>
    </row>
    <row r="735" spans="1:27" ht="28.8" x14ac:dyDescent="0.3">
      <c r="A735" s="345" t="s">
        <v>2405</v>
      </c>
      <c r="B735" s="805"/>
      <c r="C735" s="802"/>
      <c r="D735" s="802"/>
      <c r="E735" s="803"/>
      <c r="F735" s="805">
        <v>47</v>
      </c>
      <c r="G735" s="803"/>
      <c r="H735" s="345">
        <v>47</v>
      </c>
      <c r="I735" s="345">
        <v>33.5</v>
      </c>
      <c r="J735" s="345">
        <v>48.5</v>
      </c>
      <c r="K735" s="345">
        <v>48.5</v>
      </c>
      <c r="L735" s="346"/>
      <c r="M735" s="346"/>
      <c r="N735" s="346"/>
      <c r="O735" s="345"/>
      <c r="P735" s="345"/>
      <c r="Q735" s="345"/>
      <c r="R735" s="345">
        <v>25</v>
      </c>
      <c r="S735" s="345">
        <v>36</v>
      </c>
      <c r="T735" s="345">
        <v>36</v>
      </c>
      <c r="U735" s="345">
        <v>30</v>
      </c>
      <c r="V735" s="345">
        <v>42</v>
      </c>
      <c r="W735" s="345">
        <v>42</v>
      </c>
      <c r="X735" s="345">
        <v>21</v>
      </c>
      <c r="Y735" s="345">
        <v>33</v>
      </c>
      <c r="Z735" s="345">
        <v>33</v>
      </c>
      <c r="AA735">
        <f t="shared" si="11"/>
        <v>33.5</v>
      </c>
    </row>
    <row r="736" spans="1:27" ht="28.8" x14ac:dyDescent="0.3">
      <c r="A736" s="345" t="s">
        <v>2406</v>
      </c>
      <c r="B736" s="805"/>
      <c r="C736" s="802"/>
      <c r="D736" s="802"/>
      <c r="E736" s="803"/>
      <c r="F736" s="805">
        <v>126.5</v>
      </c>
      <c r="G736" s="803"/>
      <c r="H736" s="345">
        <v>126.5</v>
      </c>
      <c r="I736" s="345">
        <v>94</v>
      </c>
      <c r="J736" s="345">
        <v>143</v>
      </c>
      <c r="K736" s="345">
        <v>143</v>
      </c>
      <c r="L736" s="346"/>
      <c r="M736" s="346"/>
      <c r="N736" s="346"/>
      <c r="O736" s="345"/>
      <c r="P736" s="345"/>
      <c r="Q736" s="345"/>
      <c r="R736" s="345">
        <v>69</v>
      </c>
      <c r="S736" s="345">
        <v>105</v>
      </c>
      <c r="T736" s="345">
        <v>105</v>
      </c>
      <c r="U736" s="345">
        <v>69.5</v>
      </c>
      <c r="V736" s="345">
        <v>111.5</v>
      </c>
      <c r="W736" s="345">
        <v>111.5</v>
      </c>
      <c r="X736" s="345">
        <v>58.5</v>
      </c>
      <c r="Y736" s="345">
        <v>91.5</v>
      </c>
      <c r="Z736" s="345">
        <v>91.5</v>
      </c>
      <c r="AA736">
        <f>MAX(B736+I736+L736+O736)</f>
        <v>94</v>
      </c>
    </row>
    <row r="737" spans="1:27" ht="28.8" x14ac:dyDescent="0.3">
      <c r="A737" s="345" t="s">
        <v>2407</v>
      </c>
      <c r="B737" s="805"/>
      <c r="C737" s="802"/>
      <c r="D737" s="802"/>
      <c r="E737" s="803"/>
      <c r="F737" s="805">
        <v>130</v>
      </c>
      <c r="G737" s="803"/>
      <c r="H737" s="345">
        <v>130</v>
      </c>
      <c r="I737" s="345">
        <v>4</v>
      </c>
      <c r="J737" s="345">
        <v>147</v>
      </c>
      <c r="K737" s="345">
        <v>147</v>
      </c>
      <c r="L737" s="346"/>
      <c r="M737" s="346"/>
      <c r="N737" s="346"/>
      <c r="O737" s="345"/>
      <c r="P737" s="345"/>
      <c r="Q737" s="345"/>
      <c r="R737" s="345">
        <v>0</v>
      </c>
      <c r="S737" s="345">
        <v>105</v>
      </c>
      <c r="T737" s="345">
        <v>105</v>
      </c>
      <c r="U737" s="345">
        <v>6</v>
      </c>
      <c r="V737" s="345">
        <v>117.5</v>
      </c>
      <c r="W737" s="345">
        <v>117.5</v>
      </c>
      <c r="X737" s="345">
        <v>5</v>
      </c>
      <c r="Y737" s="345">
        <v>96.5</v>
      </c>
      <c r="Z737" s="345">
        <v>96.5</v>
      </c>
      <c r="AA737">
        <f t="shared" si="11"/>
        <v>4</v>
      </c>
    </row>
    <row r="738" spans="1:27" ht="28.8" x14ac:dyDescent="0.3">
      <c r="A738" s="345" t="s">
        <v>2408</v>
      </c>
      <c r="B738" s="805"/>
      <c r="C738" s="802"/>
      <c r="D738" s="802"/>
      <c r="E738" s="803"/>
      <c r="F738" s="805">
        <v>136</v>
      </c>
      <c r="G738" s="803"/>
      <c r="H738" s="345">
        <v>136</v>
      </c>
      <c r="I738" s="345">
        <v>2</v>
      </c>
      <c r="J738" s="345">
        <v>149</v>
      </c>
      <c r="K738" s="345">
        <v>149</v>
      </c>
      <c r="L738" s="346"/>
      <c r="M738" s="346"/>
      <c r="N738" s="346"/>
      <c r="O738" s="345"/>
      <c r="P738" s="345"/>
      <c r="Q738" s="345"/>
      <c r="R738" s="345">
        <v>5.2</v>
      </c>
      <c r="S738" s="345">
        <v>110.2</v>
      </c>
      <c r="T738" s="345">
        <v>110.2</v>
      </c>
      <c r="U738" s="345">
        <v>5.5</v>
      </c>
      <c r="V738" s="345">
        <v>123</v>
      </c>
      <c r="W738" s="345">
        <v>123</v>
      </c>
      <c r="X738" s="345">
        <v>5</v>
      </c>
      <c r="Y738" s="345">
        <v>101.5</v>
      </c>
      <c r="Z738" s="345">
        <v>101.5</v>
      </c>
      <c r="AA738">
        <f t="shared" si="11"/>
        <v>2</v>
      </c>
    </row>
    <row r="739" spans="1:27" ht="28.8" x14ac:dyDescent="0.3">
      <c r="A739" s="345" t="s">
        <v>2409</v>
      </c>
      <c r="B739" s="805"/>
      <c r="C739" s="802"/>
      <c r="D739" s="802"/>
      <c r="E739" s="803"/>
      <c r="F739" s="805">
        <v>142.5</v>
      </c>
      <c r="G739" s="803"/>
      <c r="H739" s="345">
        <v>142.5</v>
      </c>
      <c r="I739" s="345">
        <v>6</v>
      </c>
      <c r="J739" s="345">
        <v>155</v>
      </c>
      <c r="K739" s="345">
        <v>155</v>
      </c>
      <c r="L739" s="346"/>
      <c r="M739" s="346"/>
      <c r="N739" s="346"/>
      <c r="O739" s="345"/>
      <c r="P739" s="345"/>
      <c r="Q739" s="345"/>
      <c r="R739" s="345">
        <v>6</v>
      </c>
      <c r="S739" s="345">
        <v>116.2</v>
      </c>
      <c r="T739" s="345">
        <v>116.2</v>
      </c>
      <c r="U739" s="345">
        <v>0</v>
      </c>
      <c r="V739" s="345">
        <v>123</v>
      </c>
      <c r="W739" s="345">
        <v>123</v>
      </c>
      <c r="X739" s="345">
        <v>7</v>
      </c>
      <c r="Y739" s="345">
        <v>108.5</v>
      </c>
      <c r="Z739" s="345">
        <v>108.5</v>
      </c>
      <c r="AA739">
        <f t="shared" si="11"/>
        <v>6</v>
      </c>
    </row>
    <row r="740" spans="1:27" ht="28.8" x14ac:dyDescent="0.3">
      <c r="A740" s="345" t="s">
        <v>2410</v>
      </c>
      <c r="B740" s="805"/>
      <c r="C740" s="802"/>
      <c r="D740" s="802"/>
      <c r="E740" s="803"/>
      <c r="F740" s="805">
        <v>147.5</v>
      </c>
      <c r="G740" s="803"/>
      <c r="H740" s="345">
        <v>147.5</v>
      </c>
      <c r="I740" s="345">
        <v>1</v>
      </c>
      <c r="J740" s="345">
        <v>156</v>
      </c>
      <c r="K740" s="345">
        <v>156</v>
      </c>
      <c r="L740" s="346"/>
      <c r="M740" s="346"/>
      <c r="N740" s="346"/>
      <c r="O740" s="345"/>
      <c r="P740" s="345"/>
      <c r="Q740" s="345"/>
      <c r="R740" s="345">
        <v>0.8</v>
      </c>
      <c r="S740" s="345">
        <v>117</v>
      </c>
      <c r="T740" s="345">
        <v>117</v>
      </c>
      <c r="U740" s="345">
        <v>1</v>
      </c>
      <c r="V740" s="345">
        <v>124</v>
      </c>
      <c r="W740" s="345">
        <v>124</v>
      </c>
      <c r="X740" s="345">
        <v>3</v>
      </c>
      <c r="Y740" s="345">
        <v>111.5</v>
      </c>
      <c r="Z740" s="345">
        <v>111.5</v>
      </c>
      <c r="AA740">
        <f t="shared" si="11"/>
        <v>1</v>
      </c>
    </row>
    <row r="741" spans="1:27" ht="28.8" x14ac:dyDescent="0.3">
      <c r="A741" s="345" t="s">
        <v>2411</v>
      </c>
      <c r="B741" s="805"/>
      <c r="C741" s="802"/>
      <c r="D741" s="802"/>
      <c r="E741" s="803"/>
      <c r="F741" s="805">
        <v>150.5</v>
      </c>
      <c r="G741" s="803"/>
      <c r="H741" s="345">
        <v>150.5</v>
      </c>
      <c r="I741" s="345">
        <v>2</v>
      </c>
      <c r="J741" s="345">
        <v>158</v>
      </c>
      <c r="K741" s="345">
        <v>158</v>
      </c>
      <c r="L741" s="346"/>
      <c r="M741" s="346"/>
      <c r="N741" s="346"/>
      <c r="O741" s="345"/>
      <c r="P741" s="345"/>
      <c r="Q741" s="345"/>
      <c r="R741" s="345">
        <v>1.4</v>
      </c>
      <c r="S741" s="345">
        <v>118.4</v>
      </c>
      <c r="T741" s="345">
        <v>118.4</v>
      </c>
      <c r="U741" s="345">
        <v>2</v>
      </c>
      <c r="V741" s="345">
        <v>126</v>
      </c>
      <c r="W741" s="345">
        <v>126</v>
      </c>
      <c r="X741" s="345">
        <v>2</v>
      </c>
      <c r="Y741" s="345">
        <v>113.5</v>
      </c>
      <c r="Z741" s="345">
        <v>113.5</v>
      </c>
      <c r="AA741">
        <f t="shared" si="11"/>
        <v>2</v>
      </c>
    </row>
    <row r="742" spans="1:27" ht="28.8" x14ac:dyDescent="0.3">
      <c r="A742" s="345" t="s">
        <v>2412</v>
      </c>
      <c r="B742" s="805"/>
      <c r="C742" s="802"/>
      <c r="D742" s="802"/>
      <c r="E742" s="803"/>
      <c r="F742" s="805">
        <v>181.5</v>
      </c>
      <c r="G742" s="803"/>
      <c r="H742" s="345">
        <v>181.5</v>
      </c>
      <c r="I742" s="345">
        <v>60.5</v>
      </c>
      <c r="J742" s="345">
        <v>218.5</v>
      </c>
      <c r="K742" s="345">
        <v>218.5</v>
      </c>
      <c r="L742" s="346"/>
      <c r="M742" s="346"/>
      <c r="N742" s="346"/>
      <c r="O742" s="345"/>
      <c r="P742" s="345"/>
      <c r="Q742" s="345"/>
      <c r="R742" s="345">
        <v>38.200000000000003</v>
      </c>
      <c r="S742" s="345">
        <v>156.6</v>
      </c>
      <c r="T742" s="345">
        <v>156.6</v>
      </c>
      <c r="U742" s="345">
        <v>38</v>
      </c>
      <c r="V742" s="345">
        <v>164</v>
      </c>
      <c r="W742" s="345">
        <v>164</v>
      </c>
      <c r="X742" s="345">
        <v>36.5</v>
      </c>
      <c r="Y742" s="345">
        <v>150</v>
      </c>
      <c r="Z742" s="345">
        <v>150</v>
      </c>
      <c r="AA742">
        <f t="shared" si="11"/>
        <v>60.5</v>
      </c>
    </row>
    <row r="743" spans="1:27" ht="28.8" x14ac:dyDescent="0.3">
      <c r="A743" s="345" t="s">
        <v>2413</v>
      </c>
      <c r="B743" s="805"/>
      <c r="C743" s="802"/>
      <c r="D743" s="802"/>
      <c r="E743" s="803"/>
      <c r="F743" s="805">
        <v>184.5</v>
      </c>
      <c r="G743" s="803"/>
      <c r="H743" s="345">
        <v>184.5</v>
      </c>
      <c r="I743" s="345">
        <v>0.5</v>
      </c>
      <c r="J743" s="345">
        <v>219</v>
      </c>
      <c r="K743" s="345">
        <v>219</v>
      </c>
      <c r="L743" s="346"/>
      <c r="M743" s="346"/>
      <c r="N743" s="346"/>
      <c r="O743" s="345"/>
      <c r="P743" s="345"/>
      <c r="Q743" s="345"/>
      <c r="R743" s="345">
        <v>0.8</v>
      </c>
      <c r="S743" s="345">
        <v>157.4</v>
      </c>
      <c r="T743" s="345">
        <v>157.4</v>
      </c>
      <c r="U743" s="345">
        <v>0.5</v>
      </c>
      <c r="V743" s="345">
        <v>164.5</v>
      </c>
      <c r="W743" s="345">
        <v>164.5</v>
      </c>
      <c r="X743" s="345">
        <v>1</v>
      </c>
      <c r="Y743" s="345">
        <v>151</v>
      </c>
      <c r="Z743" s="345">
        <v>151</v>
      </c>
      <c r="AA743">
        <f t="shared" si="11"/>
        <v>0.5</v>
      </c>
    </row>
    <row r="744" spans="1:27" ht="28.8" x14ac:dyDescent="0.3">
      <c r="A744" s="345" t="s">
        <v>2414</v>
      </c>
      <c r="B744" s="805"/>
      <c r="C744" s="802"/>
      <c r="D744" s="802"/>
      <c r="E744" s="803"/>
      <c r="F744" s="805">
        <v>187</v>
      </c>
      <c r="G744" s="803"/>
      <c r="H744" s="345">
        <v>187</v>
      </c>
      <c r="I744" s="345">
        <v>2</v>
      </c>
      <c r="J744" s="345">
        <v>221</v>
      </c>
      <c r="K744" s="345">
        <v>221</v>
      </c>
      <c r="L744" s="346"/>
      <c r="M744" s="346"/>
      <c r="N744" s="346"/>
      <c r="O744" s="345"/>
      <c r="P744" s="345"/>
      <c r="Q744" s="345"/>
      <c r="R744" s="345">
        <v>2.4</v>
      </c>
      <c r="S744" s="345">
        <v>159.80000000000001</v>
      </c>
      <c r="T744" s="345">
        <v>159.80000000000001</v>
      </c>
      <c r="U744" s="345">
        <v>3</v>
      </c>
      <c r="V744" s="345">
        <v>167.5</v>
      </c>
      <c r="W744" s="345">
        <v>167.5</v>
      </c>
      <c r="X744" s="345">
        <v>2.5</v>
      </c>
      <c r="Y744" s="345">
        <v>153.5</v>
      </c>
      <c r="Z744" s="345">
        <v>153.5</v>
      </c>
      <c r="AA744">
        <f t="shared" si="11"/>
        <v>2</v>
      </c>
    </row>
    <row r="745" spans="1:27" ht="28.8" x14ac:dyDescent="0.3">
      <c r="A745" s="345" t="s">
        <v>2415</v>
      </c>
      <c r="B745" s="805"/>
      <c r="C745" s="802"/>
      <c r="D745" s="802"/>
      <c r="E745" s="803"/>
      <c r="F745" s="805">
        <v>187</v>
      </c>
      <c r="G745" s="803"/>
      <c r="H745" s="345">
        <v>187</v>
      </c>
      <c r="I745" s="345">
        <v>0</v>
      </c>
      <c r="J745" s="345">
        <v>221</v>
      </c>
      <c r="K745" s="345">
        <v>221</v>
      </c>
      <c r="L745" s="346"/>
      <c r="M745" s="346"/>
      <c r="N745" s="346"/>
      <c r="O745" s="345"/>
      <c r="P745" s="345"/>
      <c r="Q745" s="345"/>
      <c r="R745" s="345">
        <v>0</v>
      </c>
      <c r="S745" s="345">
        <v>159.80000000000001</v>
      </c>
      <c r="T745" s="345">
        <v>159.80000000000001</v>
      </c>
      <c r="U745" s="345">
        <v>0</v>
      </c>
      <c r="V745" s="345">
        <v>167.5</v>
      </c>
      <c r="W745" s="345">
        <v>167.5</v>
      </c>
      <c r="X745" s="345">
        <v>0</v>
      </c>
      <c r="Y745" s="345">
        <v>153.5</v>
      </c>
      <c r="Z745" s="345">
        <v>153.5</v>
      </c>
      <c r="AA745">
        <f t="shared" si="11"/>
        <v>0</v>
      </c>
    </row>
    <row r="746" spans="1:27" ht="28.8" x14ac:dyDescent="0.3">
      <c r="A746" s="345" t="s">
        <v>2416</v>
      </c>
      <c r="B746" s="805"/>
      <c r="C746" s="802"/>
      <c r="D746" s="802"/>
      <c r="E746" s="803"/>
      <c r="F746" s="805">
        <v>187</v>
      </c>
      <c r="G746" s="803"/>
      <c r="H746" s="345">
        <v>187</v>
      </c>
      <c r="I746" s="345">
        <v>0</v>
      </c>
      <c r="J746" s="345">
        <v>221</v>
      </c>
      <c r="K746" s="345">
        <v>221</v>
      </c>
      <c r="L746" s="346"/>
      <c r="M746" s="346"/>
      <c r="N746" s="346"/>
      <c r="O746" s="345"/>
      <c r="P746" s="345"/>
      <c r="Q746" s="345"/>
      <c r="R746" s="345">
        <v>0</v>
      </c>
      <c r="S746" s="345">
        <v>159.80000000000001</v>
      </c>
      <c r="T746" s="345">
        <v>159.80000000000001</v>
      </c>
      <c r="U746" s="345">
        <v>0</v>
      </c>
      <c r="V746" s="345">
        <v>167.5</v>
      </c>
      <c r="W746" s="345">
        <v>167.5</v>
      </c>
      <c r="X746" s="345">
        <v>0</v>
      </c>
      <c r="Y746" s="345">
        <v>153.5</v>
      </c>
      <c r="Z746" s="345">
        <v>153.5</v>
      </c>
      <c r="AA746">
        <f t="shared" si="11"/>
        <v>0</v>
      </c>
    </row>
    <row r="747" spans="1:27" ht="28.8" x14ac:dyDescent="0.3">
      <c r="A747" s="345" t="s">
        <v>2417</v>
      </c>
      <c r="B747" s="805"/>
      <c r="C747" s="802"/>
      <c r="D747" s="802"/>
      <c r="E747" s="803"/>
      <c r="F747" s="805">
        <v>220</v>
      </c>
      <c r="G747" s="803"/>
      <c r="H747" s="345">
        <v>220</v>
      </c>
      <c r="I747" s="345">
        <v>33.5</v>
      </c>
      <c r="J747" s="345">
        <v>254.5</v>
      </c>
      <c r="K747" s="345">
        <v>254.5</v>
      </c>
      <c r="L747" s="346"/>
      <c r="M747" s="346"/>
      <c r="N747" s="346"/>
      <c r="O747" s="345"/>
      <c r="P747" s="345"/>
      <c r="Q747" s="345"/>
      <c r="R747" s="345">
        <v>24.4</v>
      </c>
      <c r="S747" s="345">
        <v>184.2</v>
      </c>
      <c r="T747" s="345">
        <v>184.2</v>
      </c>
      <c r="U747" s="345">
        <v>33</v>
      </c>
      <c r="V747" s="345">
        <v>200.5</v>
      </c>
      <c r="W747" s="345">
        <v>200.5</v>
      </c>
      <c r="X747" s="345">
        <v>36.5</v>
      </c>
      <c r="Y747" s="345">
        <v>190</v>
      </c>
      <c r="Z747" s="345">
        <v>190</v>
      </c>
      <c r="AA747">
        <f t="shared" si="11"/>
        <v>33.5</v>
      </c>
    </row>
    <row r="748" spans="1:27" ht="28.8" x14ac:dyDescent="0.3">
      <c r="A748" s="345" t="s">
        <v>2418</v>
      </c>
      <c r="B748" s="805"/>
      <c r="C748" s="802"/>
      <c r="D748" s="802"/>
      <c r="E748" s="803"/>
      <c r="F748" s="805">
        <v>243.5</v>
      </c>
      <c r="G748" s="803"/>
      <c r="H748" s="345">
        <v>243.5</v>
      </c>
      <c r="I748" s="345">
        <v>23</v>
      </c>
      <c r="J748" s="345">
        <v>277.5</v>
      </c>
      <c r="K748" s="345">
        <v>277.5</v>
      </c>
      <c r="L748" s="346"/>
      <c r="M748" s="346"/>
      <c r="N748" s="346"/>
      <c r="O748" s="345"/>
      <c r="P748" s="345"/>
      <c r="Q748" s="345"/>
      <c r="R748" s="345">
        <v>27.6</v>
      </c>
      <c r="S748" s="345">
        <v>211.8</v>
      </c>
      <c r="T748" s="345">
        <v>211.8</v>
      </c>
      <c r="U748" s="345">
        <v>31</v>
      </c>
      <c r="V748" s="345">
        <v>231.5</v>
      </c>
      <c r="W748" s="345">
        <v>231.5</v>
      </c>
      <c r="X748" s="345">
        <v>28.5</v>
      </c>
      <c r="Y748" s="345">
        <v>218.5</v>
      </c>
      <c r="Z748" s="345">
        <v>218.5</v>
      </c>
      <c r="AA748">
        <f t="shared" si="11"/>
        <v>23</v>
      </c>
    </row>
    <row r="749" spans="1:27" ht="28.8" x14ac:dyDescent="0.3">
      <c r="A749" s="345" t="s">
        <v>2419</v>
      </c>
      <c r="B749" s="805"/>
      <c r="C749" s="802"/>
      <c r="D749" s="802"/>
      <c r="E749" s="803"/>
      <c r="F749" s="805">
        <v>243.5</v>
      </c>
      <c r="G749" s="803"/>
      <c r="H749" s="345">
        <v>243.5</v>
      </c>
      <c r="I749" s="345">
        <v>0</v>
      </c>
      <c r="J749" s="345">
        <v>277.5</v>
      </c>
      <c r="K749" s="345">
        <v>277.5</v>
      </c>
      <c r="L749" s="346"/>
      <c r="M749" s="346"/>
      <c r="N749" s="346"/>
      <c r="O749" s="345"/>
      <c r="P749" s="345"/>
      <c r="Q749" s="345"/>
      <c r="R749" s="345">
        <v>0</v>
      </c>
      <c r="S749" s="345">
        <v>211.8</v>
      </c>
      <c r="T749" s="345">
        <v>211.8</v>
      </c>
      <c r="U749" s="345">
        <v>0</v>
      </c>
      <c r="V749" s="345">
        <v>231.5</v>
      </c>
      <c r="W749" s="345">
        <v>231.5</v>
      </c>
      <c r="X749" s="345">
        <v>0</v>
      </c>
      <c r="Y749" s="345">
        <v>218.5</v>
      </c>
      <c r="Z749" s="345">
        <v>218.5</v>
      </c>
      <c r="AA749">
        <f t="shared" si="11"/>
        <v>0</v>
      </c>
    </row>
    <row r="750" spans="1:27" ht="28.8" x14ac:dyDescent="0.3">
      <c r="A750" s="345" t="s">
        <v>2420</v>
      </c>
      <c r="B750" s="805"/>
      <c r="C750" s="802"/>
      <c r="D750" s="802"/>
      <c r="E750" s="803"/>
      <c r="F750" s="805">
        <v>243.5</v>
      </c>
      <c r="G750" s="803"/>
      <c r="H750" s="345">
        <v>243.5</v>
      </c>
      <c r="I750" s="345">
        <v>0</v>
      </c>
      <c r="J750" s="345">
        <v>277.5</v>
      </c>
      <c r="K750" s="345">
        <v>277.5</v>
      </c>
      <c r="L750" s="346"/>
      <c r="M750" s="346"/>
      <c r="N750" s="346"/>
      <c r="O750" s="345"/>
      <c r="P750" s="345"/>
      <c r="Q750" s="345"/>
      <c r="R750" s="345">
        <v>0.4</v>
      </c>
      <c r="S750" s="345">
        <v>212.2</v>
      </c>
      <c r="T750" s="345">
        <v>212.2</v>
      </c>
      <c r="U750" s="345">
        <v>0</v>
      </c>
      <c r="V750" s="345">
        <v>231.5</v>
      </c>
      <c r="W750" s="345">
        <v>231.5</v>
      </c>
      <c r="X750" s="345">
        <v>0</v>
      </c>
      <c r="Y750" s="345">
        <v>218.5</v>
      </c>
      <c r="Z750" s="345">
        <v>218.5</v>
      </c>
      <c r="AA750">
        <f t="shared" si="11"/>
        <v>0</v>
      </c>
    </row>
    <row r="751" spans="1:27" ht="28.8" x14ac:dyDescent="0.3">
      <c r="A751" s="345" t="s">
        <v>2421</v>
      </c>
      <c r="B751" s="805"/>
      <c r="C751" s="802"/>
      <c r="D751" s="802"/>
      <c r="E751" s="803"/>
      <c r="F751" s="805">
        <v>243.5</v>
      </c>
      <c r="G751" s="803"/>
      <c r="H751" s="345">
        <v>243.5</v>
      </c>
      <c r="I751" s="345">
        <v>0</v>
      </c>
      <c r="J751" s="345">
        <v>277.5</v>
      </c>
      <c r="K751" s="345">
        <v>277.5</v>
      </c>
      <c r="L751" s="346"/>
      <c r="M751" s="346"/>
      <c r="N751" s="346"/>
      <c r="O751" s="345"/>
      <c r="P751" s="345"/>
      <c r="Q751" s="345"/>
      <c r="R751" s="345">
        <v>0.2</v>
      </c>
      <c r="S751" s="345">
        <v>212.4</v>
      </c>
      <c r="T751" s="345">
        <v>212.4</v>
      </c>
      <c r="U751" s="345">
        <v>0</v>
      </c>
      <c r="V751" s="345">
        <v>231.5</v>
      </c>
      <c r="W751" s="345">
        <v>231.5</v>
      </c>
      <c r="X751" s="345">
        <v>0</v>
      </c>
      <c r="Y751" s="345">
        <v>218.5</v>
      </c>
      <c r="Z751" s="345">
        <v>218.5</v>
      </c>
      <c r="AA751">
        <f t="shared" si="11"/>
        <v>0</v>
      </c>
    </row>
    <row r="752" spans="1:27" ht="28.8" x14ac:dyDescent="0.3">
      <c r="A752" s="345" t="s">
        <v>2422</v>
      </c>
      <c r="B752" s="805"/>
      <c r="C752" s="802"/>
      <c r="D752" s="802"/>
      <c r="E752" s="803"/>
      <c r="F752" s="805">
        <v>243.5</v>
      </c>
      <c r="G752" s="803"/>
      <c r="H752" s="345">
        <v>243.5</v>
      </c>
      <c r="I752" s="345">
        <v>0</v>
      </c>
      <c r="J752" s="345">
        <v>277.5</v>
      </c>
      <c r="K752" s="345">
        <v>277.5</v>
      </c>
      <c r="L752" s="346"/>
      <c r="M752" s="346"/>
      <c r="N752" s="346"/>
      <c r="O752" s="345"/>
      <c r="P752" s="345"/>
      <c r="Q752" s="345"/>
      <c r="R752" s="345">
        <v>0.4</v>
      </c>
      <c r="S752" s="345">
        <v>212.8</v>
      </c>
      <c r="T752" s="345">
        <v>212.8</v>
      </c>
      <c r="U752" s="345">
        <v>0</v>
      </c>
      <c r="V752" s="345">
        <v>231.5</v>
      </c>
      <c r="W752" s="345">
        <v>231.5</v>
      </c>
      <c r="X752" s="345">
        <v>0</v>
      </c>
      <c r="Y752" s="345">
        <v>218.5</v>
      </c>
      <c r="Z752" s="345">
        <v>218.5</v>
      </c>
      <c r="AA752">
        <f t="shared" si="11"/>
        <v>0</v>
      </c>
    </row>
    <row r="753" spans="1:27" ht="28.8" x14ac:dyDescent="0.3">
      <c r="A753" s="345" t="s">
        <v>2423</v>
      </c>
      <c r="B753" s="805"/>
      <c r="C753" s="802"/>
      <c r="D753" s="802"/>
      <c r="E753" s="803"/>
      <c r="F753" s="805">
        <v>243.5</v>
      </c>
      <c r="G753" s="803"/>
      <c r="H753" s="345">
        <v>243.5</v>
      </c>
      <c r="I753" s="345">
        <v>0</v>
      </c>
      <c r="J753" s="345">
        <v>277.5</v>
      </c>
      <c r="K753" s="345">
        <v>277.5</v>
      </c>
      <c r="L753" s="346"/>
      <c r="M753" s="346"/>
      <c r="N753" s="346"/>
      <c r="O753" s="345"/>
      <c r="P753" s="345"/>
      <c r="Q753" s="345"/>
      <c r="R753" s="345">
        <v>0.2</v>
      </c>
      <c r="S753" s="345">
        <v>213</v>
      </c>
      <c r="T753" s="345">
        <v>213</v>
      </c>
      <c r="U753" s="345">
        <v>0</v>
      </c>
      <c r="V753" s="345">
        <v>231.5</v>
      </c>
      <c r="W753" s="345">
        <v>231.5</v>
      </c>
      <c r="X753" s="345">
        <v>0</v>
      </c>
      <c r="Y753" s="345">
        <v>218.5</v>
      </c>
      <c r="Z753" s="345">
        <v>218.5</v>
      </c>
      <c r="AA753">
        <f t="shared" si="11"/>
        <v>0</v>
      </c>
    </row>
    <row r="754" spans="1:27" ht="28.8" x14ac:dyDescent="0.3">
      <c r="A754" s="345" t="s">
        <v>2424</v>
      </c>
      <c r="B754" s="805"/>
      <c r="C754" s="802"/>
      <c r="D754" s="802"/>
      <c r="E754" s="803"/>
      <c r="F754" s="805">
        <v>243.5</v>
      </c>
      <c r="G754" s="803"/>
      <c r="H754" s="345">
        <v>243.5</v>
      </c>
      <c r="I754" s="345">
        <v>0</v>
      </c>
      <c r="J754" s="345">
        <v>277.5</v>
      </c>
      <c r="K754" s="345">
        <v>277.5</v>
      </c>
      <c r="L754" s="346"/>
      <c r="M754" s="346"/>
      <c r="N754" s="346"/>
      <c r="O754" s="345"/>
      <c r="P754" s="345"/>
      <c r="Q754" s="345"/>
      <c r="R754" s="345">
        <v>0.4</v>
      </c>
      <c r="S754" s="345">
        <v>213.4</v>
      </c>
      <c r="T754" s="345">
        <v>213.4</v>
      </c>
      <c r="U754" s="345">
        <v>0</v>
      </c>
      <c r="V754" s="345">
        <v>231.5</v>
      </c>
      <c r="W754" s="345">
        <v>231.5</v>
      </c>
      <c r="X754" s="345">
        <v>0</v>
      </c>
      <c r="Y754" s="345">
        <v>218.5</v>
      </c>
      <c r="Z754" s="345">
        <v>218.5</v>
      </c>
      <c r="AA754">
        <f t="shared" si="11"/>
        <v>0</v>
      </c>
    </row>
    <row r="755" spans="1:27" ht="28.8" x14ac:dyDescent="0.3">
      <c r="A755" s="345" t="s">
        <v>2425</v>
      </c>
      <c r="B755" s="805"/>
      <c r="C755" s="802"/>
      <c r="D755" s="802"/>
      <c r="E755" s="803"/>
      <c r="F755" s="805">
        <v>243.5</v>
      </c>
      <c r="G755" s="803"/>
      <c r="H755" s="345">
        <v>243.5</v>
      </c>
      <c r="I755" s="345">
        <v>0</v>
      </c>
      <c r="J755" s="345">
        <v>277.5</v>
      </c>
      <c r="K755" s="345">
        <v>277.5</v>
      </c>
      <c r="L755" s="346"/>
      <c r="M755" s="346"/>
      <c r="N755" s="346"/>
      <c r="O755" s="345"/>
      <c r="P755" s="345"/>
      <c r="Q755" s="345"/>
      <c r="R755" s="345">
        <v>0.2</v>
      </c>
      <c r="S755" s="345">
        <v>213.6</v>
      </c>
      <c r="T755" s="345">
        <v>213.6</v>
      </c>
      <c r="U755" s="345">
        <v>0</v>
      </c>
      <c r="V755" s="345">
        <v>231.5</v>
      </c>
      <c r="W755" s="345">
        <v>231.5</v>
      </c>
      <c r="X755" s="345">
        <v>0</v>
      </c>
      <c r="Y755" s="345">
        <v>218.5</v>
      </c>
      <c r="Z755" s="345">
        <v>218.5</v>
      </c>
      <c r="AA755">
        <f t="shared" si="11"/>
        <v>0</v>
      </c>
    </row>
    <row r="756" spans="1:27" ht="28.8" x14ac:dyDescent="0.3">
      <c r="A756" s="345" t="s">
        <v>2426</v>
      </c>
      <c r="B756" s="805"/>
      <c r="C756" s="802"/>
      <c r="D756" s="802"/>
      <c r="E756" s="803"/>
      <c r="F756" s="805">
        <v>243.5</v>
      </c>
      <c r="G756" s="803"/>
      <c r="H756" s="345">
        <v>243.5</v>
      </c>
      <c r="I756" s="345">
        <v>0</v>
      </c>
      <c r="J756" s="345">
        <v>277.5</v>
      </c>
      <c r="K756" s="345">
        <v>277.5</v>
      </c>
      <c r="L756" s="346"/>
      <c r="M756" s="346"/>
      <c r="N756" s="346"/>
      <c r="O756" s="345"/>
      <c r="P756" s="345"/>
      <c r="Q756" s="345"/>
      <c r="R756" s="345">
        <v>0.2</v>
      </c>
      <c r="S756" s="345">
        <v>213.8</v>
      </c>
      <c r="T756" s="345">
        <v>213.8</v>
      </c>
      <c r="U756" s="345">
        <v>0</v>
      </c>
      <c r="V756" s="345">
        <v>231.5</v>
      </c>
      <c r="W756" s="345">
        <v>231.5</v>
      </c>
      <c r="X756" s="345">
        <v>0</v>
      </c>
      <c r="Y756" s="345">
        <v>218.5</v>
      </c>
      <c r="Z756" s="345">
        <v>218.5</v>
      </c>
      <c r="AA756">
        <f t="shared" si="11"/>
        <v>0</v>
      </c>
    </row>
    <row r="757" spans="1:27" ht="28.8" x14ac:dyDescent="0.3">
      <c r="A757" s="345" t="s">
        <v>2427</v>
      </c>
      <c r="B757" s="805"/>
      <c r="C757" s="802"/>
      <c r="D757" s="802"/>
      <c r="E757" s="803"/>
      <c r="F757" s="805">
        <v>243.5</v>
      </c>
      <c r="G757" s="803"/>
      <c r="H757" s="345">
        <v>243.5</v>
      </c>
      <c r="I757" s="345">
        <v>0.5</v>
      </c>
      <c r="J757" s="345">
        <v>278</v>
      </c>
      <c r="K757" s="345">
        <v>278</v>
      </c>
      <c r="L757" s="346"/>
      <c r="M757" s="346"/>
      <c r="N757" s="346"/>
      <c r="O757" s="345"/>
      <c r="P757" s="345"/>
      <c r="Q757" s="345"/>
      <c r="R757" s="345">
        <v>0.2</v>
      </c>
      <c r="S757" s="345">
        <v>214</v>
      </c>
      <c r="T757" s="345">
        <v>214</v>
      </c>
      <c r="U757" s="345">
        <v>0.5</v>
      </c>
      <c r="V757" s="345">
        <v>232</v>
      </c>
      <c r="W757" s="345">
        <v>232</v>
      </c>
      <c r="X757" s="345">
        <v>2</v>
      </c>
      <c r="Y757" s="345">
        <v>220.5</v>
      </c>
      <c r="Z757" s="345">
        <v>220.5</v>
      </c>
      <c r="AA757">
        <f t="shared" si="11"/>
        <v>0.5</v>
      </c>
    </row>
    <row r="758" spans="1:27" ht="28.8" x14ac:dyDescent="0.3">
      <c r="A758" s="345" t="s">
        <v>2428</v>
      </c>
      <c r="B758" s="805"/>
      <c r="C758" s="802"/>
      <c r="D758" s="802"/>
      <c r="E758" s="803"/>
      <c r="F758" s="805">
        <v>243.5</v>
      </c>
      <c r="G758" s="803"/>
      <c r="H758" s="345">
        <v>243.5</v>
      </c>
      <c r="I758" s="345">
        <v>0</v>
      </c>
      <c r="J758" s="345">
        <v>278</v>
      </c>
      <c r="K758" s="345">
        <v>278</v>
      </c>
      <c r="L758" s="346"/>
      <c r="M758" s="346"/>
      <c r="N758" s="346"/>
      <c r="O758" s="345"/>
      <c r="P758" s="345"/>
      <c r="Q758" s="345"/>
      <c r="R758" s="345">
        <v>0</v>
      </c>
      <c r="S758" s="345">
        <v>214</v>
      </c>
      <c r="T758" s="345">
        <v>214</v>
      </c>
      <c r="U758" s="345">
        <v>0</v>
      </c>
      <c r="V758" s="345">
        <v>232</v>
      </c>
      <c r="W758" s="345">
        <v>232</v>
      </c>
      <c r="X758" s="345">
        <v>0</v>
      </c>
      <c r="Y758" s="345">
        <v>220.5</v>
      </c>
      <c r="Z758" s="345">
        <v>220.5</v>
      </c>
      <c r="AA758">
        <f t="shared" si="11"/>
        <v>0</v>
      </c>
    </row>
    <row r="759" spans="1:27" ht="28.8" x14ac:dyDescent="0.3">
      <c r="A759" s="345" t="s">
        <v>2429</v>
      </c>
      <c r="B759" s="805"/>
      <c r="C759" s="802"/>
      <c r="D759" s="802"/>
      <c r="E759" s="803"/>
      <c r="F759" s="805">
        <v>255</v>
      </c>
      <c r="G759" s="803"/>
      <c r="H759" s="345">
        <v>255</v>
      </c>
      <c r="I759" s="345">
        <v>22.5</v>
      </c>
      <c r="J759" s="345">
        <v>300.5</v>
      </c>
      <c r="K759" s="345">
        <v>300.5</v>
      </c>
      <c r="L759" s="346"/>
      <c r="M759" s="346"/>
      <c r="N759" s="346"/>
      <c r="O759" s="345"/>
      <c r="P759" s="345"/>
      <c r="Q759" s="345"/>
      <c r="R759" s="345">
        <v>14</v>
      </c>
      <c r="S759" s="345">
        <v>228</v>
      </c>
      <c r="T759" s="345">
        <v>228</v>
      </c>
      <c r="U759" s="345">
        <v>14</v>
      </c>
      <c r="V759" s="345">
        <v>246</v>
      </c>
      <c r="W759" s="345">
        <v>246</v>
      </c>
      <c r="X759" s="345">
        <v>12</v>
      </c>
      <c r="Y759" s="345">
        <v>232.5</v>
      </c>
      <c r="Z759" s="345">
        <v>232.5</v>
      </c>
      <c r="AA759">
        <f t="shared" si="11"/>
        <v>22.5</v>
      </c>
    </row>
    <row r="760" spans="1:27" ht="28.8" x14ac:dyDescent="0.3">
      <c r="A760" s="345" t="s">
        <v>2430</v>
      </c>
      <c r="B760" s="805"/>
      <c r="C760" s="802"/>
      <c r="D760" s="802"/>
      <c r="E760" s="803"/>
      <c r="F760" s="805">
        <v>300</v>
      </c>
      <c r="G760" s="803"/>
      <c r="H760" s="345">
        <v>300</v>
      </c>
      <c r="I760" s="345">
        <v>51</v>
      </c>
      <c r="J760" s="345">
        <v>351.5</v>
      </c>
      <c r="K760" s="345">
        <v>351.5</v>
      </c>
      <c r="L760" s="346"/>
      <c r="M760" s="346"/>
      <c r="N760" s="346"/>
      <c r="O760" s="345"/>
      <c r="P760" s="345"/>
      <c r="Q760" s="345"/>
      <c r="R760" s="345">
        <v>54</v>
      </c>
      <c r="S760" s="345">
        <v>282</v>
      </c>
      <c r="T760" s="345">
        <v>282</v>
      </c>
      <c r="U760" s="345">
        <v>55</v>
      </c>
      <c r="V760" s="345">
        <v>301</v>
      </c>
      <c r="W760" s="345">
        <v>301</v>
      </c>
      <c r="X760" s="345">
        <v>44</v>
      </c>
      <c r="Y760" s="345">
        <v>276.5</v>
      </c>
      <c r="Z760" s="345">
        <v>276.5</v>
      </c>
      <c r="AA760">
        <f t="shared" si="11"/>
        <v>51</v>
      </c>
    </row>
    <row r="761" spans="1:27" ht="28.8" x14ac:dyDescent="0.3">
      <c r="A761" s="345" t="s">
        <v>2431</v>
      </c>
      <c r="B761" s="805"/>
      <c r="C761" s="802"/>
      <c r="D761" s="802"/>
      <c r="E761" s="803"/>
      <c r="F761" s="805">
        <v>300</v>
      </c>
      <c r="G761" s="803"/>
      <c r="H761" s="345">
        <v>300</v>
      </c>
      <c r="I761" s="345">
        <v>0</v>
      </c>
      <c r="J761" s="345">
        <v>351.5</v>
      </c>
      <c r="K761" s="345">
        <v>351.5</v>
      </c>
      <c r="L761" s="346"/>
      <c r="M761" s="346"/>
      <c r="N761" s="346"/>
      <c r="O761" s="345"/>
      <c r="P761" s="345"/>
      <c r="Q761" s="345"/>
      <c r="R761" s="345">
        <v>0</v>
      </c>
      <c r="S761" s="345">
        <v>282</v>
      </c>
      <c r="T761" s="345">
        <v>282</v>
      </c>
      <c r="U761" s="345">
        <v>0</v>
      </c>
      <c r="V761" s="345">
        <v>301</v>
      </c>
      <c r="W761" s="345">
        <v>301</v>
      </c>
      <c r="X761" s="345">
        <v>0</v>
      </c>
      <c r="Y761" s="345">
        <v>276.5</v>
      </c>
      <c r="Z761" s="345">
        <v>276.5</v>
      </c>
      <c r="AA761">
        <f t="shared" si="11"/>
        <v>0</v>
      </c>
    </row>
    <row r="762" spans="1:27" ht="28.8" x14ac:dyDescent="0.3">
      <c r="A762" s="345" t="s">
        <v>2432</v>
      </c>
      <c r="B762" s="805"/>
      <c r="C762" s="802"/>
      <c r="D762" s="802"/>
      <c r="E762" s="803"/>
      <c r="F762" s="805">
        <v>301.5</v>
      </c>
      <c r="G762" s="803"/>
      <c r="H762" s="345">
        <v>301.5</v>
      </c>
      <c r="I762" s="345">
        <v>6</v>
      </c>
      <c r="J762" s="345">
        <v>357.5</v>
      </c>
      <c r="K762" s="345">
        <v>357.5</v>
      </c>
      <c r="L762" s="346"/>
      <c r="M762" s="346"/>
      <c r="N762" s="346"/>
      <c r="O762" s="345"/>
      <c r="P762" s="345"/>
      <c r="Q762" s="345"/>
      <c r="R762" s="345">
        <v>1.8</v>
      </c>
      <c r="S762" s="345">
        <v>283.8</v>
      </c>
      <c r="T762" s="345">
        <v>283.8</v>
      </c>
      <c r="U762" s="345">
        <v>2</v>
      </c>
      <c r="V762" s="345">
        <v>303</v>
      </c>
      <c r="W762" s="345">
        <v>303</v>
      </c>
      <c r="X762" s="345">
        <v>2</v>
      </c>
      <c r="Y762" s="345">
        <v>278.5</v>
      </c>
      <c r="Z762" s="345">
        <v>278.5</v>
      </c>
      <c r="AA762">
        <f t="shared" si="11"/>
        <v>6</v>
      </c>
    </row>
    <row r="763" spans="1:27" s="362" customFormat="1" ht="28.8" x14ac:dyDescent="0.3">
      <c r="A763" s="359" t="s">
        <v>2433</v>
      </c>
      <c r="B763" s="811"/>
      <c r="C763" s="812"/>
      <c r="D763" s="812"/>
      <c r="E763" s="813"/>
      <c r="F763" s="811">
        <v>301.5</v>
      </c>
      <c r="G763" s="813"/>
      <c r="H763" s="359">
        <v>301.5</v>
      </c>
      <c r="I763" s="359">
        <v>0</v>
      </c>
      <c r="J763" s="359">
        <v>357.5</v>
      </c>
      <c r="K763" s="359">
        <v>357.5</v>
      </c>
      <c r="L763" s="359"/>
      <c r="M763" s="359"/>
      <c r="N763" s="359"/>
      <c r="O763" s="359"/>
      <c r="P763" s="359"/>
      <c r="Q763" s="359"/>
      <c r="R763" s="359">
        <v>0</v>
      </c>
      <c r="S763" s="359">
        <v>283.8</v>
      </c>
      <c r="T763" s="359">
        <v>283.8</v>
      </c>
      <c r="U763" s="359">
        <v>0</v>
      </c>
      <c r="V763" s="359">
        <v>303</v>
      </c>
      <c r="W763" s="359">
        <v>303</v>
      </c>
      <c r="X763" s="359">
        <v>0</v>
      </c>
      <c r="Y763" s="359">
        <v>278.5</v>
      </c>
      <c r="Z763" s="359">
        <v>278.5</v>
      </c>
      <c r="AA763" s="362">
        <f t="shared" si="11"/>
        <v>0</v>
      </c>
    </row>
    <row r="764" spans="1:27" ht="28.8" x14ac:dyDescent="0.3">
      <c r="A764" s="345" t="s">
        <v>2434</v>
      </c>
      <c r="B764" s="805"/>
      <c r="C764" s="802"/>
      <c r="D764" s="802"/>
      <c r="E764" s="803"/>
      <c r="F764" s="805">
        <v>6</v>
      </c>
      <c r="G764" s="803"/>
      <c r="H764" s="345">
        <v>307.5</v>
      </c>
      <c r="I764" s="345">
        <v>8.5</v>
      </c>
      <c r="J764" s="345">
        <v>8.5</v>
      </c>
      <c r="K764" s="345">
        <v>366</v>
      </c>
      <c r="L764" s="346"/>
      <c r="M764" s="346"/>
      <c r="N764" s="346"/>
      <c r="O764" s="345"/>
      <c r="P764" s="345"/>
      <c r="Q764" s="345"/>
      <c r="R764" s="345">
        <v>4.8</v>
      </c>
      <c r="S764" s="345">
        <v>4.8</v>
      </c>
      <c r="T764" s="345">
        <v>288.60000000000002</v>
      </c>
      <c r="U764" s="345">
        <v>6</v>
      </c>
      <c r="V764" s="345">
        <v>6</v>
      </c>
      <c r="W764" s="345">
        <v>309</v>
      </c>
      <c r="X764" s="345">
        <v>4</v>
      </c>
      <c r="Y764" s="345">
        <v>4</v>
      </c>
      <c r="Z764" s="345">
        <v>282.5</v>
      </c>
      <c r="AA764">
        <f t="shared" si="11"/>
        <v>8.5</v>
      </c>
    </row>
    <row r="765" spans="1:27" ht="28.8" x14ac:dyDescent="0.3">
      <c r="A765" s="345" t="s">
        <v>2435</v>
      </c>
      <c r="B765" s="805"/>
      <c r="C765" s="802"/>
      <c r="D765" s="802"/>
      <c r="E765" s="803"/>
      <c r="F765" s="805">
        <v>31</v>
      </c>
      <c r="G765" s="803"/>
      <c r="H765" s="345">
        <v>332.5</v>
      </c>
      <c r="I765" s="345">
        <v>25</v>
      </c>
      <c r="J765" s="345">
        <v>33.5</v>
      </c>
      <c r="K765" s="345">
        <v>391</v>
      </c>
      <c r="L765" s="346"/>
      <c r="M765" s="346"/>
      <c r="N765" s="346"/>
      <c r="O765" s="345"/>
      <c r="P765" s="345"/>
      <c r="Q765" s="345"/>
      <c r="R765" s="345">
        <v>29</v>
      </c>
      <c r="S765" s="345">
        <v>33.799999999999997</v>
      </c>
      <c r="T765" s="345">
        <v>317.60000000000002</v>
      </c>
      <c r="U765" s="345">
        <v>29</v>
      </c>
      <c r="V765" s="345">
        <v>35</v>
      </c>
      <c r="W765" s="345">
        <v>338</v>
      </c>
      <c r="X765" s="345">
        <v>27</v>
      </c>
      <c r="Y765" s="345">
        <v>31</v>
      </c>
      <c r="Z765" s="345">
        <v>309.5</v>
      </c>
      <c r="AA765">
        <f t="shared" si="11"/>
        <v>25</v>
      </c>
    </row>
    <row r="766" spans="1:27" ht="28.8" x14ac:dyDescent="0.3">
      <c r="A766" s="345" t="s">
        <v>2436</v>
      </c>
      <c r="B766" s="805"/>
      <c r="C766" s="802"/>
      <c r="D766" s="802"/>
      <c r="E766" s="803"/>
      <c r="F766" s="805">
        <v>53</v>
      </c>
      <c r="G766" s="803"/>
      <c r="H766" s="345">
        <v>354.5</v>
      </c>
      <c r="I766" s="345">
        <v>21.5</v>
      </c>
      <c r="J766" s="345">
        <v>55</v>
      </c>
      <c r="K766" s="345">
        <v>412.5</v>
      </c>
      <c r="L766" s="346"/>
      <c r="M766" s="346"/>
      <c r="N766" s="346"/>
      <c r="O766" s="345"/>
      <c r="P766" s="345"/>
      <c r="Q766" s="345"/>
      <c r="R766" s="345">
        <v>20</v>
      </c>
      <c r="S766" s="345">
        <v>53.8</v>
      </c>
      <c r="T766" s="345">
        <v>337.6</v>
      </c>
      <c r="U766" s="345">
        <v>22.5</v>
      </c>
      <c r="V766" s="345">
        <v>57.5</v>
      </c>
      <c r="W766" s="345">
        <v>360.5</v>
      </c>
      <c r="X766" s="345">
        <v>23</v>
      </c>
      <c r="Y766" s="345">
        <v>54</v>
      </c>
      <c r="Z766" s="345">
        <v>332.5</v>
      </c>
      <c r="AA766">
        <f t="shared" si="11"/>
        <v>21.5</v>
      </c>
    </row>
    <row r="767" spans="1:27" ht="28.8" x14ac:dyDescent="0.3">
      <c r="A767" s="345" t="s">
        <v>2437</v>
      </c>
      <c r="B767" s="805"/>
      <c r="C767" s="802"/>
      <c r="D767" s="802"/>
      <c r="E767" s="803"/>
      <c r="F767" s="805">
        <v>53</v>
      </c>
      <c r="G767" s="803"/>
      <c r="H767" s="345">
        <v>354.5</v>
      </c>
      <c r="I767" s="345">
        <v>0</v>
      </c>
      <c r="J767" s="345">
        <v>55</v>
      </c>
      <c r="K767" s="345">
        <v>412.5</v>
      </c>
      <c r="L767" s="346"/>
      <c r="M767" s="346"/>
      <c r="N767" s="346"/>
      <c r="O767" s="345"/>
      <c r="P767" s="345"/>
      <c r="Q767" s="345"/>
      <c r="R767" s="345">
        <v>0</v>
      </c>
      <c r="S767" s="345">
        <v>53.8</v>
      </c>
      <c r="T767" s="345">
        <v>337.6</v>
      </c>
      <c r="U767" s="345">
        <v>0</v>
      </c>
      <c r="V767" s="345">
        <v>57.5</v>
      </c>
      <c r="W767" s="345">
        <v>360.5</v>
      </c>
      <c r="X767" s="345">
        <v>0</v>
      </c>
      <c r="Y767" s="345">
        <v>54</v>
      </c>
      <c r="Z767" s="345">
        <v>332.5</v>
      </c>
      <c r="AA767">
        <f t="shared" si="11"/>
        <v>0</v>
      </c>
    </row>
    <row r="768" spans="1:27" ht="28.8" x14ac:dyDescent="0.3">
      <c r="A768" s="345" t="s">
        <v>2438</v>
      </c>
      <c r="B768" s="805"/>
      <c r="C768" s="802"/>
      <c r="D768" s="802"/>
      <c r="E768" s="803"/>
      <c r="F768" s="805">
        <v>53</v>
      </c>
      <c r="G768" s="803"/>
      <c r="H768" s="345">
        <v>354.5</v>
      </c>
      <c r="I768" s="345">
        <v>0</v>
      </c>
      <c r="J768" s="345">
        <v>55</v>
      </c>
      <c r="K768" s="345">
        <v>412.5</v>
      </c>
      <c r="L768" s="346"/>
      <c r="M768" s="346"/>
      <c r="N768" s="346"/>
      <c r="O768" s="345"/>
      <c r="P768" s="345"/>
      <c r="Q768" s="345"/>
      <c r="R768" s="345">
        <v>0</v>
      </c>
      <c r="S768" s="345">
        <v>53.8</v>
      </c>
      <c r="T768" s="345">
        <v>337.6</v>
      </c>
      <c r="U768" s="345">
        <v>0</v>
      </c>
      <c r="V768" s="345">
        <v>57.5</v>
      </c>
      <c r="W768" s="345">
        <v>360.5</v>
      </c>
      <c r="X768" s="345">
        <v>0</v>
      </c>
      <c r="Y768" s="345">
        <v>54</v>
      </c>
      <c r="Z768" s="345">
        <v>332.5</v>
      </c>
      <c r="AA768">
        <f t="shared" si="11"/>
        <v>0</v>
      </c>
    </row>
    <row r="769" spans="1:27" x14ac:dyDescent="0.3">
      <c r="A769" s="369">
        <v>43867</v>
      </c>
      <c r="B769" s="345"/>
      <c r="C769" s="341"/>
      <c r="D769" s="341"/>
      <c r="E769" s="342"/>
      <c r="F769" s="345"/>
      <c r="G769" s="342"/>
      <c r="H769" s="345"/>
      <c r="I769" s="345"/>
      <c r="J769" s="345"/>
      <c r="K769" s="345"/>
      <c r="L769" s="346"/>
      <c r="M769" s="346"/>
      <c r="N769" s="346"/>
      <c r="O769" s="345"/>
      <c r="P769" s="345"/>
      <c r="Q769" s="345"/>
      <c r="R769" s="345"/>
      <c r="S769" s="345"/>
      <c r="T769" s="345"/>
      <c r="U769" s="345"/>
      <c r="V769" s="345"/>
      <c r="W769" s="345"/>
      <c r="X769" s="345"/>
      <c r="Y769" s="345"/>
      <c r="Z769" s="345"/>
    </row>
    <row r="770" spans="1:27" ht="28.8" x14ac:dyDescent="0.3">
      <c r="A770" s="345" t="s">
        <v>2439</v>
      </c>
      <c r="B770" s="805"/>
      <c r="C770" s="802"/>
      <c r="D770" s="802"/>
      <c r="E770" s="803"/>
      <c r="F770" s="805">
        <v>61</v>
      </c>
      <c r="G770" s="803"/>
      <c r="H770" s="345">
        <v>362.5</v>
      </c>
      <c r="I770" s="345">
        <v>5.5</v>
      </c>
      <c r="J770" s="345">
        <v>60.5</v>
      </c>
      <c r="K770" s="345">
        <v>418</v>
      </c>
      <c r="L770" s="346"/>
      <c r="M770" s="346"/>
      <c r="N770" s="346"/>
      <c r="O770" s="345"/>
      <c r="P770" s="345"/>
      <c r="Q770" s="345"/>
      <c r="R770" s="345">
        <v>5.2</v>
      </c>
      <c r="S770" s="345">
        <v>59</v>
      </c>
      <c r="T770" s="345">
        <v>342.8</v>
      </c>
      <c r="U770" s="345">
        <v>5.5</v>
      </c>
      <c r="V770" s="345">
        <v>63</v>
      </c>
      <c r="W770" s="345">
        <v>366</v>
      </c>
      <c r="X770" s="345">
        <v>5</v>
      </c>
      <c r="Y770" s="345">
        <v>59</v>
      </c>
      <c r="Z770" s="345">
        <v>337.5</v>
      </c>
      <c r="AA770">
        <f t="shared" si="11"/>
        <v>5.5</v>
      </c>
    </row>
    <row r="771" spans="1:27" x14ac:dyDescent="0.3">
      <c r="A771" s="369">
        <v>44235</v>
      </c>
      <c r="B771" s="345"/>
      <c r="C771" s="341"/>
      <c r="D771" s="341"/>
      <c r="E771" s="342"/>
      <c r="F771" s="345"/>
      <c r="G771" s="342"/>
      <c r="H771" s="345"/>
      <c r="I771" s="345"/>
      <c r="J771" s="345"/>
      <c r="K771" s="345"/>
      <c r="L771" s="346"/>
      <c r="M771" s="346"/>
      <c r="N771" s="346"/>
      <c r="O771" s="345"/>
      <c r="P771" s="345"/>
      <c r="Q771" s="345"/>
      <c r="R771" s="345"/>
      <c r="S771" s="345"/>
      <c r="T771" s="345"/>
      <c r="U771" s="345"/>
      <c r="V771" s="345"/>
      <c r="W771" s="345"/>
      <c r="X771" s="345"/>
      <c r="Y771" s="345"/>
      <c r="Z771" s="345"/>
    </row>
    <row r="772" spans="1:27" ht="28.8" x14ac:dyDescent="0.3">
      <c r="A772" s="345" t="s">
        <v>2440</v>
      </c>
      <c r="B772" s="805"/>
      <c r="C772" s="802"/>
      <c r="D772" s="802"/>
      <c r="E772" s="803"/>
      <c r="F772" s="805">
        <v>61</v>
      </c>
      <c r="G772" s="803"/>
      <c r="H772" s="345">
        <v>362.5</v>
      </c>
      <c r="I772" s="345">
        <v>0</v>
      </c>
      <c r="J772" s="345">
        <v>60.5</v>
      </c>
      <c r="K772" s="345">
        <v>418</v>
      </c>
      <c r="L772" s="346"/>
      <c r="M772" s="346"/>
      <c r="N772" s="346"/>
      <c r="O772" s="345"/>
      <c r="P772" s="345"/>
      <c r="Q772" s="345"/>
      <c r="R772" s="345">
        <v>0</v>
      </c>
      <c r="S772" s="345">
        <v>59</v>
      </c>
      <c r="T772" s="345">
        <v>342.8</v>
      </c>
      <c r="U772" s="345">
        <v>0</v>
      </c>
      <c r="V772" s="345">
        <v>63</v>
      </c>
      <c r="W772" s="345">
        <v>366</v>
      </c>
      <c r="X772" s="345">
        <v>0</v>
      </c>
      <c r="Y772" s="345">
        <v>59</v>
      </c>
      <c r="Z772" s="345">
        <v>337.5</v>
      </c>
      <c r="AA772">
        <f t="shared" si="11"/>
        <v>0</v>
      </c>
    </row>
    <row r="773" spans="1:27" ht="28.8" x14ac:dyDescent="0.3">
      <c r="A773" s="345" t="s">
        <v>2441</v>
      </c>
      <c r="B773" s="805"/>
      <c r="C773" s="802"/>
      <c r="D773" s="802"/>
      <c r="E773" s="803"/>
      <c r="F773" s="805">
        <v>62.5</v>
      </c>
      <c r="G773" s="803"/>
      <c r="H773" s="345">
        <v>364</v>
      </c>
      <c r="I773" s="345">
        <v>0.5</v>
      </c>
      <c r="J773" s="345">
        <v>61</v>
      </c>
      <c r="K773" s="345">
        <v>418.5</v>
      </c>
      <c r="L773" s="346"/>
      <c r="M773" s="346"/>
      <c r="N773" s="346"/>
      <c r="O773" s="345"/>
      <c r="P773" s="345"/>
      <c r="Q773" s="345"/>
      <c r="R773" s="345">
        <v>0.8</v>
      </c>
      <c r="S773" s="345">
        <v>59.8</v>
      </c>
      <c r="T773" s="345">
        <v>343.6</v>
      </c>
      <c r="U773" s="345">
        <v>1</v>
      </c>
      <c r="V773" s="345">
        <v>64</v>
      </c>
      <c r="W773" s="345">
        <v>367</v>
      </c>
      <c r="X773" s="345">
        <v>1</v>
      </c>
      <c r="Y773" s="345">
        <v>60</v>
      </c>
      <c r="Z773" s="345">
        <v>338.5</v>
      </c>
      <c r="AA773">
        <f t="shared" si="11"/>
        <v>0.5</v>
      </c>
    </row>
    <row r="774" spans="1:27" ht="28.8" x14ac:dyDescent="0.3">
      <c r="A774" s="345" t="s">
        <v>2442</v>
      </c>
      <c r="B774" s="805"/>
      <c r="C774" s="802"/>
      <c r="D774" s="802"/>
      <c r="E774" s="803"/>
      <c r="F774" s="805">
        <v>95.5</v>
      </c>
      <c r="G774" s="803"/>
      <c r="H774" s="345">
        <v>397</v>
      </c>
      <c r="I774" s="345">
        <v>25</v>
      </c>
      <c r="J774" s="345">
        <v>86</v>
      </c>
      <c r="K774" s="345">
        <v>443.5</v>
      </c>
      <c r="L774" s="346"/>
      <c r="M774" s="346"/>
      <c r="N774" s="346"/>
      <c r="O774" s="345"/>
      <c r="P774" s="345"/>
      <c r="Q774" s="345"/>
      <c r="R774" s="345">
        <v>35.4</v>
      </c>
      <c r="S774" s="345">
        <v>95.2</v>
      </c>
      <c r="T774" s="345">
        <v>379</v>
      </c>
      <c r="U774" s="345">
        <v>37.5</v>
      </c>
      <c r="V774" s="345">
        <v>101.5</v>
      </c>
      <c r="W774" s="345">
        <v>404.5</v>
      </c>
      <c r="X774" s="345">
        <v>39.5</v>
      </c>
      <c r="Y774" s="345">
        <v>99.5</v>
      </c>
      <c r="Z774" s="345">
        <v>378</v>
      </c>
      <c r="AA774">
        <f t="shared" si="11"/>
        <v>25</v>
      </c>
    </row>
    <row r="775" spans="1:27" ht="28.8" x14ac:dyDescent="0.3">
      <c r="A775" s="345" t="s">
        <v>2443</v>
      </c>
      <c r="B775" s="805"/>
      <c r="C775" s="802"/>
      <c r="D775" s="802"/>
      <c r="E775" s="803"/>
      <c r="F775" s="805">
        <v>96.5</v>
      </c>
      <c r="G775" s="803"/>
      <c r="H775" s="345">
        <v>398</v>
      </c>
      <c r="I775" s="345">
        <v>1.5</v>
      </c>
      <c r="J775" s="345">
        <v>87.5</v>
      </c>
      <c r="K775" s="345">
        <v>445</v>
      </c>
      <c r="L775" s="346"/>
      <c r="M775" s="346"/>
      <c r="N775" s="346"/>
      <c r="O775" s="345"/>
      <c r="P775" s="345"/>
      <c r="Q775" s="345"/>
      <c r="R775" s="345">
        <v>0.5</v>
      </c>
      <c r="S775" s="345">
        <v>95.7</v>
      </c>
      <c r="T775" s="345">
        <v>379.5</v>
      </c>
      <c r="U775" s="345">
        <v>0.5</v>
      </c>
      <c r="V775" s="345">
        <v>102</v>
      </c>
      <c r="W775" s="345">
        <v>405</v>
      </c>
      <c r="X775" s="345">
        <v>0.5</v>
      </c>
      <c r="Y775" s="345">
        <v>100</v>
      </c>
      <c r="Z775" s="345">
        <v>378.5</v>
      </c>
      <c r="AA775">
        <f t="shared" si="11"/>
        <v>1.5</v>
      </c>
    </row>
    <row r="776" spans="1:27" ht="28.8" x14ac:dyDescent="0.3">
      <c r="A776" s="345" t="s">
        <v>2444</v>
      </c>
      <c r="B776" s="805"/>
      <c r="C776" s="802"/>
      <c r="D776" s="802"/>
      <c r="E776" s="803"/>
      <c r="F776" s="805">
        <v>117.5</v>
      </c>
      <c r="G776" s="803"/>
      <c r="H776" s="345">
        <v>419</v>
      </c>
      <c r="I776" s="345">
        <v>25</v>
      </c>
      <c r="J776" s="345">
        <v>112.5</v>
      </c>
      <c r="K776" s="345">
        <v>470</v>
      </c>
      <c r="L776" s="346"/>
      <c r="M776" s="346"/>
      <c r="N776" s="346"/>
      <c r="O776" s="345"/>
      <c r="P776" s="345"/>
      <c r="Q776" s="345"/>
      <c r="R776" s="345">
        <v>19.399999999999999</v>
      </c>
      <c r="S776" s="345">
        <v>115.1</v>
      </c>
      <c r="T776" s="345">
        <v>398.9</v>
      </c>
      <c r="U776" s="345">
        <v>21.5</v>
      </c>
      <c r="V776" s="345">
        <v>123.5</v>
      </c>
      <c r="W776" s="345">
        <v>426.5</v>
      </c>
      <c r="X776" s="345">
        <v>22</v>
      </c>
      <c r="Y776" s="345">
        <v>122</v>
      </c>
      <c r="Z776" s="345">
        <v>400.5</v>
      </c>
      <c r="AA776">
        <f t="shared" si="11"/>
        <v>25</v>
      </c>
    </row>
    <row r="777" spans="1:27" ht="28.8" x14ac:dyDescent="0.3">
      <c r="A777" s="345" t="s">
        <v>2445</v>
      </c>
      <c r="B777" s="805"/>
      <c r="C777" s="802"/>
      <c r="D777" s="802"/>
      <c r="E777" s="803"/>
      <c r="F777" s="805">
        <v>117.5</v>
      </c>
      <c r="G777" s="803"/>
      <c r="H777" s="345">
        <v>419</v>
      </c>
      <c r="I777" s="345">
        <v>0.2</v>
      </c>
      <c r="J777" s="345">
        <v>112.7</v>
      </c>
      <c r="K777" s="345">
        <v>470.2</v>
      </c>
      <c r="L777" s="346"/>
      <c r="M777" s="346"/>
      <c r="N777" s="346"/>
      <c r="O777" s="345"/>
      <c r="P777" s="345"/>
      <c r="Q777" s="345"/>
      <c r="R777" s="345">
        <v>0.1</v>
      </c>
      <c r="S777" s="345">
        <v>115.2</v>
      </c>
      <c r="T777" s="345">
        <v>399</v>
      </c>
      <c r="U777" s="345">
        <v>0.1</v>
      </c>
      <c r="V777" s="345">
        <v>123.6</v>
      </c>
      <c r="W777" s="345">
        <v>426.6</v>
      </c>
      <c r="X777" s="345">
        <v>0</v>
      </c>
      <c r="Y777" s="345">
        <v>122</v>
      </c>
      <c r="Z777" s="345">
        <v>400.5</v>
      </c>
      <c r="AA777">
        <f t="shared" si="11"/>
        <v>0.2</v>
      </c>
    </row>
    <row r="778" spans="1:27" ht="28.8" x14ac:dyDescent="0.3">
      <c r="A778" s="345" t="s">
        <v>2446</v>
      </c>
      <c r="B778" s="805"/>
      <c r="C778" s="802"/>
      <c r="D778" s="802"/>
      <c r="E778" s="803"/>
      <c r="F778" s="805">
        <v>117.5</v>
      </c>
      <c r="G778" s="803"/>
      <c r="H778" s="345">
        <v>419</v>
      </c>
      <c r="I778" s="345">
        <v>0</v>
      </c>
      <c r="J778" s="345">
        <v>112.7</v>
      </c>
      <c r="K778" s="345">
        <v>470.2</v>
      </c>
      <c r="L778" s="346"/>
      <c r="M778" s="346"/>
      <c r="N778" s="346"/>
      <c r="O778" s="345"/>
      <c r="P778" s="345"/>
      <c r="Q778" s="345"/>
      <c r="R778" s="345">
        <v>0</v>
      </c>
      <c r="S778" s="345">
        <v>115.2</v>
      </c>
      <c r="T778" s="345">
        <v>399</v>
      </c>
      <c r="U778" s="345">
        <v>0</v>
      </c>
      <c r="V778" s="345">
        <v>123.6</v>
      </c>
      <c r="W778" s="345">
        <v>426.6</v>
      </c>
      <c r="X778" s="345">
        <v>0</v>
      </c>
      <c r="Y778" s="345">
        <v>122</v>
      </c>
      <c r="Z778" s="345">
        <v>400.5</v>
      </c>
      <c r="AA778">
        <f t="shared" si="11"/>
        <v>0</v>
      </c>
    </row>
    <row r="779" spans="1:27" ht="28.8" x14ac:dyDescent="0.3">
      <c r="A779" s="345" t="s">
        <v>2447</v>
      </c>
      <c r="B779" s="805"/>
      <c r="C779" s="802"/>
      <c r="D779" s="802"/>
      <c r="E779" s="803"/>
      <c r="F779" s="805">
        <v>120.5</v>
      </c>
      <c r="G779" s="803"/>
      <c r="H779" s="345">
        <v>422</v>
      </c>
      <c r="I779" s="345">
        <v>1.5</v>
      </c>
      <c r="J779" s="345">
        <v>114.2</v>
      </c>
      <c r="K779" s="345">
        <v>471.7</v>
      </c>
      <c r="L779" s="346"/>
      <c r="M779" s="346"/>
      <c r="N779" s="346"/>
      <c r="O779" s="345"/>
      <c r="P779" s="345"/>
      <c r="Q779" s="345"/>
      <c r="R779" s="345">
        <v>0.6</v>
      </c>
      <c r="S779" s="345">
        <v>115.8</v>
      </c>
      <c r="T779" s="345">
        <v>399.6</v>
      </c>
      <c r="U779" s="345">
        <v>1</v>
      </c>
      <c r="V779" s="345">
        <v>124.6</v>
      </c>
      <c r="W779" s="345">
        <v>427.6</v>
      </c>
      <c r="X779" s="345">
        <v>1.5</v>
      </c>
      <c r="Y779" s="345">
        <v>123.5</v>
      </c>
      <c r="Z779" s="345">
        <v>402</v>
      </c>
      <c r="AA779">
        <f t="shared" ref="AA779:AA842" si="12">MAX(B779+I779+L779+O779)</f>
        <v>1.5</v>
      </c>
    </row>
    <row r="780" spans="1:27" ht="28.8" x14ac:dyDescent="0.3">
      <c r="A780" s="345" t="s">
        <v>2448</v>
      </c>
      <c r="B780" s="805"/>
      <c r="C780" s="802"/>
      <c r="D780" s="802"/>
      <c r="E780" s="803"/>
      <c r="F780" s="805">
        <v>129.5</v>
      </c>
      <c r="G780" s="803"/>
      <c r="H780" s="345">
        <v>431</v>
      </c>
      <c r="I780" s="345">
        <v>7.5</v>
      </c>
      <c r="J780" s="345">
        <v>121.7</v>
      </c>
      <c r="K780" s="345">
        <v>479.2</v>
      </c>
      <c r="L780" s="346"/>
      <c r="M780" s="346"/>
      <c r="N780" s="346"/>
      <c r="O780" s="345"/>
      <c r="P780" s="345"/>
      <c r="Q780" s="345"/>
      <c r="R780" s="345">
        <v>5</v>
      </c>
      <c r="S780" s="345">
        <v>120.8</v>
      </c>
      <c r="T780" s="345">
        <v>404.6</v>
      </c>
      <c r="U780" s="345">
        <v>6.5</v>
      </c>
      <c r="V780" s="345">
        <v>131.1</v>
      </c>
      <c r="W780" s="345">
        <v>434.1</v>
      </c>
      <c r="X780" s="345">
        <v>6</v>
      </c>
      <c r="Y780" s="345">
        <v>129.5</v>
      </c>
      <c r="Z780" s="345">
        <v>408</v>
      </c>
      <c r="AA780">
        <f t="shared" si="12"/>
        <v>7.5</v>
      </c>
    </row>
    <row r="781" spans="1:27" ht="28.8" x14ac:dyDescent="0.3">
      <c r="A781" s="345" t="s">
        <v>2449</v>
      </c>
      <c r="B781" s="805"/>
      <c r="C781" s="802"/>
      <c r="D781" s="802"/>
      <c r="E781" s="803"/>
      <c r="F781" s="805">
        <v>131</v>
      </c>
      <c r="G781" s="803"/>
      <c r="H781" s="345">
        <v>432.5</v>
      </c>
      <c r="I781" s="345">
        <v>2</v>
      </c>
      <c r="J781" s="345">
        <v>123.7</v>
      </c>
      <c r="K781" s="345">
        <v>481.2</v>
      </c>
      <c r="L781" s="346"/>
      <c r="M781" s="346"/>
      <c r="N781" s="346"/>
      <c r="O781" s="345"/>
      <c r="P781" s="345"/>
      <c r="Q781" s="345"/>
      <c r="R781" s="345">
        <v>2.8</v>
      </c>
      <c r="S781" s="345">
        <v>123.6</v>
      </c>
      <c r="T781" s="345">
        <v>407.4</v>
      </c>
      <c r="U781" s="345">
        <v>3</v>
      </c>
      <c r="V781" s="345">
        <v>134.1</v>
      </c>
      <c r="W781" s="345">
        <v>437.1</v>
      </c>
      <c r="X781" s="345">
        <v>3.5</v>
      </c>
      <c r="Y781" s="345">
        <v>133</v>
      </c>
      <c r="Z781" s="345">
        <v>411.5</v>
      </c>
      <c r="AA781">
        <f t="shared" si="12"/>
        <v>2</v>
      </c>
    </row>
    <row r="782" spans="1:27" ht="28.8" x14ac:dyDescent="0.3">
      <c r="A782" s="345" t="s">
        <v>2450</v>
      </c>
      <c r="B782" s="805"/>
      <c r="C782" s="802"/>
      <c r="D782" s="802"/>
      <c r="E782" s="803"/>
      <c r="F782" s="805">
        <v>131.5</v>
      </c>
      <c r="G782" s="803"/>
      <c r="H782" s="345">
        <v>433</v>
      </c>
      <c r="I782" s="345">
        <v>0.5</v>
      </c>
      <c r="J782" s="345">
        <v>124.2</v>
      </c>
      <c r="K782" s="345">
        <v>481.7</v>
      </c>
      <c r="L782" s="346"/>
      <c r="M782" s="346"/>
      <c r="N782" s="346"/>
      <c r="O782" s="345"/>
      <c r="P782" s="345"/>
      <c r="Q782" s="345"/>
      <c r="R782" s="345">
        <v>0.4</v>
      </c>
      <c r="S782" s="345">
        <v>124</v>
      </c>
      <c r="T782" s="345">
        <v>407.8</v>
      </c>
      <c r="U782" s="345">
        <v>0.5</v>
      </c>
      <c r="V782" s="345">
        <v>134.6</v>
      </c>
      <c r="W782" s="345">
        <v>437.6</v>
      </c>
      <c r="X782" s="345">
        <v>0.5</v>
      </c>
      <c r="Y782" s="345">
        <v>133.5</v>
      </c>
      <c r="Z782" s="345">
        <v>412</v>
      </c>
      <c r="AA782">
        <f t="shared" si="12"/>
        <v>0.5</v>
      </c>
    </row>
    <row r="783" spans="1:27" ht="28.8" x14ac:dyDescent="0.3">
      <c r="A783" s="345" t="s">
        <v>2451</v>
      </c>
      <c r="B783" s="805"/>
      <c r="C783" s="802"/>
      <c r="D783" s="802"/>
      <c r="E783" s="803"/>
      <c r="F783" s="805">
        <v>131.5</v>
      </c>
      <c r="G783" s="803"/>
      <c r="H783" s="345">
        <v>433</v>
      </c>
      <c r="I783" s="345">
        <v>0</v>
      </c>
      <c r="J783" s="345">
        <v>124.2</v>
      </c>
      <c r="K783" s="345">
        <v>481.7</v>
      </c>
      <c r="L783" s="346"/>
      <c r="M783" s="346"/>
      <c r="N783" s="346"/>
      <c r="O783" s="345"/>
      <c r="P783" s="345"/>
      <c r="Q783" s="345"/>
      <c r="R783" s="345">
        <v>0</v>
      </c>
      <c r="S783" s="345">
        <v>124</v>
      </c>
      <c r="T783" s="345">
        <v>407.8</v>
      </c>
      <c r="U783" s="345">
        <v>0</v>
      </c>
      <c r="V783" s="345">
        <v>134.6</v>
      </c>
      <c r="W783" s="345">
        <v>437.6</v>
      </c>
      <c r="X783" s="345">
        <v>0</v>
      </c>
      <c r="Y783" s="345">
        <v>133.5</v>
      </c>
      <c r="Z783" s="345">
        <v>412</v>
      </c>
      <c r="AA783">
        <f t="shared" si="12"/>
        <v>0</v>
      </c>
    </row>
    <row r="784" spans="1:27" ht="28.8" x14ac:dyDescent="0.3">
      <c r="A784" s="345" t="s">
        <v>2452</v>
      </c>
      <c r="B784" s="805"/>
      <c r="C784" s="802"/>
      <c r="D784" s="802"/>
      <c r="E784" s="803"/>
      <c r="F784" s="805">
        <v>131.5</v>
      </c>
      <c r="G784" s="803"/>
      <c r="H784" s="345">
        <v>433</v>
      </c>
      <c r="I784" s="345">
        <v>0</v>
      </c>
      <c r="J784" s="345">
        <v>124.2</v>
      </c>
      <c r="K784" s="345">
        <v>481.7</v>
      </c>
      <c r="L784" s="346"/>
      <c r="M784" s="346"/>
      <c r="N784" s="346"/>
      <c r="O784" s="345"/>
      <c r="P784" s="345"/>
      <c r="Q784" s="345"/>
      <c r="R784" s="345">
        <v>0</v>
      </c>
      <c r="S784" s="345">
        <v>124</v>
      </c>
      <c r="T784" s="345">
        <v>407.8</v>
      </c>
      <c r="U784" s="345">
        <v>0</v>
      </c>
      <c r="V784" s="345">
        <v>134.6</v>
      </c>
      <c r="W784" s="345">
        <v>437.6</v>
      </c>
      <c r="X784" s="345">
        <v>0</v>
      </c>
      <c r="Y784" s="345">
        <v>133.5</v>
      </c>
      <c r="Z784" s="345">
        <v>412</v>
      </c>
      <c r="AA784">
        <f t="shared" si="12"/>
        <v>0</v>
      </c>
    </row>
    <row r="785" spans="1:27" ht="28.8" x14ac:dyDescent="0.3">
      <c r="A785" s="345" t="s">
        <v>2453</v>
      </c>
      <c r="B785" s="805"/>
      <c r="C785" s="802"/>
      <c r="D785" s="802"/>
      <c r="E785" s="803"/>
      <c r="F785" s="805">
        <v>131.5</v>
      </c>
      <c r="G785" s="803"/>
      <c r="H785" s="345">
        <v>433</v>
      </c>
      <c r="I785" s="345">
        <v>0</v>
      </c>
      <c r="J785" s="345">
        <v>124.2</v>
      </c>
      <c r="K785" s="345">
        <v>481.7</v>
      </c>
      <c r="L785" s="346"/>
      <c r="M785" s="346"/>
      <c r="N785" s="346"/>
      <c r="O785" s="345"/>
      <c r="P785" s="345"/>
      <c r="Q785" s="345"/>
      <c r="R785" s="345">
        <v>0</v>
      </c>
      <c r="S785" s="345">
        <v>124</v>
      </c>
      <c r="T785" s="345">
        <v>407.8</v>
      </c>
      <c r="U785" s="345">
        <v>0</v>
      </c>
      <c r="V785" s="345">
        <v>134.6</v>
      </c>
      <c r="W785" s="345">
        <v>437.6</v>
      </c>
      <c r="X785" s="345">
        <v>0</v>
      </c>
      <c r="Y785" s="345">
        <v>133.5</v>
      </c>
      <c r="Z785" s="345">
        <v>412</v>
      </c>
      <c r="AA785">
        <f t="shared" si="12"/>
        <v>0</v>
      </c>
    </row>
    <row r="786" spans="1:27" ht="28.8" x14ac:dyDescent="0.3">
      <c r="A786" s="345" t="s">
        <v>2454</v>
      </c>
      <c r="B786" s="805"/>
      <c r="C786" s="802"/>
      <c r="D786" s="802"/>
      <c r="E786" s="803"/>
      <c r="F786" s="805">
        <v>132.5</v>
      </c>
      <c r="G786" s="803"/>
      <c r="H786" s="345">
        <v>434</v>
      </c>
      <c r="I786" s="345">
        <v>0.5</v>
      </c>
      <c r="J786" s="345">
        <v>124.7</v>
      </c>
      <c r="K786" s="345">
        <v>482.2</v>
      </c>
      <c r="L786" s="346"/>
      <c r="M786" s="346"/>
      <c r="N786" s="346"/>
      <c r="O786" s="345"/>
      <c r="P786" s="345"/>
      <c r="Q786" s="345"/>
      <c r="R786" s="345">
        <v>0.8</v>
      </c>
      <c r="S786" s="345">
        <v>124.8</v>
      </c>
      <c r="T786" s="345">
        <v>408.6</v>
      </c>
      <c r="U786" s="345">
        <v>1</v>
      </c>
      <c r="V786" s="345">
        <v>135.6</v>
      </c>
      <c r="W786" s="345">
        <v>438.6</v>
      </c>
      <c r="X786" s="345">
        <v>1</v>
      </c>
      <c r="Y786" s="345">
        <v>134.5</v>
      </c>
      <c r="Z786" s="345">
        <v>413</v>
      </c>
      <c r="AA786">
        <f t="shared" si="12"/>
        <v>0.5</v>
      </c>
    </row>
    <row r="787" spans="1:27" ht="28.8" x14ac:dyDescent="0.3">
      <c r="A787" s="345" t="s">
        <v>2455</v>
      </c>
      <c r="B787" s="805"/>
      <c r="C787" s="802"/>
      <c r="D787" s="802"/>
      <c r="E787" s="803"/>
      <c r="F787" s="805">
        <v>133</v>
      </c>
      <c r="G787" s="803"/>
      <c r="H787" s="345">
        <v>434.5</v>
      </c>
      <c r="I787" s="345">
        <v>2</v>
      </c>
      <c r="J787" s="345">
        <v>126.7</v>
      </c>
      <c r="K787" s="345">
        <v>484.2</v>
      </c>
      <c r="L787" s="346"/>
      <c r="M787" s="346"/>
      <c r="N787" s="346"/>
      <c r="O787" s="345"/>
      <c r="P787" s="345"/>
      <c r="Q787" s="345"/>
      <c r="R787" s="345">
        <v>0.4</v>
      </c>
      <c r="S787" s="345">
        <v>125.2</v>
      </c>
      <c r="T787" s="345">
        <v>409</v>
      </c>
      <c r="U787" s="345">
        <v>1</v>
      </c>
      <c r="V787" s="345">
        <v>136.6</v>
      </c>
      <c r="W787" s="345">
        <v>439.6</v>
      </c>
      <c r="X787" s="345">
        <v>1</v>
      </c>
      <c r="Y787" s="345">
        <v>135.5</v>
      </c>
      <c r="Z787" s="345">
        <v>414</v>
      </c>
      <c r="AA787">
        <f t="shared" si="12"/>
        <v>2</v>
      </c>
    </row>
    <row r="788" spans="1:27" ht="28.8" x14ac:dyDescent="0.3">
      <c r="A788" s="345" t="s">
        <v>2456</v>
      </c>
      <c r="B788" s="805"/>
      <c r="C788" s="802"/>
      <c r="D788" s="802"/>
      <c r="E788" s="803"/>
      <c r="F788" s="805">
        <v>133</v>
      </c>
      <c r="G788" s="803"/>
      <c r="H788" s="345">
        <v>434.5</v>
      </c>
      <c r="I788" s="345">
        <v>0</v>
      </c>
      <c r="J788" s="345">
        <v>126.7</v>
      </c>
      <c r="K788" s="345">
        <v>484.2</v>
      </c>
      <c r="L788" s="346"/>
      <c r="M788" s="346"/>
      <c r="N788" s="346"/>
      <c r="O788" s="345"/>
      <c r="P788" s="345"/>
      <c r="Q788" s="345"/>
      <c r="R788" s="345">
        <v>0</v>
      </c>
      <c r="S788" s="345">
        <v>125.2</v>
      </c>
      <c r="T788" s="345">
        <v>409</v>
      </c>
      <c r="U788" s="345">
        <v>0.3</v>
      </c>
      <c r="V788" s="345">
        <v>136.9</v>
      </c>
      <c r="W788" s="345">
        <v>439.9</v>
      </c>
      <c r="X788" s="345">
        <v>0.2</v>
      </c>
      <c r="Y788" s="345">
        <v>135.69999999999999</v>
      </c>
      <c r="Z788" s="345">
        <v>414.2</v>
      </c>
      <c r="AA788">
        <f t="shared" si="12"/>
        <v>0</v>
      </c>
    </row>
    <row r="789" spans="1:27" ht="28.8" x14ac:dyDescent="0.3">
      <c r="A789" s="345" t="s">
        <v>2457</v>
      </c>
      <c r="B789" s="805"/>
      <c r="C789" s="802"/>
      <c r="D789" s="802"/>
      <c r="E789" s="803"/>
      <c r="F789" s="805">
        <v>134.5</v>
      </c>
      <c r="G789" s="803"/>
      <c r="H789" s="345">
        <v>436</v>
      </c>
      <c r="I789" s="345">
        <v>7</v>
      </c>
      <c r="J789" s="345">
        <v>133.69999999999999</v>
      </c>
      <c r="K789" s="345">
        <v>491.2</v>
      </c>
      <c r="L789" s="346"/>
      <c r="M789" s="346"/>
      <c r="N789" s="346"/>
      <c r="O789" s="345"/>
      <c r="P789" s="345"/>
      <c r="Q789" s="345"/>
      <c r="R789" s="345">
        <v>3.2</v>
      </c>
      <c r="S789" s="345">
        <v>128.4</v>
      </c>
      <c r="T789" s="345">
        <v>412.2</v>
      </c>
      <c r="U789" s="345">
        <v>4</v>
      </c>
      <c r="V789" s="345">
        <v>140.9</v>
      </c>
      <c r="W789" s="345">
        <v>443.9</v>
      </c>
      <c r="X789" s="345">
        <v>3.5</v>
      </c>
      <c r="Y789" s="345">
        <v>139.19999999999999</v>
      </c>
      <c r="Z789" s="345">
        <v>417.7</v>
      </c>
      <c r="AA789">
        <f t="shared" si="12"/>
        <v>7</v>
      </c>
    </row>
    <row r="790" spans="1:27" ht="28.8" x14ac:dyDescent="0.3">
      <c r="A790" s="345" t="s">
        <v>2458</v>
      </c>
      <c r="B790" s="805"/>
      <c r="C790" s="802"/>
      <c r="D790" s="802"/>
      <c r="E790" s="803"/>
      <c r="F790" s="805">
        <v>134.5</v>
      </c>
      <c r="G790" s="803"/>
      <c r="H790" s="345">
        <v>436</v>
      </c>
      <c r="I790" s="345">
        <v>0</v>
      </c>
      <c r="J790" s="345">
        <v>133.69999999999999</v>
      </c>
      <c r="K790" s="345">
        <v>491.2</v>
      </c>
      <c r="L790" s="346"/>
      <c r="M790" s="346"/>
      <c r="N790" s="346"/>
      <c r="O790" s="345"/>
      <c r="P790" s="345"/>
      <c r="Q790" s="345"/>
      <c r="R790" s="345">
        <v>0</v>
      </c>
      <c r="S790" s="345">
        <v>128.4</v>
      </c>
      <c r="T790" s="345">
        <v>412.2</v>
      </c>
      <c r="U790" s="345">
        <v>0</v>
      </c>
      <c r="V790" s="345">
        <v>140.9</v>
      </c>
      <c r="W790" s="345">
        <v>443.9</v>
      </c>
      <c r="X790" s="345">
        <v>0</v>
      </c>
      <c r="Y790" s="345">
        <v>139.19999999999999</v>
      </c>
      <c r="Z790" s="345">
        <v>417.7</v>
      </c>
      <c r="AA790">
        <f t="shared" si="12"/>
        <v>0</v>
      </c>
    </row>
    <row r="791" spans="1:27" ht="28.8" x14ac:dyDescent="0.3">
      <c r="A791" s="345" t="s">
        <v>2459</v>
      </c>
      <c r="B791" s="805"/>
      <c r="C791" s="802"/>
      <c r="D791" s="802"/>
      <c r="E791" s="803"/>
      <c r="F791" s="805">
        <v>134.5</v>
      </c>
      <c r="G791" s="803"/>
      <c r="H791" s="345">
        <v>436</v>
      </c>
      <c r="I791" s="345">
        <v>0</v>
      </c>
      <c r="J791" s="345">
        <v>133.69999999999999</v>
      </c>
      <c r="K791" s="345">
        <v>491.2</v>
      </c>
      <c r="L791" s="346"/>
      <c r="M791" s="346"/>
      <c r="N791" s="346"/>
      <c r="O791" s="345"/>
      <c r="P791" s="345"/>
      <c r="Q791" s="345"/>
      <c r="R791" s="345">
        <v>0</v>
      </c>
      <c r="S791" s="345">
        <v>128.4</v>
      </c>
      <c r="T791" s="345">
        <v>412.2</v>
      </c>
      <c r="U791" s="345">
        <v>0</v>
      </c>
      <c r="V791" s="345">
        <v>140.9</v>
      </c>
      <c r="W791" s="345">
        <v>443.9</v>
      </c>
      <c r="X791" s="345">
        <v>0</v>
      </c>
      <c r="Y791" s="345">
        <v>139.19999999999999</v>
      </c>
      <c r="Z791" s="345">
        <v>417.7</v>
      </c>
      <c r="AA791">
        <f t="shared" si="12"/>
        <v>0</v>
      </c>
    </row>
    <row r="792" spans="1:27" s="362" customFormat="1" ht="28.8" x14ac:dyDescent="0.3">
      <c r="A792" s="359" t="s">
        <v>2460</v>
      </c>
      <c r="B792" s="811"/>
      <c r="C792" s="812"/>
      <c r="D792" s="812"/>
      <c r="E792" s="813"/>
      <c r="F792" s="811">
        <v>134.5</v>
      </c>
      <c r="G792" s="813"/>
      <c r="H792" s="359">
        <v>436</v>
      </c>
      <c r="I792" s="359">
        <v>0</v>
      </c>
      <c r="J792" s="359">
        <v>133.69999999999999</v>
      </c>
      <c r="K792" s="359">
        <v>491.2</v>
      </c>
      <c r="L792" s="359"/>
      <c r="M792" s="359"/>
      <c r="N792" s="359"/>
      <c r="O792" s="359"/>
      <c r="P792" s="359"/>
      <c r="Q792" s="359"/>
      <c r="R792" s="359">
        <v>0</v>
      </c>
      <c r="S792" s="359">
        <v>128.4</v>
      </c>
      <c r="T792" s="359">
        <v>412.2</v>
      </c>
      <c r="U792" s="359">
        <v>0</v>
      </c>
      <c r="V792" s="359">
        <v>140.9</v>
      </c>
      <c r="W792" s="359">
        <v>443.9</v>
      </c>
      <c r="X792" s="359">
        <v>0</v>
      </c>
      <c r="Y792" s="359">
        <v>139.19999999999999</v>
      </c>
      <c r="Z792" s="359">
        <v>417.7</v>
      </c>
      <c r="AA792" s="362">
        <f t="shared" si="12"/>
        <v>0</v>
      </c>
    </row>
    <row r="793" spans="1:27" ht="28.8" x14ac:dyDescent="0.3">
      <c r="A793" s="345" t="s">
        <v>2461</v>
      </c>
      <c r="B793" s="805"/>
      <c r="C793" s="802"/>
      <c r="D793" s="802"/>
      <c r="E793" s="803"/>
      <c r="F793" s="805">
        <v>1</v>
      </c>
      <c r="G793" s="803"/>
      <c r="H793" s="345">
        <v>437</v>
      </c>
      <c r="I793" s="345">
        <v>1.5</v>
      </c>
      <c r="J793" s="345">
        <v>1.5</v>
      </c>
      <c r="K793" s="345">
        <v>492.7</v>
      </c>
      <c r="L793" s="346"/>
      <c r="M793" s="346"/>
      <c r="N793" s="346"/>
      <c r="O793" s="345"/>
      <c r="P793" s="345"/>
      <c r="Q793" s="345"/>
      <c r="R793" s="345">
        <v>2</v>
      </c>
      <c r="S793" s="345">
        <v>2</v>
      </c>
      <c r="T793" s="345">
        <v>414.2</v>
      </c>
      <c r="U793" s="345">
        <v>2</v>
      </c>
      <c r="V793" s="345">
        <v>2</v>
      </c>
      <c r="W793" s="345">
        <v>445.9</v>
      </c>
      <c r="X793" s="345">
        <v>1</v>
      </c>
      <c r="Y793" s="345">
        <v>1</v>
      </c>
      <c r="Z793" s="345">
        <v>418.7</v>
      </c>
      <c r="AA793">
        <f t="shared" si="12"/>
        <v>1.5</v>
      </c>
    </row>
    <row r="794" spans="1:27" ht="28.8" x14ac:dyDescent="0.3">
      <c r="A794" s="345" t="s">
        <v>2462</v>
      </c>
      <c r="B794" s="805"/>
      <c r="C794" s="802"/>
      <c r="D794" s="802"/>
      <c r="E794" s="803"/>
      <c r="F794" s="805">
        <v>2</v>
      </c>
      <c r="G794" s="803"/>
      <c r="H794" s="345">
        <v>438</v>
      </c>
      <c r="I794" s="345">
        <v>1.5</v>
      </c>
      <c r="J794" s="345">
        <v>3</v>
      </c>
      <c r="K794" s="345">
        <v>494.2</v>
      </c>
      <c r="L794" s="346"/>
      <c r="M794" s="346"/>
      <c r="N794" s="346"/>
      <c r="O794" s="345"/>
      <c r="P794" s="345"/>
      <c r="Q794" s="345"/>
      <c r="R794" s="345">
        <v>0.6</v>
      </c>
      <c r="S794" s="345">
        <v>2.6</v>
      </c>
      <c r="T794" s="345">
        <v>414.8</v>
      </c>
      <c r="U794" s="345">
        <v>0.5</v>
      </c>
      <c r="V794" s="345">
        <v>2.5</v>
      </c>
      <c r="W794" s="345">
        <v>446.4</v>
      </c>
      <c r="X794" s="345">
        <v>2</v>
      </c>
      <c r="Y794" s="345">
        <v>3</v>
      </c>
      <c r="Z794" s="345">
        <v>420.7</v>
      </c>
      <c r="AA794">
        <f t="shared" si="12"/>
        <v>1.5</v>
      </c>
    </row>
    <row r="795" spans="1:27" ht="28.8" x14ac:dyDescent="0.3">
      <c r="A795" s="345" t="s">
        <v>2463</v>
      </c>
      <c r="B795" s="805"/>
      <c r="C795" s="802"/>
      <c r="D795" s="802"/>
      <c r="E795" s="803"/>
      <c r="F795" s="805">
        <v>2</v>
      </c>
      <c r="G795" s="803"/>
      <c r="H795" s="345">
        <v>438</v>
      </c>
      <c r="I795" s="345">
        <v>0</v>
      </c>
      <c r="J795" s="345">
        <v>3</v>
      </c>
      <c r="K795" s="345">
        <v>494.2</v>
      </c>
      <c r="L795" s="346"/>
      <c r="M795" s="346"/>
      <c r="N795" s="346"/>
      <c r="O795" s="345"/>
      <c r="P795" s="345"/>
      <c r="Q795" s="345"/>
      <c r="R795" s="345">
        <v>0</v>
      </c>
      <c r="S795" s="345">
        <v>2.6</v>
      </c>
      <c r="T795" s="345">
        <v>414.8</v>
      </c>
      <c r="U795" s="345">
        <v>0</v>
      </c>
      <c r="V795" s="345">
        <v>2.5</v>
      </c>
      <c r="W795" s="345">
        <v>446.4</v>
      </c>
      <c r="X795" s="345">
        <v>0</v>
      </c>
      <c r="Y795" s="345">
        <v>3</v>
      </c>
      <c r="Z795" s="345">
        <v>420.7</v>
      </c>
      <c r="AA795">
        <f t="shared" si="12"/>
        <v>0</v>
      </c>
    </row>
    <row r="796" spans="1:27" ht="28.8" x14ac:dyDescent="0.3">
      <c r="A796" s="345" t="s">
        <v>2464</v>
      </c>
      <c r="B796" s="805"/>
      <c r="C796" s="802"/>
      <c r="D796" s="802"/>
      <c r="E796" s="803"/>
      <c r="F796" s="805">
        <v>74</v>
      </c>
      <c r="G796" s="803"/>
      <c r="H796" s="345">
        <v>510</v>
      </c>
      <c r="I796" s="345">
        <v>106</v>
      </c>
      <c r="J796" s="345">
        <v>109</v>
      </c>
      <c r="K796" s="345">
        <v>600.20000000000005</v>
      </c>
      <c r="L796" s="346"/>
      <c r="M796" s="346"/>
      <c r="N796" s="346"/>
      <c r="O796" s="345"/>
      <c r="P796" s="345"/>
      <c r="Q796" s="345"/>
      <c r="R796" s="345">
        <v>48</v>
      </c>
      <c r="S796" s="345">
        <v>50.6</v>
      </c>
      <c r="T796" s="345">
        <v>462.8</v>
      </c>
      <c r="U796" s="345">
        <v>52.5</v>
      </c>
      <c r="V796" s="345">
        <v>55</v>
      </c>
      <c r="W796" s="345">
        <v>498.9</v>
      </c>
      <c r="X796" s="345">
        <v>36</v>
      </c>
      <c r="Y796" s="345">
        <v>39</v>
      </c>
      <c r="Z796" s="345">
        <v>456.7</v>
      </c>
      <c r="AA796">
        <f t="shared" si="12"/>
        <v>106</v>
      </c>
    </row>
    <row r="797" spans="1:27" ht="28.8" x14ac:dyDescent="0.3">
      <c r="A797" s="345" t="s">
        <v>2465</v>
      </c>
      <c r="B797" s="805"/>
      <c r="C797" s="802"/>
      <c r="D797" s="802"/>
      <c r="E797" s="803"/>
      <c r="F797" s="805">
        <v>80</v>
      </c>
      <c r="G797" s="803"/>
      <c r="H797" s="345">
        <v>516</v>
      </c>
      <c r="I797" s="345">
        <v>22</v>
      </c>
      <c r="J797" s="345">
        <v>131</v>
      </c>
      <c r="K797" s="345">
        <v>622.20000000000005</v>
      </c>
      <c r="L797" s="346"/>
      <c r="M797" s="346"/>
      <c r="N797" s="346"/>
      <c r="O797" s="345"/>
      <c r="P797" s="345"/>
      <c r="Q797" s="345"/>
      <c r="R797" s="345">
        <v>3</v>
      </c>
      <c r="S797" s="345">
        <v>53.6</v>
      </c>
      <c r="T797" s="345">
        <v>465.8</v>
      </c>
      <c r="U797" s="345">
        <v>3</v>
      </c>
      <c r="V797" s="345">
        <v>58</v>
      </c>
      <c r="W797" s="345">
        <v>501.9</v>
      </c>
      <c r="X797" s="345">
        <v>2</v>
      </c>
      <c r="Y797" s="345">
        <v>41</v>
      </c>
      <c r="Z797" s="345">
        <v>458.7</v>
      </c>
      <c r="AA797">
        <f t="shared" si="12"/>
        <v>22</v>
      </c>
    </row>
    <row r="798" spans="1:27" ht="28.8" x14ac:dyDescent="0.3">
      <c r="A798" s="345" t="s">
        <v>2466</v>
      </c>
      <c r="B798" s="805"/>
      <c r="C798" s="802"/>
      <c r="D798" s="802"/>
      <c r="E798" s="803"/>
      <c r="F798" s="805">
        <v>95.5</v>
      </c>
      <c r="G798" s="803"/>
      <c r="H798" s="345">
        <v>531.5</v>
      </c>
      <c r="I798" s="345">
        <v>15.5</v>
      </c>
      <c r="J798" s="345">
        <v>146.5</v>
      </c>
      <c r="K798" s="345">
        <v>637.70000000000005</v>
      </c>
      <c r="L798" s="346"/>
      <c r="M798" s="346"/>
      <c r="N798" s="346"/>
      <c r="O798" s="345"/>
      <c r="P798" s="345"/>
      <c r="Q798" s="345"/>
      <c r="R798" s="345">
        <v>15</v>
      </c>
      <c r="S798" s="345">
        <v>68.599999999999994</v>
      </c>
      <c r="T798" s="345">
        <v>480.8</v>
      </c>
      <c r="U798" s="345">
        <v>20</v>
      </c>
      <c r="V798" s="345">
        <v>78</v>
      </c>
      <c r="W798" s="345">
        <v>521.9</v>
      </c>
      <c r="X798" s="345">
        <v>16</v>
      </c>
      <c r="Y798" s="345">
        <v>57</v>
      </c>
      <c r="Z798" s="345">
        <v>474.7</v>
      </c>
      <c r="AA798">
        <f t="shared" si="12"/>
        <v>15.5</v>
      </c>
    </row>
    <row r="799" spans="1:27" ht="28.8" x14ac:dyDescent="0.3">
      <c r="A799" s="345" t="s">
        <v>2467</v>
      </c>
      <c r="B799" s="805"/>
      <c r="C799" s="802"/>
      <c r="D799" s="802"/>
      <c r="E799" s="803"/>
      <c r="F799" s="805">
        <v>96</v>
      </c>
      <c r="G799" s="803"/>
      <c r="H799" s="345">
        <v>532</v>
      </c>
      <c r="I799" s="345">
        <v>0.5</v>
      </c>
      <c r="J799" s="345">
        <v>147</v>
      </c>
      <c r="K799" s="345">
        <v>638.20000000000005</v>
      </c>
      <c r="L799" s="346"/>
      <c r="M799" s="346"/>
      <c r="N799" s="346"/>
      <c r="O799" s="345"/>
      <c r="P799" s="345"/>
      <c r="Q799" s="345"/>
      <c r="R799" s="345">
        <v>0.7</v>
      </c>
      <c r="S799" s="345">
        <v>69.3</v>
      </c>
      <c r="T799" s="345">
        <v>481.5</v>
      </c>
      <c r="U799" s="345">
        <v>0.5</v>
      </c>
      <c r="V799" s="345">
        <v>78.5</v>
      </c>
      <c r="W799" s="345">
        <v>522.4</v>
      </c>
      <c r="X799" s="345">
        <v>0.5</v>
      </c>
      <c r="Y799" s="345">
        <v>57.5</v>
      </c>
      <c r="Z799" s="345">
        <v>475.2</v>
      </c>
      <c r="AA799">
        <f t="shared" si="12"/>
        <v>0.5</v>
      </c>
    </row>
    <row r="800" spans="1:27" ht="28.8" x14ac:dyDescent="0.3">
      <c r="A800" s="345" t="s">
        <v>2468</v>
      </c>
      <c r="B800" s="805"/>
      <c r="C800" s="802"/>
      <c r="D800" s="802"/>
      <c r="E800" s="803"/>
      <c r="F800" s="805">
        <v>96</v>
      </c>
      <c r="G800" s="803"/>
      <c r="H800" s="345">
        <v>532</v>
      </c>
      <c r="I800" s="345">
        <v>0</v>
      </c>
      <c r="J800" s="345">
        <v>147</v>
      </c>
      <c r="K800" s="345">
        <v>638.20000000000005</v>
      </c>
      <c r="L800" s="346"/>
      <c r="M800" s="346"/>
      <c r="N800" s="346"/>
      <c r="O800" s="345"/>
      <c r="P800" s="345"/>
      <c r="Q800" s="345"/>
      <c r="R800" s="345">
        <v>0</v>
      </c>
      <c r="S800" s="345">
        <v>69.3</v>
      </c>
      <c r="T800" s="345">
        <v>481.5</v>
      </c>
      <c r="U800" s="345">
        <v>0</v>
      </c>
      <c r="V800" s="345">
        <v>78.5</v>
      </c>
      <c r="W800" s="345">
        <v>522.4</v>
      </c>
      <c r="X800" s="345">
        <v>0</v>
      </c>
      <c r="Y800" s="345">
        <v>57.5</v>
      </c>
      <c r="Z800" s="345">
        <v>475.2</v>
      </c>
      <c r="AA800">
        <f t="shared" si="12"/>
        <v>0</v>
      </c>
    </row>
    <row r="801" spans="1:27" ht="28.8" x14ac:dyDescent="0.3">
      <c r="A801" s="345" t="s">
        <v>2469</v>
      </c>
      <c r="B801" s="805"/>
      <c r="C801" s="802"/>
      <c r="D801" s="802"/>
      <c r="E801" s="803"/>
      <c r="F801" s="805">
        <v>139</v>
      </c>
      <c r="G801" s="803"/>
      <c r="H801" s="345">
        <v>575</v>
      </c>
      <c r="I801" s="345">
        <v>34.5</v>
      </c>
      <c r="J801" s="345">
        <v>181.5</v>
      </c>
      <c r="K801" s="345">
        <v>672.7</v>
      </c>
      <c r="L801" s="346"/>
      <c r="M801" s="346"/>
      <c r="N801" s="346"/>
      <c r="O801" s="345"/>
      <c r="P801" s="345"/>
      <c r="Q801" s="345"/>
      <c r="R801" s="345">
        <v>25</v>
      </c>
      <c r="S801" s="345">
        <v>94.3</v>
      </c>
      <c r="T801" s="345">
        <v>506.5</v>
      </c>
      <c r="U801" s="345">
        <v>28.5</v>
      </c>
      <c r="V801" s="345">
        <v>107</v>
      </c>
      <c r="W801" s="345">
        <v>550.9</v>
      </c>
      <c r="X801" s="345">
        <v>26</v>
      </c>
      <c r="Y801" s="345">
        <v>83.5</v>
      </c>
      <c r="Z801" s="345">
        <v>501.2</v>
      </c>
      <c r="AA801">
        <f t="shared" si="12"/>
        <v>34.5</v>
      </c>
    </row>
    <row r="802" spans="1:27" ht="28.8" x14ac:dyDescent="0.3">
      <c r="A802" s="345" t="s">
        <v>2470</v>
      </c>
      <c r="B802" s="805"/>
      <c r="C802" s="802"/>
      <c r="D802" s="802"/>
      <c r="E802" s="803"/>
      <c r="F802" s="805">
        <v>139</v>
      </c>
      <c r="G802" s="803"/>
      <c r="H802" s="345">
        <v>575</v>
      </c>
      <c r="I802" s="345">
        <v>0</v>
      </c>
      <c r="J802" s="345">
        <v>181.5</v>
      </c>
      <c r="K802" s="345">
        <v>672.7</v>
      </c>
      <c r="L802" s="346"/>
      <c r="M802" s="346"/>
      <c r="N802" s="346"/>
      <c r="O802" s="345"/>
      <c r="P802" s="345"/>
      <c r="Q802" s="345"/>
      <c r="R802" s="345">
        <v>0</v>
      </c>
      <c r="S802" s="345">
        <v>94.3</v>
      </c>
      <c r="T802" s="345">
        <v>506.5</v>
      </c>
      <c r="U802" s="345">
        <v>0</v>
      </c>
      <c r="V802" s="345">
        <v>107</v>
      </c>
      <c r="W802" s="345">
        <v>550.9</v>
      </c>
      <c r="X802" s="345">
        <v>0</v>
      </c>
      <c r="Y802" s="345">
        <v>83.5</v>
      </c>
      <c r="Z802" s="345">
        <v>501.2</v>
      </c>
      <c r="AA802">
        <f t="shared" si="12"/>
        <v>0</v>
      </c>
    </row>
    <row r="803" spans="1:27" ht="28.8" x14ac:dyDescent="0.3">
      <c r="A803" s="345" t="s">
        <v>2471</v>
      </c>
      <c r="B803" s="805"/>
      <c r="C803" s="802"/>
      <c r="D803" s="802"/>
      <c r="E803" s="803"/>
      <c r="F803" s="805">
        <v>139</v>
      </c>
      <c r="G803" s="803"/>
      <c r="H803" s="345">
        <v>575</v>
      </c>
      <c r="I803" s="345">
        <v>0</v>
      </c>
      <c r="J803" s="345">
        <v>181.5</v>
      </c>
      <c r="K803" s="345">
        <v>672.7</v>
      </c>
      <c r="L803" s="346"/>
      <c r="M803" s="346"/>
      <c r="N803" s="346"/>
      <c r="O803" s="345"/>
      <c r="P803" s="345"/>
      <c r="Q803" s="345"/>
      <c r="R803" s="345">
        <v>0</v>
      </c>
      <c r="S803" s="345">
        <v>94.3</v>
      </c>
      <c r="T803" s="345">
        <v>506.5</v>
      </c>
      <c r="U803" s="345">
        <v>0</v>
      </c>
      <c r="V803" s="345">
        <v>107</v>
      </c>
      <c r="W803" s="345">
        <v>550.9</v>
      </c>
      <c r="X803" s="345">
        <v>0</v>
      </c>
      <c r="Y803" s="345">
        <v>83.5</v>
      </c>
      <c r="Z803" s="345">
        <v>501.2</v>
      </c>
      <c r="AA803">
        <f t="shared" si="12"/>
        <v>0</v>
      </c>
    </row>
    <row r="804" spans="1:27" ht="28.8" x14ac:dyDescent="0.3">
      <c r="A804" s="345" t="s">
        <v>2472</v>
      </c>
      <c r="B804" s="805"/>
      <c r="C804" s="802"/>
      <c r="D804" s="802"/>
      <c r="E804" s="803"/>
      <c r="F804" s="805">
        <v>144.5</v>
      </c>
      <c r="G804" s="803"/>
      <c r="H804" s="345">
        <v>580.5</v>
      </c>
      <c r="I804" s="345">
        <v>3</v>
      </c>
      <c r="J804" s="345">
        <v>184.5</v>
      </c>
      <c r="K804" s="345">
        <v>675.7</v>
      </c>
      <c r="L804" s="346"/>
      <c r="M804" s="346"/>
      <c r="N804" s="346"/>
      <c r="O804" s="345"/>
      <c r="P804" s="345"/>
      <c r="Q804" s="345"/>
      <c r="R804" s="345">
        <v>8</v>
      </c>
      <c r="S804" s="345">
        <v>102.3</v>
      </c>
      <c r="T804" s="345">
        <v>514.5</v>
      </c>
      <c r="U804" s="345">
        <v>9.5</v>
      </c>
      <c r="V804" s="345">
        <v>116.5</v>
      </c>
      <c r="W804" s="345">
        <v>560.4</v>
      </c>
      <c r="X804" s="345">
        <v>12</v>
      </c>
      <c r="Y804" s="345">
        <v>95.5</v>
      </c>
      <c r="Z804" s="345">
        <v>513.20000000000005</v>
      </c>
      <c r="AA804">
        <f t="shared" si="12"/>
        <v>3</v>
      </c>
    </row>
    <row r="805" spans="1:27" ht="28.8" x14ac:dyDescent="0.3">
      <c r="A805" s="345" t="s">
        <v>2473</v>
      </c>
      <c r="B805" s="805"/>
      <c r="C805" s="802"/>
      <c r="D805" s="802"/>
      <c r="E805" s="803"/>
      <c r="F805" s="805">
        <v>144.5</v>
      </c>
      <c r="G805" s="803"/>
      <c r="H805" s="345">
        <v>580.5</v>
      </c>
      <c r="I805" s="345">
        <v>0.1</v>
      </c>
      <c r="J805" s="345">
        <v>184.6</v>
      </c>
      <c r="K805" s="345">
        <v>675.8</v>
      </c>
      <c r="L805" s="346"/>
      <c r="M805" s="346"/>
      <c r="N805" s="346"/>
      <c r="O805" s="345"/>
      <c r="P805" s="345"/>
      <c r="Q805" s="345"/>
      <c r="R805" s="345">
        <v>0</v>
      </c>
      <c r="S805" s="345">
        <v>102.3</v>
      </c>
      <c r="T805" s="345">
        <v>514.5</v>
      </c>
      <c r="U805" s="345">
        <v>0.1</v>
      </c>
      <c r="V805" s="345">
        <v>116.6</v>
      </c>
      <c r="W805" s="345">
        <v>560.5</v>
      </c>
      <c r="X805" s="345">
        <v>0</v>
      </c>
      <c r="Y805" s="345">
        <v>95.5</v>
      </c>
      <c r="Z805" s="345">
        <v>513.20000000000005</v>
      </c>
      <c r="AA805">
        <f t="shared" si="12"/>
        <v>0.1</v>
      </c>
    </row>
    <row r="806" spans="1:27" ht="28.8" x14ac:dyDescent="0.3">
      <c r="A806" s="345" t="s">
        <v>2474</v>
      </c>
      <c r="B806" s="805"/>
      <c r="C806" s="802"/>
      <c r="D806" s="802"/>
      <c r="E806" s="803"/>
      <c r="F806" s="805">
        <v>144.5</v>
      </c>
      <c r="G806" s="803"/>
      <c r="H806" s="345">
        <v>580.5</v>
      </c>
      <c r="I806" s="345">
        <v>0</v>
      </c>
      <c r="J806" s="345">
        <v>184.6</v>
      </c>
      <c r="K806" s="345">
        <v>675.8</v>
      </c>
      <c r="L806" s="346"/>
      <c r="M806" s="346"/>
      <c r="N806" s="346"/>
      <c r="O806" s="345"/>
      <c r="P806" s="345"/>
      <c r="Q806" s="345"/>
      <c r="R806" s="345">
        <v>0</v>
      </c>
      <c r="S806" s="345">
        <v>102.3</v>
      </c>
      <c r="T806" s="345">
        <v>514.5</v>
      </c>
      <c r="U806" s="345">
        <v>0</v>
      </c>
      <c r="V806" s="345">
        <v>116.6</v>
      </c>
      <c r="W806" s="345">
        <v>560.5</v>
      </c>
      <c r="X806" s="345">
        <v>0</v>
      </c>
      <c r="Y806" s="345">
        <v>95.5</v>
      </c>
      <c r="Z806" s="345">
        <v>513.20000000000005</v>
      </c>
      <c r="AA806">
        <f t="shared" si="12"/>
        <v>0</v>
      </c>
    </row>
    <row r="807" spans="1:27" ht="28.8" x14ac:dyDescent="0.3">
      <c r="A807" s="345" t="s">
        <v>2475</v>
      </c>
      <c r="B807" s="805"/>
      <c r="C807" s="802"/>
      <c r="D807" s="802"/>
      <c r="E807" s="803"/>
      <c r="F807" s="805">
        <v>144.5</v>
      </c>
      <c r="G807" s="803"/>
      <c r="H807" s="345">
        <v>580.5</v>
      </c>
      <c r="I807" s="345">
        <v>0</v>
      </c>
      <c r="J807" s="345">
        <v>184.6</v>
      </c>
      <c r="K807" s="345">
        <v>675.8</v>
      </c>
      <c r="L807" s="346"/>
      <c r="M807" s="346"/>
      <c r="N807" s="346"/>
      <c r="O807" s="345"/>
      <c r="P807" s="345"/>
      <c r="Q807" s="345"/>
      <c r="R807" s="345">
        <v>0</v>
      </c>
      <c r="S807" s="345">
        <v>102.3</v>
      </c>
      <c r="T807" s="345">
        <v>514.5</v>
      </c>
      <c r="U807" s="345">
        <v>0</v>
      </c>
      <c r="V807" s="345">
        <v>116.6</v>
      </c>
      <c r="W807" s="345">
        <v>560.5</v>
      </c>
      <c r="X807" s="345">
        <v>0</v>
      </c>
      <c r="Y807" s="345">
        <v>95.5</v>
      </c>
      <c r="Z807" s="345">
        <v>513.20000000000005</v>
      </c>
      <c r="AA807">
        <f t="shared" si="12"/>
        <v>0</v>
      </c>
    </row>
    <row r="808" spans="1:27" ht="28.8" x14ac:dyDescent="0.3">
      <c r="A808" s="345" t="s">
        <v>2476</v>
      </c>
      <c r="B808" s="805"/>
      <c r="C808" s="802"/>
      <c r="D808" s="802"/>
      <c r="E808" s="803"/>
      <c r="F808" s="805">
        <v>144.5</v>
      </c>
      <c r="G808" s="803"/>
      <c r="H808" s="345">
        <v>580.5</v>
      </c>
      <c r="I808" s="345">
        <v>0</v>
      </c>
      <c r="J808" s="345">
        <v>184.6</v>
      </c>
      <c r="K808" s="345">
        <v>675.8</v>
      </c>
      <c r="L808" s="346"/>
      <c r="M808" s="346"/>
      <c r="N808" s="346"/>
      <c r="O808" s="345"/>
      <c r="P808" s="345"/>
      <c r="Q808" s="345"/>
      <c r="R808" s="345">
        <v>0</v>
      </c>
      <c r="S808" s="345">
        <v>102.3</v>
      </c>
      <c r="T808" s="345">
        <v>514.5</v>
      </c>
      <c r="U808" s="345">
        <v>0</v>
      </c>
      <c r="V808" s="345">
        <v>116.6</v>
      </c>
      <c r="W808" s="345">
        <v>560.5</v>
      </c>
      <c r="X808" s="345">
        <v>0</v>
      </c>
      <c r="Y808" s="345">
        <v>95.5</v>
      </c>
      <c r="Z808" s="345">
        <v>513.20000000000005</v>
      </c>
      <c r="AA808">
        <f t="shared" si="12"/>
        <v>0</v>
      </c>
    </row>
    <row r="809" spans="1:27" ht="28.8" x14ac:dyDescent="0.3">
      <c r="A809" s="345" t="s">
        <v>2477</v>
      </c>
      <c r="B809" s="805"/>
      <c r="C809" s="802"/>
      <c r="D809" s="802"/>
      <c r="E809" s="803"/>
      <c r="F809" s="805">
        <v>144.5</v>
      </c>
      <c r="G809" s="803"/>
      <c r="H809" s="345">
        <v>580.5</v>
      </c>
      <c r="I809" s="345">
        <v>0</v>
      </c>
      <c r="J809" s="345">
        <v>184.6</v>
      </c>
      <c r="K809" s="345">
        <v>675.8</v>
      </c>
      <c r="L809" s="346"/>
      <c r="M809" s="346"/>
      <c r="N809" s="346"/>
      <c r="O809" s="345"/>
      <c r="P809" s="345"/>
      <c r="Q809" s="345"/>
      <c r="R809" s="345">
        <v>0</v>
      </c>
      <c r="S809" s="345">
        <v>102.3</v>
      </c>
      <c r="T809" s="345">
        <v>514.5</v>
      </c>
      <c r="U809" s="345">
        <v>0</v>
      </c>
      <c r="V809" s="345">
        <v>116.6</v>
      </c>
      <c r="W809" s="345">
        <v>560.5</v>
      </c>
      <c r="X809" s="345">
        <v>0</v>
      </c>
      <c r="Y809" s="345">
        <v>95.5</v>
      </c>
      <c r="Z809" s="345">
        <v>513.20000000000005</v>
      </c>
      <c r="AA809">
        <f t="shared" si="12"/>
        <v>0</v>
      </c>
    </row>
    <row r="810" spans="1:27" ht="28.8" x14ac:dyDescent="0.3">
      <c r="A810" s="345" t="s">
        <v>2478</v>
      </c>
      <c r="B810" s="805"/>
      <c r="C810" s="802"/>
      <c r="D810" s="802"/>
      <c r="E810" s="803"/>
      <c r="F810" s="805">
        <v>183</v>
      </c>
      <c r="G810" s="803"/>
      <c r="H810" s="345">
        <v>619</v>
      </c>
      <c r="I810" s="345">
        <v>58.5</v>
      </c>
      <c r="J810" s="345">
        <v>243.1</v>
      </c>
      <c r="K810" s="345">
        <v>734.3</v>
      </c>
      <c r="L810" s="346"/>
      <c r="M810" s="346"/>
      <c r="N810" s="346"/>
      <c r="O810" s="345"/>
      <c r="P810" s="345"/>
      <c r="Q810" s="345"/>
      <c r="R810" s="345">
        <v>68</v>
      </c>
      <c r="S810" s="345">
        <v>170.3</v>
      </c>
      <c r="T810" s="345">
        <v>582.5</v>
      </c>
      <c r="U810" s="345">
        <v>72</v>
      </c>
      <c r="V810" s="345">
        <v>188.6</v>
      </c>
      <c r="W810" s="345">
        <v>632.5</v>
      </c>
      <c r="X810" s="345">
        <v>53</v>
      </c>
      <c r="Y810" s="345">
        <v>148.5</v>
      </c>
      <c r="Z810" s="345">
        <v>566.20000000000005</v>
      </c>
      <c r="AA810">
        <f t="shared" si="12"/>
        <v>58.5</v>
      </c>
    </row>
    <row r="811" spans="1:27" ht="28.8" x14ac:dyDescent="0.3">
      <c r="A811" s="345" t="s">
        <v>2479</v>
      </c>
      <c r="B811" s="805"/>
      <c r="C811" s="802"/>
      <c r="D811" s="802"/>
      <c r="E811" s="803"/>
      <c r="F811" s="805">
        <v>186.5</v>
      </c>
      <c r="G811" s="803"/>
      <c r="H811" s="345">
        <v>622.5</v>
      </c>
      <c r="I811" s="345">
        <v>5</v>
      </c>
      <c r="J811" s="345">
        <v>248.1</v>
      </c>
      <c r="K811" s="345">
        <v>739.3</v>
      </c>
      <c r="L811" s="346"/>
      <c r="M811" s="346"/>
      <c r="N811" s="346"/>
      <c r="O811" s="345"/>
      <c r="P811" s="345"/>
      <c r="Q811" s="345"/>
      <c r="R811" s="345">
        <v>12</v>
      </c>
      <c r="S811" s="345">
        <v>182.3</v>
      </c>
      <c r="T811" s="345">
        <v>594.5</v>
      </c>
      <c r="U811" s="345">
        <v>14.5</v>
      </c>
      <c r="V811" s="345">
        <v>203.1</v>
      </c>
      <c r="W811" s="345">
        <v>647</v>
      </c>
      <c r="X811" s="345">
        <v>8</v>
      </c>
      <c r="Y811" s="345">
        <v>156.5</v>
      </c>
      <c r="Z811" s="345">
        <v>574.20000000000005</v>
      </c>
      <c r="AA811">
        <f t="shared" si="12"/>
        <v>5</v>
      </c>
    </row>
    <row r="812" spans="1:27" ht="28.8" x14ac:dyDescent="0.3">
      <c r="A812" s="345" t="s">
        <v>2480</v>
      </c>
      <c r="B812" s="805"/>
      <c r="C812" s="802"/>
      <c r="D812" s="802"/>
      <c r="E812" s="803"/>
      <c r="F812" s="805">
        <v>190.5</v>
      </c>
      <c r="G812" s="803"/>
      <c r="H812" s="345">
        <v>626.5</v>
      </c>
      <c r="I812" s="345">
        <v>4</v>
      </c>
      <c r="J812" s="345">
        <v>252.1</v>
      </c>
      <c r="K812" s="345">
        <v>743.3</v>
      </c>
      <c r="L812" s="346"/>
      <c r="M812" s="346"/>
      <c r="N812" s="346"/>
      <c r="O812" s="345"/>
      <c r="P812" s="345"/>
      <c r="Q812" s="345"/>
      <c r="R812" s="345">
        <v>4.8</v>
      </c>
      <c r="S812" s="345">
        <v>187.1</v>
      </c>
      <c r="T812" s="345">
        <v>599.29999999999995</v>
      </c>
      <c r="U812" s="345">
        <v>6</v>
      </c>
      <c r="V812" s="345">
        <v>209.1</v>
      </c>
      <c r="W812" s="345">
        <v>653</v>
      </c>
      <c r="X812" s="345">
        <v>8</v>
      </c>
      <c r="Y812" s="345">
        <v>164.5</v>
      </c>
      <c r="Z812" s="345">
        <v>582.20000000000005</v>
      </c>
      <c r="AA812">
        <f t="shared" si="12"/>
        <v>4</v>
      </c>
    </row>
    <row r="813" spans="1:27" ht="28.8" x14ac:dyDescent="0.3">
      <c r="A813" s="345" t="s">
        <v>2481</v>
      </c>
      <c r="B813" s="805"/>
      <c r="C813" s="802"/>
      <c r="D813" s="802"/>
      <c r="E813" s="803"/>
      <c r="F813" s="805">
        <v>191</v>
      </c>
      <c r="G813" s="803"/>
      <c r="H813" s="345">
        <v>627</v>
      </c>
      <c r="I813" s="345">
        <v>0.5</v>
      </c>
      <c r="J813" s="345">
        <v>252.6</v>
      </c>
      <c r="K813" s="345">
        <v>743.8</v>
      </c>
      <c r="L813" s="346"/>
      <c r="M813" s="346"/>
      <c r="N813" s="346"/>
      <c r="O813" s="345"/>
      <c r="P813" s="345"/>
      <c r="Q813" s="345"/>
      <c r="R813" s="345">
        <v>0.5</v>
      </c>
      <c r="S813" s="345">
        <v>187.6</v>
      </c>
      <c r="T813" s="345">
        <v>599.79999999999995</v>
      </c>
      <c r="U813" s="345">
        <v>0.5</v>
      </c>
      <c r="V813" s="345">
        <v>209.6</v>
      </c>
      <c r="W813" s="345">
        <v>653.5</v>
      </c>
      <c r="X813" s="345">
        <v>0.5</v>
      </c>
      <c r="Y813" s="345">
        <v>165</v>
      </c>
      <c r="Z813" s="345">
        <v>582.70000000000005</v>
      </c>
      <c r="AA813">
        <f t="shared" si="12"/>
        <v>0.5</v>
      </c>
    </row>
    <row r="814" spans="1:27" ht="28.8" x14ac:dyDescent="0.3">
      <c r="A814" s="345" t="s">
        <v>2482</v>
      </c>
      <c r="B814" s="805"/>
      <c r="C814" s="802"/>
      <c r="D814" s="802"/>
      <c r="E814" s="803"/>
      <c r="F814" s="805">
        <v>193</v>
      </c>
      <c r="G814" s="803"/>
      <c r="H814" s="345">
        <v>629</v>
      </c>
      <c r="I814" s="345">
        <v>2</v>
      </c>
      <c r="J814" s="345">
        <v>254.6</v>
      </c>
      <c r="K814" s="345">
        <v>745.8</v>
      </c>
      <c r="L814" s="346"/>
      <c r="M814" s="346"/>
      <c r="N814" s="346"/>
      <c r="O814" s="345"/>
      <c r="P814" s="345"/>
      <c r="Q814" s="345"/>
      <c r="R814" s="345">
        <v>2</v>
      </c>
      <c r="S814" s="345">
        <v>189.6</v>
      </c>
      <c r="T814" s="345">
        <v>601.79999999999995</v>
      </c>
      <c r="U814" s="345">
        <v>3</v>
      </c>
      <c r="V814" s="345">
        <v>212.6</v>
      </c>
      <c r="W814" s="345">
        <v>656.5</v>
      </c>
      <c r="X814" s="345">
        <v>3</v>
      </c>
      <c r="Y814" s="345">
        <v>168</v>
      </c>
      <c r="Z814" s="345">
        <v>585.70000000000005</v>
      </c>
      <c r="AA814">
        <f t="shared" si="12"/>
        <v>2</v>
      </c>
    </row>
    <row r="815" spans="1:27" ht="28.8" x14ac:dyDescent="0.3">
      <c r="A815" s="345" t="s">
        <v>2483</v>
      </c>
      <c r="B815" s="805"/>
      <c r="C815" s="802"/>
      <c r="D815" s="802"/>
      <c r="E815" s="803"/>
      <c r="F815" s="805">
        <v>224.5</v>
      </c>
      <c r="G815" s="803"/>
      <c r="H815" s="345">
        <v>660.5</v>
      </c>
      <c r="I815" s="345">
        <v>39</v>
      </c>
      <c r="J815" s="345">
        <v>293.60000000000002</v>
      </c>
      <c r="K815" s="345">
        <v>784.8</v>
      </c>
      <c r="L815" s="346"/>
      <c r="M815" s="346"/>
      <c r="N815" s="346"/>
      <c r="O815" s="345"/>
      <c r="P815" s="345"/>
      <c r="Q815" s="345"/>
      <c r="R815" s="345">
        <v>25.8</v>
      </c>
      <c r="S815" s="345">
        <v>215.4</v>
      </c>
      <c r="T815" s="345">
        <v>627.6</v>
      </c>
      <c r="U815" s="345">
        <v>32</v>
      </c>
      <c r="V815" s="345">
        <v>244.6</v>
      </c>
      <c r="W815" s="345">
        <v>688.5</v>
      </c>
      <c r="X815" s="345">
        <v>28</v>
      </c>
      <c r="Y815" s="345">
        <v>196</v>
      </c>
      <c r="Z815" s="345">
        <v>613.70000000000005</v>
      </c>
      <c r="AA815">
        <f t="shared" si="12"/>
        <v>39</v>
      </c>
    </row>
    <row r="816" spans="1:27" ht="28.8" x14ac:dyDescent="0.3">
      <c r="A816" s="345" t="s">
        <v>2484</v>
      </c>
      <c r="B816" s="805"/>
      <c r="C816" s="802"/>
      <c r="D816" s="802"/>
      <c r="E816" s="803"/>
      <c r="F816" s="805">
        <v>224.5</v>
      </c>
      <c r="G816" s="803"/>
      <c r="H816" s="345">
        <v>660.5</v>
      </c>
      <c r="I816" s="345">
        <v>0</v>
      </c>
      <c r="J816" s="345">
        <v>293.60000000000002</v>
      </c>
      <c r="K816" s="345">
        <v>784.8</v>
      </c>
      <c r="L816" s="346"/>
      <c r="M816" s="346"/>
      <c r="N816" s="346"/>
      <c r="O816" s="345"/>
      <c r="P816" s="345"/>
      <c r="Q816" s="345"/>
      <c r="R816" s="345">
        <v>0</v>
      </c>
      <c r="S816" s="345">
        <v>215.4</v>
      </c>
      <c r="T816" s="345">
        <v>627.6</v>
      </c>
      <c r="U816" s="345">
        <v>0</v>
      </c>
      <c r="V816" s="345">
        <v>244.6</v>
      </c>
      <c r="W816" s="345">
        <v>688.5</v>
      </c>
      <c r="X816" s="345">
        <v>0</v>
      </c>
      <c r="Y816" s="345">
        <v>196</v>
      </c>
      <c r="Z816" s="345">
        <v>613.70000000000005</v>
      </c>
      <c r="AA816">
        <f t="shared" si="12"/>
        <v>0</v>
      </c>
    </row>
    <row r="817" spans="1:27" ht="28.8" x14ac:dyDescent="0.3">
      <c r="A817" s="345" t="s">
        <v>2485</v>
      </c>
      <c r="B817" s="805"/>
      <c r="C817" s="802"/>
      <c r="D817" s="802"/>
      <c r="E817" s="803"/>
      <c r="F817" s="805">
        <v>233</v>
      </c>
      <c r="G817" s="803"/>
      <c r="H817" s="345">
        <v>669</v>
      </c>
      <c r="I817" s="345">
        <v>0.5</v>
      </c>
      <c r="J817" s="345">
        <v>294.10000000000002</v>
      </c>
      <c r="K817" s="345">
        <v>785.3</v>
      </c>
      <c r="L817" s="346"/>
      <c r="M817" s="346"/>
      <c r="N817" s="346"/>
      <c r="O817" s="345"/>
      <c r="P817" s="345"/>
      <c r="Q817" s="345"/>
      <c r="R817" s="345">
        <v>3.4</v>
      </c>
      <c r="S817" s="345">
        <v>218.8</v>
      </c>
      <c r="T817" s="345">
        <v>631</v>
      </c>
      <c r="U817" s="345">
        <v>4.5</v>
      </c>
      <c r="V817" s="345">
        <v>249.1</v>
      </c>
      <c r="W817" s="345">
        <v>693</v>
      </c>
      <c r="X817" s="345">
        <v>8</v>
      </c>
      <c r="Y817" s="345">
        <v>204</v>
      </c>
      <c r="Z817" s="345">
        <v>621.70000000000005</v>
      </c>
      <c r="AA817">
        <f t="shared" si="12"/>
        <v>0.5</v>
      </c>
    </row>
    <row r="818" spans="1:27" ht="28.8" x14ac:dyDescent="0.3">
      <c r="A818" s="345" t="s">
        <v>2486</v>
      </c>
      <c r="B818" s="805"/>
      <c r="C818" s="802"/>
      <c r="D818" s="802"/>
      <c r="E818" s="803"/>
      <c r="F818" s="805">
        <v>233</v>
      </c>
      <c r="G818" s="803"/>
      <c r="H818" s="345">
        <v>669</v>
      </c>
      <c r="I818" s="345">
        <v>0</v>
      </c>
      <c r="J818" s="345">
        <v>294.10000000000002</v>
      </c>
      <c r="K818" s="345">
        <v>785.3</v>
      </c>
      <c r="L818" s="346"/>
      <c r="M818" s="346"/>
      <c r="N818" s="346"/>
      <c r="O818" s="345"/>
      <c r="P818" s="345"/>
      <c r="Q818" s="345"/>
      <c r="R818" s="345">
        <v>0</v>
      </c>
      <c r="S818" s="345">
        <v>218.8</v>
      </c>
      <c r="T818" s="345">
        <v>631</v>
      </c>
      <c r="U818" s="345">
        <v>0</v>
      </c>
      <c r="V818" s="345">
        <v>249.1</v>
      </c>
      <c r="W818" s="345">
        <v>693</v>
      </c>
      <c r="X818" s="345">
        <v>0</v>
      </c>
      <c r="Y818" s="345">
        <v>204</v>
      </c>
      <c r="Z818" s="345">
        <v>621.70000000000005</v>
      </c>
      <c r="AA818">
        <f t="shared" si="12"/>
        <v>0</v>
      </c>
    </row>
    <row r="819" spans="1:27" ht="28.8" x14ac:dyDescent="0.3">
      <c r="A819" s="345" t="s">
        <v>2487</v>
      </c>
      <c r="B819" s="805"/>
      <c r="C819" s="802"/>
      <c r="D819" s="802"/>
      <c r="E819" s="803"/>
      <c r="F819" s="805">
        <v>240.5</v>
      </c>
      <c r="G819" s="803"/>
      <c r="H819" s="345">
        <v>676.5</v>
      </c>
      <c r="I819" s="345">
        <v>7</v>
      </c>
      <c r="J819" s="345">
        <v>301.10000000000002</v>
      </c>
      <c r="K819" s="345">
        <v>792.3</v>
      </c>
      <c r="L819" s="346"/>
      <c r="M819" s="346"/>
      <c r="N819" s="346"/>
      <c r="O819" s="345"/>
      <c r="P819" s="345"/>
      <c r="Q819" s="345"/>
      <c r="R819" s="345">
        <v>6.2</v>
      </c>
      <c r="S819" s="345">
        <v>225</v>
      </c>
      <c r="T819" s="345">
        <v>637.20000000000005</v>
      </c>
      <c r="U819" s="345">
        <v>7</v>
      </c>
      <c r="V819" s="345">
        <v>256.10000000000002</v>
      </c>
      <c r="W819" s="345">
        <v>700</v>
      </c>
      <c r="X819" s="345">
        <v>6.5</v>
      </c>
      <c r="Y819" s="345">
        <v>210.5</v>
      </c>
      <c r="Z819" s="345">
        <v>628.20000000000005</v>
      </c>
      <c r="AA819">
        <f t="shared" si="12"/>
        <v>7</v>
      </c>
    </row>
    <row r="820" spans="1:27" ht="28.8" x14ac:dyDescent="0.3">
      <c r="A820" s="345" t="s">
        <v>2488</v>
      </c>
      <c r="B820" s="805"/>
      <c r="C820" s="802"/>
      <c r="D820" s="802"/>
      <c r="E820" s="803"/>
      <c r="F820" s="805">
        <v>247</v>
      </c>
      <c r="G820" s="803"/>
      <c r="H820" s="345">
        <v>683</v>
      </c>
      <c r="I820" s="345">
        <v>6</v>
      </c>
      <c r="J820" s="345">
        <v>307.10000000000002</v>
      </c>
      <c r="K820" s="345">
        <v>798.3</v>
      </c>
      <c r="L820" s="346"/>
      <c r="M820" s="346"/>
      <c r="N820" s="346"/>
      <c r="O820" s="345"/>
      <c r="P820" s="345"/>
      <c r="Q820" s="345"/>
      <c r="R820" s="345">
        <v>9.4</v>
      </c>
      <c r="S820" s="345">
        <v>234.4</v>
      </c>
      <c r="T820" s="345">
        <v>646.6</v>
      </c>
      <c r="U820" s="345">
        <v>10</v>
      </c>
      <c r="V820" s="345">
        <v>266.10000000000002</v>
      </c>
      <c r="W820" s="345">
        <v>710</v>
      </c>
      <c r="X820" s="345">
        <v>8</v>
      </c>
      <c r="Y820" s="345">
        <v>218.5</v>
      </c>
      <c r="Z820" s="345">
        <v>636.20000000000005</v>
      </c>
      <c r="AA820">
        <f t="shared" si="12"/>
        <v>6</v>
      </c>
    </row>
    <row r="821" spans="1:27" ht="28.8" x14ac:dyDescent="0.3">
      <c r="A821" s="345" t="s">
        <v>2489</v>
      </c>
      <c r="B821" s="805"/>
      <c r="C821" s="802"/>
      <c r="D821" s="802"/>
      <c r="E821" s="803"/>
      <c r="F821" s="805">
        <v>260</v>
      </c>
      <c r="G821" s="803"/>
      <c r="H821" s="345">
        <v>696</v>
      </c>
      <c r="I821" s="345">
        <v>19</v>
      </c>
      <c r="J821" s="345">
        <v>326.10000000000002</v>
      </c>
      <c r="K821" s="345">
        <v>817.3</v>
      </c>
      <c r="L821" s="346"/>
      <c r="M821" s="346"/>
      <c r="N821" s="346"/>
      <c r="O821" s="345"/>
      <c r="P821" s="345"/>
      <c r="Q821" s="345"/>
      <c r="R821" s="345">
        <v>1.8</v>
      </c>
      <c r="S821" s="345">
        <v>236.2</v>
      </c>
      <c r="T821" s="345">
        <v>648.4</v>
      </c>
      <c r="U821" s="345">
        <v>2.5</v>
      </c>
      <c r="V821" s="345">
        <v>268.60000000000002</v>
      </c>
      <c r="W821" s="345">
        <v>712.5</v>
      </c>
      <c r="X821" s="345">
        <v>2</v>
      </c>
      <c r="Y821" s="345">
        <v>220.5</v>
      </c>
      <c r="Z821" s="345">
        <v>638.20000000000005</v>
      </c>
      <c r="AA821">
        <f t="shared" si="12"/>
        <v>19</v>
      </c>
    </row>
    <row r="822" spans="1:27" ht="28.8" x14ac:dyDescent="0.3">
      <c r="A822" s="345" t="s">
        <v>2490</v>
      </c>
      <c r="B822" s="805"/>
      <c r="C822" s="802"/>
      <c r="D822" s="802"/>
      <c r="E822" s="803"/>
      <c r="F822" s="805">
        <v>309.5</v>
      </c>
      <c r="G822" s="803"/>
      <c r="H822" s="345">
        <v>745.5</v>
      </c>
      <c r="I822" s="345">
        <v>52</v>
      </c>
      <c r="J822" s="345">
        <v>378.1</v>
      </c>
      <c r="K822" s="345">
        <v>869.3</v>
      </c>
      <c r="L822" s="346"/>
      <c r="M822" s="346"/>
      <c r="N822" s="346"/>
      <c r="O822" s="345"/>
      <c r="P822" s="345"/>
      <c r="Q822" s="345"/>
      <c r="R822" s="345">
        <v>40.4</v>
      </c>
      <c r="S822" s="345">
        <v>276.60000000000002</v>
      </c>
      <c r="T822" s="345">
        <v>688.8</v>
      </c>
      <c r="U822" s="345">
        <v>51</v>
      </c>
      <c r="V822" s="345">
        <v>319.60000000000002</v>
      </c>
      <c r="W822" s="345">
        <v>763.5</v>
      </c>
      <c r="X822" s="345">
        <v>56</v>
      </c>
      <c r="Y822" s="345">
        <v>276.5</v>
      </c>
      <c r="Z822" s="345">
        <v>694.2</v>
      </c>
      <c r="AA822">
        <f t="shared" si="12"/>
        <v>52</v>
      </c>
    </row>
    <row r="823" spans="1:27" s="362" customFormat="1" ht="28.8" x14ac:dyDescent="0.3">
      <c r="A823" s="359" t="s">
        <v>2491</v>
      </c>
      <c r="B823" s="811"/>
      <c r="C823" s="812"/>
      <c r="D823" s="812"/>
      <c r="E823" s="813"/>
      <c r="F823" s="811">
        <v>310.5</v>
      </c>
      <c r="G823" s="813"/>
      <c r="H823" s="359">
        <v>746.5</v>
      </c>
      <c r="I823" s="359">
        <v>0.5</v>
      </c>
      <c r="J823" s="359">
        <v>378.6</v>
      </c>
      <c r="K823" s="359">
        <v>869.8</v>
      </c>
      <c r="L823" s="359"/>
      <c r="M823" s="359"/>
      <c r="N823" s="359"/>
      <c r="O823" s="359"/>
      <c r="P823" s="359"/>
      <c r="Q823" s="359"/>
      <c r="R823" s="359">
        <v>0.4</v>
      </c>
      <c r="S823" s="359">
        <v>277</v>
      </c>
      <c r="T823" s="359">
        <v>689.2</v>
      </c>
      <c r="U823" s="359">
        <v>0.5</v>
      </c>
      <c r="V823" s="359">
        <v>320.10000000000002</v>
      </c>
      <c r="W823" s="359">
        <v>764</v>
      </c>
      <c r="X823" s="359">
        <v>1</v>
      </c>
      <c r="Y823" s="359">
        <v>277.5</v>
      </c>
      <c r="Z823" s="359">
        <v>695.2</v>
      </c>
      <c r="AA823" s="362">
        <f t="shared" si="12"/>
        <v>0.5</v>
      </c>
    </row>
    <row r="824" spans="1:27" ht="28.8" x14ac:dyDescent="0.3">
      <c r="A824" s="345" t="s">
        <v>2492</v>
      </c>
      <c r="B824" s="805"/>
      <c r="C824" s="802"/>
      <c r="D824" s="802"/>
      <c r="E824" s="803"/>
      <c r="F824" s="805">
        <v>10.5</v>
      </c>
      <c r="G824" s="803"/>
      <c r="H824" s="345">
        <v>757</v>
      </c>
      <c r="I824" s="345">
        <v>30</v>
      </c>
      <c r="J824" s="345">
        <v>30</v>
      </c>
      <c r="K824" s="345">
        <v>899.8</v>
      </c>
      <c r="L824" s="346"/>
      <c r="M824" s="346"/>
      <c r="N824" s="346"/>
      <c r="O824" s="345"/>
      <c r="P824" s="345"/>
      <c r="Q824" s="345"/>
      <c r="R824" s="345">
        <v>8.8000000000000007</v>
      </c>
      <c r="S824" s="345">
        <v>8.8000000000000007</v>
      </c>
      <c r="T824" s="345">
        <v>698</v>
      </c>
      <c r="U824" s="345">
        <v>10</v>
      </c>
      <c r="V824" s="345">
        <v>10</v>
      </c>
      <c r="W824" s="345">
        <v>774</v>
      </c>
      <c r="X824" s="345">
        <v>6.5</v>
      </c>
      <c r="Y824" s="345">
        <v>6.5</v>
      </c>
      <c r="Z824" s="345">
        <v>701.7</v>
      </c>
      <c r="AA824">
        <f t="shared" si="12"/>
        <v>30</v>
      </c>
    </row>
    <row r="825" spans="1:27" ht="28.8" x14ac:dyDescent="0.3">
      <c r="A825" s="345" t="s">
        <v>2493</v>
      </c>
      <c r="B825" s="805"/>
      <c r="C825" s="802"/>
      <c r="D825" s="802"/>
      <c r="E825" s="803"/>
      <c r="F825" s="805">
        <v>10.5</v>
      </c>
      <c r="G825" s="803"/>
      <c r="H825" s="345">
        <v>757</v>
      </c>
      <c r="I825" s="345">
        <v>0</v>
      </c>
      <c r="J825" s="345">
        <v>30</v>
      </c>
      <c r="K825" s="345">
        <v>899.8</v>
      </c>
      <c r="L825" s="346"/>
      <c r="M825" s="346"/>
      <c r="N825" s="346"/>
      <c r="O825" s="345"/>
      <c r="P825" s="345"/>
      <c r="Q825" s="345"/>
      <c r="R825" s="345">
        <v>0</v>
      </c>
      <c r="S825" s="345">
        <v>8.8000000000000007</v>
      </c>
      <c r="T825" s="345">
        <v>698</v>
      </c>
      <c r="U825" s="345">
        <v>0</v>
      </c>
      <c r="V825" s="345">
        <v>10</v>
      </c>
      <c r="W825" s="345">
        <v>774</v>
      </c>
      <c r="X825" s="345">
        <v>0</v>
      </c>
      <c r="Y825" s="345">
        <v>6.5</v>
      </c>
      <c r="Z825" s="345">
        <v>701.7</v>
      </c>
      <c r="AA825">
        <f t="shared" si="12"/>
        <v>0</v>
      </c>
    </row>
    <row r="826" spans="1:27" ht="28.8" x14ac:dyDescent="0.3">
      <c r="A826" s="345" t="s">
        <v>2494</v>
      </c>
      <c r="B826" s="805"/>
      <c r="C826" s="802"/>
      <c r="D826" s="802"/>
      <c r="E826" s="803"/>
      <c r="F826" s="805">
        <v>16</v>
      </c>
      <c r="G826" s="803"/>
      <c r="H826" s="345">
        <v>762.5</v>
      </c>
      <c r="I826" s="345">
        <v>1</v>
      </c>
      <c r="J826" s="345">
        <v>31</v>
      </c>
      <c r="K826" s="345">
        <v>900.8</v>
      </c>
      <c r="L826" s="346"/>
      <c r="M826" s="346"/>
      <c r="N826" s="346"/>
      <c r="O826" s="345"/>
      <c r="P826" s="345"/>
      <c r="Q826" s="345"/>
      <c r="R826" s="345">
        <v>5.2</v>
      </c>
      <c r="S826" s="345">
        <v>14</v>
      </c>
      <c r="T826" s="345">
        <v>703.2</v>
      </c>
      <c r="U826" s="345">
        <v>6</v>
      </c>
      <c r="V826" s="345">
        <v>16</v>
      </c>
      <c r="W826" s="345">
        <v>780</v>
      </c>
      <c r="X826" s="345">
        <v>7</v>
      </c>
      <c r="Y826" s="345">
        <v>13.5</v>
      </c>
      <c r="Z826" s="345">
        <v>708.7</v>
      </c>
      <c r="AA826">
        <f t="shared" si="12"/>
        <v>1</v>
      </c>
    </row>
    <row r="827" spans="1:27" ht="28.8" x14ac:dyDescent="0.3">
      <c r="A827" s="345" t="s">
        <v>2495</v>
      </c>
      <c r="B827" s="805"/>
      <c r="C827" s="802"/>
      <c r="D827" s="802"/>
      <c r="E827" s="803"/>
      <c r="F827" s="805">
        <v>45.5</v>
      </c>
      <c r="G827" s="803"/>
      <c r="H827" s="345">
        <v>792</v>
      </c>
      <c r="I827" s="345">
        <v>16.5</v>
      </c>
      <c r="J827" s="345">
        <v>47.5</v>
      </c>
      <c r="K827" s="345">
        <v>917.3</v>
      </c>
      <c r="L827" s="346"/>
      <c r="M827" s="346"/>
      <c r="N827" s="346"/>
      <c r="O827" s="345"/>
      <c r="P827" s="345"/>
      <c r="Q827" s="345"/>
      <c r="R827" s="345">
        <v>12.8</v>
      </c>
      <c r="S827" s="345">
        <v>26.8</v>
      </c>
      <c r="T827" s="345">
        <v>716</v>
      </c>
      <c r="U827" s="345">
        <v>14</v>
      </c>
      <c r="V827" s="345">
        <v>30</v>
      </c>
      <c r="W827" s="345">
        <v>794</v>
      </c>
      <c r="X827" s="345">
        <v>17</v>
      </c>
      <c r="Y827" s="345">
        <v>30.5</v>
      </c>
      <c r="Z827" s="345">
        <v>725.7</v>
      </c>
      <c r="AA827">
        <f t="shared" si="12"/>
        <v>16.5</v>
      </c>
    </row>
    <row r="828" spans="1:27" ht="28.8" x14ac:dyDescent="0.3">
      <c r="A828" s="345" t="s">
        <v>2496</v>
      </c>
      <c r="B828" s="805"/>
      <c r="C828" s="802"/>
      <c r="D828" s="802"/>
      <c r="E828" s="803"/>
      <c r="F828" s="805">
        <v>48</v>
      </c>
      <c r="G828" s="803"/>
      <c r="H828" s="345">
        <v>794.5</v>
      </c>
      <c r="I828" s="345">
        <v>5</v>
      </c>
      <c r="J828" s="345">
        <v>52.5</v>
      </c>
      <c r="K828" s="345">
        <v>922.3</v>
      </c>
      <c r="L828" s="346"/>
      <c r="M828" s="346"/>
      <c r="N828" s="346"/>
      <c r="O828" s="345"/>
      <c r="P828" s="345"/>
      <c r="Q828" s="345"/>
      <c r="R828" s="345">
        <v>1.4</v>
      </c>
      <c r="S828" s="345">
        <v>28.2</v>
      </c>
      <c r="T828" s="345">
        <v>717.4</v>
      </c>
      <c r="U828" s="345">
        <v>2</v>
      </c>
      <c r="V828" s="345">
        <v>32</v>
      </c>
      <c r="W828" s="345">
        <v>796</v>
      </c>
      <c r="X828" s="345">
        <v>1.5</v>
      </c>
      <c r="Y828" s="345">
        <v>32</v>
      </c>
      <c r="Z828" s="345">
        <v>727.2</v>
      </c>
      <c r="AA828">
        <f t="shared" si="12"/>
        <v>5</v>
      </c>
    </row>
    <row r="829" spans="1:27" ht="28.8" x14ac:dyDescent="0.3">
      <c r="A829" s="345" t="s">
        <v>2497</v>
      </c>
      <c r="B829" s="805"/>
      <c r="C829" s="802"/>
      <c r="D829" s="802"/>
      <c r="E829" s="803"/>
      <c r="F829" s="805">
        <v>89</v>
      </c>
      <c r="G829" s="803"/>
      <c r="H829" s="345">
        <v>835.5</v>
      </c>
      <c r="I829" s="345">
        <v>50.5</v>
      </c>
      <c r="J829" s="345">
        <v>103</v>
      </c>
      <c r="K829" s="345">
        <v>972.8</v>
      </c>
      <c r="L829" s="346"/>
      <c r="M829" s="346"/>
      <c r="N829" s="346"/>
      <c r="O829" s="345"/>
      <c r="P829" s="345"/>
      <c r="Q829" s="345"/>
      <c r="R829" s="345">
        <v>15.8</v>
      </c>
      <c r="S829" s="345">
        <v>44</v>
      </c>
      <c r="T829" s="345">
        <v>733.2</v>
      </c>
      <c r="U829" s="345">
        <v>17.5</v>
      </c>
      <c r="V829" s="345">
        <v>49.5</v>
      </c>
      <c r="W829" s="345">
        <v>813.5</v>
      </c>
      <c r="X829" s="345">
        <v>14</v>
      </c>
      <c r="Y829" s="345">
        <v>46</v>
      </c>
      <c r="Z829" s="345">
        <v>741.2</v>
      </c>
      <c r="AA829">
        <f t="shared" si="12"/>
        <v>50.5</v>
      </c>
    </row>
    <row r="830" spans="1:27" ht="28.8" x14ac:dyDescent="0.3">
      <c r="A830" s="345" t="s">
        <v>2498</v>
      </c>
      <c r="B830" s="805"/>
      <c r="C830" s="802"/>
      <c r="D830" s="802"/>
      <c r="E830" s="803"/>
      <c r="F830" s="805">
        <v>94</v>
      </c>
      <c r="G830" s="803"/>
      <c r="H830" s="345">
        <v>840.5</v>
      </c>
      <c r="I830" s="345">
        <v>4.5</v>
      </c>
      <c r="J830" s="345">
        <v>107.5</v>
      </c>
      <c r="K830" s="345">
        <v>977.3</v>
      </c>
      <c r="L830" s="346"/>
      <c r="M830" s="346"/>
      <c r="N830" s="346"/>
      <c r="O830" s="345"/>
      <c r="P830" s="345"/>
      <c r="Q830" s="345"/>
      <c r="R830" s="345">
        <v>5.8</v>
      </c>
      <c r="S830" s="345">
        <v>49.8</v>
      </c>
      <c r="T830" s="345">
        <v>739</v>
      </c>
      <c r="U830" s="345">
        <v>6</v>
      </c>
      <c r="V830" s="345">
        <v>55.5</v>
      </c>
      <c r="W830" s="345">
        <v>819.5</v>
      </c>
      <c r="X830" s="345">
        <v>6.5</v>
      </c>
      <c r="Y830" s="345">
        <v>52.5</v>
      </c>
      <c r="Z830" s="345">
        <v>747.7</v>
      </c>
      <c r="AA830">
        <f t="shared" si="12"/>
        <v>4.5</v>
      </c>
    </row>
    <row r="831" spans="1:27" ht="28.8" x14ac:dyDescent="0.3">
      <c r="A831" s="345" t="s">
        <v>2499</v>
      </c>
      <c r="B831" s="805"/>
      <c r="C831" s="802"/>
      <c r="D831" s="802"/>
      <c r="E831" s="803"/>
      <c r="F831" s="805">
        <v>94</v>
      </c>
      <c r="G831" s="803"/>
      <c r="H831" s="345">
        <v>840.5</v>
      </c>
      <c r="I831" s="345">
        <v>0</v>
      </c>
      <c r="J831" s="345">
        <v>107.5</v>
      </c>
      <c r="K831" s="345">
        <v>977.3</v>
      </c>
      <c r="L831" s="346"/>
      <c r="M831" s="346"/>
      <c r="N831" s="346"/>
      <c r="O831" s="345"/>
      <c r="P831" s="345"/>
      <c r="Q831" s="345"/>
      <c r="R831" s="345">
        <v>0</v>
      </c>
      <c r="S831" s="345">
        <v>49.8</v>
      </c>
      <c r="T831" s="345">
        <v>739</v>
      </c>
      <c r="U831" s="345">
        <v>0</v>
      </c>
      <c r="V831" s="345">
        <v>55.5</v>
      </c>
      <c r="W831" s="345">
        <v>819.5</v>
      </c>
      <c r="X831" s="345">
        <v>0</v>
      </c>
      <c r="Y831" s="345">
        <v>52.5</v>
      </c>
      <c r="Z831" s="345">
        <v>747.7</v>
      </c>
      <c r="AA831">
        <f t="shared" si="12"/>
        <v>0</v>
      </c>
    </row>
    <row r="832" spans="1:27" ht="28.8" x14ac:dyDescent="0.3">
      <c r="A832" s="345" t="s">
        <v>2500</v>
      </c>
      <c r="B832" s="805"/>
      <c r="C832" s="802"/>
      <c r="D832" s="802"/>
      <c r="E832" s="803"/>
      <c r="F832" s="805">
        <v>94</v>
      </c>
      <c r="G832" s="803"/>
      <c r="H832" s="345">
        <v>840.5</v>
      </c>
      <c r="I832" s="345">
        <v>0</v>
      </c>
      <c r="J832" s="345">
        <v>107.5</v>
      </c>
      <c r="K832" s="345">
        <v>977.3</v>
      </c>
      <c r="L832" s="346"/>
      <c r="M832" s="346"/>
      <c r="N832" s="346"/>
      <c r="O832" s="345"/>
      <c r="P832" s="345"/>
      <c r="Q832" s="345"/>
      <c r="R832" s="345">
        <v>0</v>
      </c>
      <c r="S832" s="345">
        <v>49.8</v>
      </c>
      <c r="T832" s="345">
        <v>739</v>
      </c>
      <c r="U832" s="345">
        <v>0</v>
      </c>
      <c r="V832" s="345">
        <v>55.5</v>
      </c>
      <c r="W832" s="345">
        <v>819.5</v>
      </c>
      <c r="X832" s="345">
        <v>0</v>
      </c>
      <c r="Y832" s="345">
        <v>52.5</v>
      </c>
      <c r="Z832" s="345">
        <v>747.7</v>
      </c>
      <c r="AA832">
        <f t="shared" si="12"/>
        <v>0</v>
      </c>
    </row>
    <row r="833" spans="1:27" ht="28.8" x14ac:dyDescent="0.3">
      <c r="A833" s="345" t="s">
        <v>2501</v>
      </c>
      <c r="B833" s="805"/>
      <c r="C833" s="802"/>
      <c r="D833" s="802"/>
      <c r="E833" s="803"/>
      <c r="F833" s="805">
        <v>94</v>
      </c>
      <c r="G833" s="803"/>
      <c r="H833" s="345">
        <v>840.5</v>
      </c>
      <c r="I833" s="345">
        <v>0</v>
      </c>
      <c r="J833" s="345">
        <v>107.5</v>
      </c>
      <c r="K833" s="345">
        <v>977.3</v>
      </c>
      <c r="L833" s="346"/>
      <c r="M833" s="346"/>
      <c r="N833" s="346"/>
      <c r="O833" s="345"/>
      <c r="P833" s="345"/>
      <c r="Q833" s="345"/>
      <c r="R833" s="345">
        <v>0</v>
      </c>
      <c r="S833" s="345">
        <v>49.8</v>
      </c>
      <c r="T833" s="345">
        <v>739</v>
      </c>
      <c r="U833" s="345">
        <v>0</v>
      </c>
      <c r="V833" s="345">
        <v>55.5</v>
      </c>
      <c r="W833" s="345">
        <v>819.5</v>
      </c>
      <c r="X833" s="345">
        <v>0</v>
      </c>
      <c r="Y833" s="345">
        <v>52.5</v>
      </c>
      <c r="Z833" s="345">
        <v>747.7</v>
      </c>
      <c r="AA833">
        <f t="shared" si="12"/>
        <v>0</v>
      </c>
    </row>
    <row r="834" spans="1:27" ht="28.8" x14ac:dyDescent="0.3">
      <c r="A834" s="345" t="s">
        <v>2502</v>
      </c>
      <c r="B834" s="805"/>
      <c r="C834" s="802"/>
      <c r="D834" s="802"/>
      <c r="E834" s="803"/>
      <c r="F834" s="805">
        <v>94</v>
      </c>
      <c r="G834" s="803"/>
      <c r="H834" s="345">
        <v>840.5</v>
      </c>
      <c r="I834" s="345">
        <v>0</v>
      </c>
      <c r="J834" s="345">
        <v>107.5</v>
      </c>
      <c r="K834" s="345">
        <v>977.3</v>
      </c>
      <c r="L834" s="346"/>
      <c r="M834" s="346"/>
      <c r="N834" s="346"/>
      <c r="O834" s="345"/>
      <c r="P834" s="345"/>
      <c r="Q834" s="345"/>
      <c r="R834" s="345">
        <v>0</v>
      </c>
      <c r="S834" s="345">
        <v>49.8</v>
      </c>
      <c r="T834" s="345">
        <v>739</v>
      </c>
      <c r="U834" s="345">
        <v>0</v>
      </c>
      <c r="V834" s="345">
        <v>55.5</v>
      </c>
      <c r="W834" s="345">
        <v>819.5</v>
      </c>
      <c r="X834" s="345">
        <v>0</v>
      </c>
      <c r="Y834" s="345">
        <v>52.5</v>
      </c>
      <c r="Z834" s="345">
        <v>747.7</v>
      </c>
      <c r="AA834">
        <f t="shared" si="12"/>
        <v>0</v>
      </c>
    </row>
    <row r="835" spans="1:27" ht="28.8" x14ac:dyDescent="0.3">
      <c r="A835" s="345" t="s">
        <v>2503</v>
      </c>
      <c r="B835" s="805"/>
      <c r="C835" s="802"/>
      <c r="D835" s="802"/>
      <c r="E835" s="803"/>
      <c r="F835" s="805">
        <v>94</v>
      </c>
      <c r="G835" s="803"/>
      <c r="H835" s="345">
        <v>840.5</v>
      </c>
      <c r="I835" s="345">
        <v>0</v>
      </c>
      <c r="J835" s="345">
        <v>107.5</v>
      </c>
      <c r="K835" s="345">
        <v>977.3</v>
      </c>
      <c r="L835" s="346"/>
      <c r="M835" s="346"/>
      <c r="N835" s="346"/>
      <c r="O835" s="345"/>
      <c r="P835" s="345"/>
      <c r="Q835" s="345"/>
      <c r="R835" s="345">
        <v>0</v>
      </c>
      <c r="S835" s="345">
        <v>49.8</v>
      </c>
      <c r="T835" s="345">
        <v>739</v>
      </c>
      <c r="U835" s="345">
        <v>0</v>
      </c>
      <c r="V835" s="345">
        <v>55.5</v>
      </c>
      <c r="W835" s="345">
        <v>819.5</v>
      </c>
      <c r="X835" s="345">
        <v>0</v>
      </c>
      <c r="Y835" s="345">
        <v>52.5</v>
      </c>
      <c r="Z835" s="345">
        <v>747.7</v>
      </c>
      <c r="AA835">
        <f t="shared" si="12"/>
        <v>0</v>
      </c>
    </row>
    <row r="836" spans="1:27" ht="28.8" x14ac:dyDescent="0.3">
      <c r="A836" s="345" t="s">
        <v>2504</v>
      </c>
      <c r="B836" s="805"/>
      <c r="C836" s="802"/>
      <c r="D836" s="802"/>
      <c r="E836" s="803"/>
      <c r="F836" s="805">
        <v>94</v>
      </c>
      <c r="G836" s="803"/>
      <c r="H836" s="345">
        <v>840.5</v>
      </c>
      <c r="I836" s="345">
        <v>0</v>
      </c>
      <c r="J836" s="345">
        <v>107.5</v>
      </c>
      <c r="K836" s="345">
        <v>977.3</v>
      </c>
      <c r="L836" s="346"/>
      <c r="M836" s="346"/>
      <c r="N836" s="346"/>
      <c r="O836" s="345"/>
      <c r="P836" s="345"/>
      <c r="Q836" s="345"/>
      <c r="R836" s="345">
        <v>0</v>
      </c>
      <c r="S836" s="345">
        <v>49.8</v>
      </c>
      <c r="T836" s="345">
        <v>739</v>
      </c>
      <c r="U836" s="345">
        <v>0</v>
      </c>
      <c r="V836" s="345">
        <v>55.5</v>
      </c>
      <c r="W836" s="345">
        <v>819.5</v>
      </c>
      <c r="X836" s="345">
        <v>0</v>
      </c>
      <c r="Y836" s="345">
        <v>52.5</v>
      </c>
      <c r="Z836" s="345">
        <v>747.7</v>
      </c>
      <c r="AA836">
        <f t="shared" si="12"/>
        <v>0</v>
      </c>
    </row>
    <row r="837" spans="1:27" ht="28.8" x14ac:dyDescent="0.3">
      <c r="A837" s="345" t="s">
        <v>2505</v>
      </c>
      <c r="B837" s="805"/>
      <c r="C837" s="802"/>
      <c r="D837" s="802"/>
      <c r="E837" s="803"/>
      <c r="F837" s="805">
        <v>94</v>
      </c>
      <c r="G837" s="803"/>
      <c r="H837" s="345">
        <v>840.5</v>
      </c>
      <c r="I837" s="345">
        <v>0</v>
      </c>
      <c r="J837" s="345">
        <v>107.5</v>
      </c>
      <c r="K837" s="345">
        <v>977.3</v>
      </c>
      <c r="L837" s="346"/>
      <c r="M837" s="346"/>
      <c r="N837" s="346"/>
      <c r="O837" s="345"/>
      <c r="P837" s="345"/>
      <c r="Q837" s="345"/>
      <c r="R837" s="345">
        <v>0</v>
      </c>
      <c r="S837" s="345">
        <v>49.8</v>
      </c>
      <c r="T837" s="345">
        <v>739</v>
      </c>
      <c r="U837" s="345">
        <v>0</v>
      </c>
      <c r="V837" s="345">
        <v>55.5</v>
      </c>
      <c r="W837" s="345">
        <v>819.5</v>
      </c>
      <c r="X837" s="345">
        <v>0</v>
      </c>
      <c r="Y837" s="345">
        <v>52.5</v>
      </c>
      <c r="Z837" s="345">
        <v>747.7</v>
      </c>
      <c r="AA837">
        <f t="shared" si="12"/>
        <v>0</v>
      </c>
    </row>
    <row r="838" spans="1:27" ht="28.8" x14ac:dyDescent="0.3">
      <c r="A838" s="345" t="s">
        <v>2506</v>
      </c>
      <c r="B838" s="805"/>
      <c r="C838" s="802"/>
      <c r="D838" s="802"/>
      <c r="E838" s="803"/>
      <c r="F838" s="805">
        <v>94</v>
      </c>
      <c r="G838" s="803"/>
      <c r="H838" s="345">
        <v>840.5</v>
      </c>
      <c r="I838" s="345">
        <v>0</v>
      </c>
      <c r="J838" s="345">
        <v>107.5</v>
      </c>
      <c r="K838" s="345">
        <v>977.3</v>
      </c>
      <c r="L838" s="346"/>
      <c r="M838" s="346"/>
      <c r="N838" s="346"/>
      <c r="O838" s="345"/>
      <c r="P838" s="345"/>
      <c r="Q838" s="345"/>
      <c r="R838" s="345">
        <v>0</v>
      </c>
      <c r="S838" s="345">
        <v>49.8</v>
      </c>
      <c r="T838" s="345">
        <v>739</v>
      </c>
      <c r="U838" s="345">
        <v>0</v>
      </c>
      <c r="V838" s="345">
        <v>55.5</v>
      </c>
      <c r="W838" s="345">
        <v>819.5</v>
      </c>
      <c r="X838" s="345">
        <v>0</v>
      </c>
      <c r="Y838" s="345">
        <v>52.5</v>
      </c>
      <c r="Z838" s="345">
        <v>747.7</v>
      </c>
      <c r="AA838">
        <f t="shared" si="12"/>
        <v>0</v>
      </c>
    </row>
    <row r="839" spans="1:27" ht="28.8" x14ac:dyDescent="0.3">
      <c r="A839" s="345" t="s">
        <v>2507</v>
      </c>
      <c r="B839" s="805"/>
      <c r="C839" s="802"/>
      <c r="D839" s="802"/>
      <c r="E839" s="803"/>
      <c r="F839" s="805">
        <v>94</v>
      </c>
      <c r="G839" s="803"/>
      <c r="H839" s="345">
        <v>840.5</v>
      </c>
      <c r="I839" s="345">
        <v>0</v>
      </c>
      <c r="J839" s="345">
        <v>107.5</v>
      </c>
      <c r="K839" s="345">
        <v>977.3</v>
      </c>
      <c r="L839" s="346"/>
      <c r="M839" s="346"/>
      <c r="N839" s="346"/>
      <c r="O839" s="345"/>
      <c r="P839" s="345"/>
      <c r="Q839" s="345"/>
      <c r="R839" s="345">
        <v>0</v>
      </c>
      <c r="S839" s="345">
        <v>49.8</v>
      </c>
      <c r="T839" s="345">
        <v>739</v>
      </c>
      <c r="U839" s="345">
        <v>0</v>
      </c>
      <c r="V839" s="345">
        <v>55.5</v>
      </c>
      <c r="W839" s="345">
        <v>819.5</v>
      </c>
      <c r="X839" s="345">
        <v>0</v>
      </c>
      <c r="Y839" s="345">
        <v>52.5</v>
      </c>
      <c r="Z839" s="345">
        <v>747.7</v>
      </c>
      <c r="AA839">
        <f t="shared" si="12"/>
        <v>0</v>
      </c>
    </row>
    <row r="840" spans="1:27" ht="28.8" x14ac:dyDescent="0.3">
      <c r="A840" s="345" t="s">
        <v>2508</v>
      </c>
      <c r="B840" s="805"/>
      <c r="C840" s="802"/>
      <c r="D840" s="802"/>
      <c r="E840" s="803"/>
      <c r="F840" s="805">
        <v>94</v>
      </c>
      <c r="G840" s="803"/>
      <c r="H840" s="345">
        <v>840.5</v>
      </c>
      <c r="I840" s="345">
        <v>1</v>
      </c>
      <c r="J840" s="345">
        <v>108.5</v>
      </c>
      <c r="K840" s="345">
        <v>978.3</v>
      </c>
      <c r="L840" s="346"/>
      <c r="M840" s="346"/>
      <c r="N840" s="346"/>
      <c r="O840" s="345"/>
      <c r="P840" s="345"/>
      <c r="Q840" s="345"/>
      <c r="R840" s="345">
        <v>0.2</v>
      </c>
      <c r="S840" s="345">
        <v>50</v>
      </c>
      <c r="T840" s="345">
        <v>739.2</v>
      </c>
      <c r="U840" s="345">
        <v>1</v>
      </c>
      <c r="V840" s="345">
        <v>56.5</v>
      </c>
      <c r="W840" s="345">
        <v>820.5</v>
      </c>
      <c r="X840" s="345">
        <v>0.5</v>
      </c>
      <c r="Y840" s="345">
        <v>53</v>
      </c>
      <c r="Z840" s="345">
        <v>748.2</v>
      </c>
      <c r="AA840">
        <f t="shared" si="12"/>
        <v>1</v>
      </c>
    </row>
    <row r="841" spans="1:27" ht="28.8" x14ac:dyDescent="0.3">
      <c r="A841" s="345" t="s">
        <v>2509</v>
      </c>
      <c r="B841" s="805"/>
      <c r="C841" s="802"/>
      <c r="D841" s="802"/>
      <c r="E841" s="803"/>
      <c r="F841" s="805">
        <v>94.5</v>
      </c>
      <c r="G841" s="803"/>
      <c r="H841" s="345">
        <v>841</v>
      </c>
      <c r="I841" s="345">
        <v>4</v>
      </c>
      <c r="J841" s="345">
        <v>112.5</v>
      </c>
      <c r="K841" s="345">
        <v>982.3</v>
      </c>
      <c r="L841" s="346"/>
      <c r="M841" s="346"/>
      <c r="N841" s="346"/>
      <c r="O841" s="345"/>
      <c r="P841" s="345"/>
      <c r="Q841" s="345"/>
      <c r="R841" s="345">
        <v>1</v>
      </c>
      <c r="S841" s="345">
        <v>51</v>
      </c>
      <c r="T841" s="345">
        <v>740.2</v>
      </c>
      <c r="U841" s="345">
        <v>1.5</v>
      </c>
      <c r="V841" s="345">
        <v>58</v>
      </c>
      <c r="W841" s="345">
        <v>822</v>
      </c>
      <c r="X841" s="345">
        <v>1.5</v>
      </c>
      <c r="Y841" s="345">
        <v>54.5</v>
      </c>
      <c r="Z841" s="345">
        <v>749.7</v>
      </c>
      <c r="AA841">
        <f t="shared" si="12"/>
        <v>4</v>
      </c>
    </row>
    <row r="842" spans="1:27" ht="28.8" x14ac:dyDescent="0.3">
      <c r="A842" s="345" t="s">
        <v>2510</v>
      </c>
      <c r="B842" s="805"/>
      <c r="C842" s="802"/>
      <c r="D842" s="802"/>
      <c r="E842" s="803"/>
      <c r="F842" s="805">
        <v>97.5</v>
      </c>
      <c r="G842" s="803"/>
      <c r="H842" s="345">
        <v>844</v>
      </c>
      <c r="I842" s="345">
        <v>4</v>
      </c>
      <c r="J842" s="345">
        <v>116.5</v>
      </c>
      <c r="K842" s="345">
        <v>986.3</v>
      </c>
      <c r="L842" s="346"/>
      <c r="M842" s="346"/>
      <c r="N842" s="346"/>
      <c r="O842" s="345"/>
      <c r="P842" s="345"/>
      <c r="Q842" s="345"/>
      <c r="R842" s="345">
        <v>2.8</v>
      </c>
      <c r="S842" s="345">
        <v>53.8</v>
      </c>
      <c r="T842" s="345">
        <v>743</v>
      </c>
      <c r="U842" s="345">
        <v>3.5</v>
      </c>
      <c r="V842" s="345">
        <v>61.5</v>
      </c>
      <c r="W842" s="345">
        <v>825.5</v>
      </c>
      <c r="X842" s="345">
        <v>3</v>
      </c>
      <c r="Y842" s="345">
        <v>57.5</v>
      </c>
      <c r="Z842" s="345">
        <v>752.7</v>
      </c>
      <c r="AA842">
        <f t="shared" si="12"/>
        <v>4</v>
      </c>
    </row>
    <row r="843" spans="1:27" ht="28.8" x14ac:dyDescent="0.3">
      <c r="A843" s="345" t="s">
        <v>2511</v>
      </c>
      <c r="B843" s="805"/>
      <c r="C843" s="802"/>
      <c r="D843" s="802"/>
      <c r="E843" s="803"/>
      <c r="F843" s="805">
        <v>154.5</v>
      </c>
      <c r="G843" s="803"/>
      <c r="H843" s="345">
        <v>901</v>
      </c>
      <c r="I843" s="345">
        <v>56</v>
      </c>
      <c r="J843" s="345">
        <v>172.5</v>
      </c>
      <c r="K843" s="345">
        <v>1042.3</v>
      </c>
      <c r="L843" s="346"/>
      <c r="M843" s="346"/>
      <c r="N843" s="346"/>
      <c r="O843" s="345"/>
      <c r="P843" s="345"/>
      <c r="Q843" s="345"/>
      <c r="R843" s="345">
        <v>37</v>
      </c>
      <c r="S843" s="345">
        <v>90.8</v>
      </c>
      <c r="T843" s="345">
        <v>780</v>
      </c>
      <c r="U843" s="345">
        <v>47</v>
      </c>
      <c r="V843" s="345">
        <v>108.5</v>
      </c>
      <c r="W843" s="345">
        <v>872.5</v>
      </c>
      <c r="X843" s="345">
        <v>47</v>
      </c>
      <c r="Y843" s="345">
        <v>104.5</v>
      </c>
      <c r="Z843" s="345">
        <v>799.7</v>
      </c>
      <c r="AA843">
        <f t="shared" ref="AA843:AA906" si="13">MAX(B843+I843+L843+O843)</f>
        <v>56</v>
      </c>
    </row>
    <row r="844" spans="1:27" ht="28.8" x14ac:dyDescent="0.3">
      <c r="A844" s="345" t="s">
        <v>2512</v>
      </c>
      <c r="B844" s="805"/>
      <c r="C844" s="802"/>
      <c r="D844" s="802"/>
      <c r="E844" s="803"/>
      <c r="F844" s="805">
        <v>155</v>
      </c>
      <c r="G844" s="803"/>
      <c r="H844" s="345">
        <v>901.5</v>
      </c>
      <c r="I844" s="345">
        <v>1</v>
      </c>
      <c r="J844" s="345">
        <v>173.5</v>
      </c>
      <c r="K844" s="345">
        <v>1043.3</v>
      </c>
      <c r="L844" s="346"/>
      <c r="M844" s="346"/>
      <c r="N844" s="346"/>
      <c r="O844" s="345"/>
      <c r="P844" s="345"/>
      <c r="Q844" s="345"/>
      <c r="R844" s="345">
        <v>0.2</v>
      </c>
      <c r="S844" s="345">
        <v>91</v>
      </c>
      <c r="T844" s="345">
        <v>780.2</v>
      </c>
      <c r="U844" s="345">
        <v>0.5</v>
      </c>
      <c r="V844" s="345">
        <v>109</v>
      </c>
      <c r="W844" s="345">
        <v>873</v>
      </c>
      <c r="X844" s="345">
        <v>0.5</v>
      </c>
      <c r="Y844" s="345">
        <v>105</v>
      </c>
      <c r="Z844" s="345">
        <v>800.2</v>
      </c>
      <c r="AA844">
        <f t="shared" si="13"/>
        <v>1</v>
      </c>
    </row>
    <row r="845" spans="1:27" ht="28.8" x14ac:dyDescent="0.3">
      <c r="A845" s="345" t="s">
        <v>2513</v>
      </c>
      <c r="B845" s="805"/>
      <c r="C845" s="802"/>
      <c r="D845" s="802"/>
      <c r="E845" s="803"/>
      <c r="F845" s="805">
        <v>155</v>
      </c>
      <c r="G845" s="803"/>
      <c r="H845" s="345">
        <v>901.5</v>
      </c>
      <c r="I845" s="345">
        <v>0.5</v>
      </c>
      <c r="J845" s="345">
        <v>174</v>
      </c>
      <c r="K845" s="345">
        <v>1043.8</v>
      </c>
      <c r="L845" s="346"/>
      <c r="M845" s="346"/>
      <c r="N845" s="346"/>
      <c r="O845" s="345"/>
      <c r="P845" s="345"/>
      <c r="Q845" s="345"/>
      <c r="R845" s="345">
        <v>0.2</v>
      </c>
      <c r="S845" s="345">
        <v>91.2</v>
      </c>
      <c r="T845" s="345">
        <v>780.4</v>
      </c>
      <c r="U845" s="345">
        <v>0.5</v>
      </c>
      <c r="V845" s="345">
        <v>109.5</v>
      </c>
      <c r="W845" s="345">
        <v>873.5</v>
      </c>
      <c r="X845" s="345">
        <v>0</v>
      </c>
      <c r="Y845" s="345">
        <v>105</v>
      </c>
      <c r="Z845" s="345">
        <v>800.2</v>
      </c>
      <c r="AA845">
        <f t="shared" si="13"/>
        <v>0.5</v>
      </c>
    </row>
    <row r="846" spans="1:27" ht="28.8" x14ac:dyDescent="0.3">
      <c r="A846" s="345" t="s">
        <v>2514</v>
      </c>
      <c r="B846" s="805"/>
      <c r="C846" s="802"/>
      <c r="D846" s="802"/>
      <c r="E846" s="803"/>
      <c r="F846" s="805">
        <v>168</v>
      </c>
      <c r="G846" s="803"/>
      <c r="H846" s="345">
        <v>914.5</v>
      </c>
      <c r="I846" s="345">
        <v>10</v>
      </c>
      <c r="J846" s="345">
        <v>184</v>
      </c>
      <c r="K846" s="345">
        <v>1053.8</v>
      </c>
      <c r="L846" s="346"/>
      <c r="M846" s="346"/>
      <c r="N846" s="346"/>
      <c r="O846" s="345"/>
      <c r="P846" s="345"/>
      <c r="Q846" s="345"/>
      <c r="R846" s="345">
        <v>19</v>
      </c>
      <c r="S846" s="345">
        <v>110.2</v>
      </c>
      <c r="T846" s="345">
        <v>799.4</v>
      </c>
      <c r="U846" s="345">
        <v>21</v>
      </c>
      <c r="V846" s="345">
        <v>130.5</v>
      </c>
      <c r="W846" s="345">
        <v>894.5</v>
      </c>
      <c r="X846" s="345">
        <v>22.5</v>
      </c>
      <c r="Y846" s="345">
        <v>127.5</v>
      </c>
      <c r="Z846" s="345">
        <v>822.7</v>
      </c>
      <c r="AA846">
        <f t="shared" si="13"/>
        <v>10</v>
      </c>
    </row>
    <row r="847" spans="1:27" ht="28.8" x14ac:dyDescent="0.3">
      <c r="A847" s="345" t="s">
        <v>2515</v>
      </c>
      <c r="B847" s="805"/>
      <c r="C847" s="802"/>
      <c r="D847" s="802"/>
      <c r="E847" s="803"/>
      <c r="F847" s="805">
        <v>186</v>
      </c>
      <c r="G847" s="803"/>
      <c r="H847" s="345">
        <v>932.5</v>
      </c>
      <c r="I847" s="345">
        <v>16</v>
      </c>
      <c r="J847" s="345">
        <v>200</v>
      </c>
      <c r="K847" s="345">
        <v>1069.8</v>
      </c>
      <c r="L847" s="346"/>
      <c r="M847" s="346"/>
      <c r="N847" s="346"/>
      <c r="O847" s="345"/>
      <c r="P847" s="345"/>
      <c r="Q847" s="345"/>
      <c r="R847" s="345">
        <v>8.6</v>
      </c>
      <c r="S847" s="345">
        <v>118.8</v>
      </c>
      <c r="T847" s="345">
        <v>808</v>
      </c>
      <c r="U847" s="345">
        <v>10</v>
      </c>
      <c r="V847" s="345">
        <v>140.5</v>
      </c>
      <c r="W847" s="345">
        <v>904.5</v>
      </c>
      <c r="X847" s="345">
        <v>6.5</v>
      </c>
      <c r="Y847" s="345">
        <v>134</v>
      </c>
      <c r="Z847" s="345">
        <v>829.2</v>
      </c>
      <c r="AA847">
        <f t="shared" si="13"/>
        <v>16</v>
      </c>
    </row>
    <row r="848" spans="1:27" ht="28.8" x14ac:dyDescent="0.3">
      <c r="A848" s="345" t="s">
        <v>2516</v>
      </c>
      <c r="B848" s="805"/>
      <c r="C848" s="802"/>
      <c r="D848" s="802"/>
      <c r="E848" s="803"/>
      <c r="F848" s="805">
        <v>197</v>
      </c>
      <c r="G848" s="803"/>
      <c r="H848" s="345">
        <v>943.5</v>
      </c>
      <c r="I848" s="345">
        <v>7.5</v>
      </c>
      <c r="J848" s="345">
        <v>207.5</v>
      </c>
      <c r="K848" s="345">
        <v>1077.3</v>
      </c>
      <c r="L848" s="346"/>
      <c r="M848" s="346"/>
      <c r="N848" s="346"/>
      <c r="O848" s="345"/>
      <c r="P848" s="345"/>
      <c r="Q848" s="345"/>
      <c r="R848" s="345">
        <v>6.8</v>
      </c>
      <c r="S848" s="345">
        <v>125.6</v>
      </c>
      <c r="T848" s="345">
        <v>814.8</v>
      </c>
      <c r="U848" s="345">
        <v>7.5</v>
      </c>
      <c r="V848" s="345">
        <v>148</v>
      </c>
      <c r="W848" s="345">
        <v>912</v>
      </c>
      <c r="X848" s="345">
        <v>7.5</v>
      </c>
      <c r="Y848" s="345">
        <v>141.5</v>
      </c>
      <c r="Z848" s="345">
        <v>836.7</v>
      </c>
      <c r="AA848">
        <f t="shared" si="13"/>
        <v>7.5</v>
      </c>
    </row>
    <row r="849" spans="1:27" ht="28.8" x14ac:dyDescent="0.3">
      <c r="A849" s="345" t="s">
        <v>2517</v>
      </c>
      <c r="B849" s="805"/>
      <c r="C849" s="802"/>
      <c r="D849" s="802"/>
      <c r="E849" s="803"/>
      <c r="F849" s="805">
        <v>208.5</v>
      </c>
      <c r="G849" s="803"/>
      <c r="H849" s="345">
        <v>955</v>
      </c>
      <c r="I849" s="345">
        <v>9.5</v>
      </c>
      <c r="J849" s="345">
        <v>217</v>
      </c>
      <c r="K849" s="345">
        <v>1086.8</v>
      </c>
      <c r="L849" s="346"/>
      <c r="M849" s="346"/>
      <c r="N849" s="346"/>
      <c r="O849" s="345"/>
      <c r="P849" s="345"/>
      <c r="Q849" s="345"/>
      <c r="R849" s="345">
        <v>6.8</v>
      </c>
      <c r="S849" s="345">
        <v>132.4</v>
      </c>
      <c r="T849" s="345">
        <v>821.6</v>
      </c>
      <c r="U849" s="345">
        <v>7.5</v>
      </c>
      <c r="V849" s="345">
        <v>155.5</v>
      </c>
      <c r="W849" s="345">
        <v>919.5</v>
      </c>
      <c r="X849" s="345">
        <v>8.5</v>
      </c>
      <c r="Y849" s="345">
        <v>150</v>
      </c>
      <c r="Z849" s="345">
        <v>845.2</v>
      </c>
      <c r="AA849">
        <f t="shared" si="13"/>
        <v>9.5</v>
      </c>
    </row>
    <row r="850" spans="1:27" ht="28.8" x14ac:dyDescent="0.3">
      <c r="A850" s="345" t="s">
        <v>2518</v>
      </c>
      <c r="B850" s="805"/>
      <c r="C850" s="802"/>
      <c r="D850" s="802"/>
      <c r="E850" s="803"/>
      <c r="F850" s="805">
        <v>230</v>
      </c>
      <c r="G850" s="803"/>
      <c r="H850" s="345">
        <v>976.5</v>
      </c>
      <c r="I850" s="345">
        <v>30.5</v>
      </c>
      <c r="J850" s="345">
        <v>247.5</v>
      </c>
      <c r="K850" s="345">
        <v>1117.3</v>
      </c>
      <c r="L850" s="346"/>
      <c r="M850" s="346"/>
      <c r="N850" s="346"/>
      <c r="O850" s="345"/>
      <c r="P850" s="345"/>
      <c r="Q850" s="345"/>
      <c r="R850" s="345">
        <v>21.4</v>
      </c>
      <c r="S850" s="345">
        <v>153.80000000000001</v>
      </c>
      <c r="T850" s="345">
        <v>843</v>
      </c>
      <c r="U850" s="345">
        <v>23.5</v>
      </c>
      <c r="V850" s="345">
        <v>179</v>
      </c>
      <c r="W850" s="345">
        <v>943</v>
      </c>
      <c r="X850" s="345">
        <v>21</v>
      </c>
      <c r="Y850" s="345">
        <v>171</v>
      </c>
      <c r="Z850" s="345">
        <v>866.2</v>
      </c>
      <c r="AA850">
        <f t="shared" si="13"/>
        <v>30.5</v>
      </c>
    </row>
    <row r="851" spans="1:27" ht="28.8" x14ac:dyDescent="0.3">
      <c r="A851" s="345" t="s">
        <v>2519</v>
      </c>
      <c r="B851" s="805"/>
      <c r="C851" s="802"/>
      <c r="D851" s="802"/>
      <c r="E851" s="803"/>
      <c r="F851" s="805">
        <v>235.5</v>
      </c>
      <c r="G851" s="803"/>
      <c r="H851" s="345">
        <v>982</v>
      </c>
      <c r="I851" s="345">
        <v>3</v>
      </c>
      <c r="J851" s="345">
        <v>250.5</v>
      </c>
      <c r="K851" s="345">
        <v>1120.3</v>
      </c>
      <c r="L851" s="346"/>
      <c r="M851" s="346"/>
      <c r="N851" s="346"/>
      <c r="O851" s="345"/>
      <c r="P851" s="345"/>
      <c r="Q851" s="345"/>
      <c r="R851" s="345">
        <v>4</v>
      </c>
      <c r="S851" s="345">
        <v>157.80000000000001</v>
      </c>
      <c r="T851" s="345">
        <v>847</v>
      </c>
      <c r="U851" s="345">
        <v>4.5</v>
      </c>
      <c r="V851" s="345">
        <v>183.5</v>
      </c>
      <c r="W851" s="345">
        <v>947.5</v>
      </c>
      <c r="X851" s="345">
        <v>5.5</v>
      </c>
      <c r="Y851" s="345">
        <v>176.5</v>
      </c>
      <c r="Z851" s="345">
        <v>871.7</v>
      </c>
      <c r="AA851">
        <f t="shared" si="13"/>
        <v>3</v>
      </c>
    </row>
    <row r="852" spans="1:27" ht="28.8" x14ac:dyDescent="0.3">
      <c r="A852" s="345" t="s">
        <v>2520</v>
      </c>
      <c r="B852" s="805"/>
      <c r="C852" s="802"/>
      <c r="D852" s="802"/>
      <c r="E852" s="803"/>
      <c r="F852" s="805">
        <v>238</v>
      </c>
      <c r="G852" s="803"/>
      <c r="H852" s="345">
        <v>984.5</v>
      </c>
      <c r="I852" s="345">
        <v>1.5</v>
      </c>
      <c r="J852" s="345">
        <v>252</v>
      </c>
      <c r="K852" s="345">
        <v>1121.8</v>
      </c>
      <c r="L852" s="346"/>
      <c r="M852" s="346"/>
      <c r="N852" s="346"/>
      <c r="O852" s="345"/>
      <c r="P852" s="345"/>
      <c r="Q852" s="345"/>
      <c r="R852" s="345">
        <v>3.8</v>
      </c>
      <c r="S852" s="345">
        <v>161.6</v>
      </c>
      <c r="T852" s="345">
        <v>850.8</v>
      </c>
      <c r="U852" s="345">
        <v>4.5</v>
      </c>
      <c r="V852" s="345">
        <v>188</v>
      </c>
      <c r="W852" s="345">
        <v>952</v>
      </c>
      <c r="X852" s="345">
        <v>5</v>
      </c>
      <c r="Y852" s="345">
        <v>181.5</v>
      </c>
      <c r="Z852" s="345">
        <v>876.7</v>
      </c>
      <c r="AA852">
        <f t="shared" si="13"/>
        <v>1.5</v>
      </c>
    </row>
    <row r="853" spans="1:27" s="362" customFormat="1" ht="28.8" x14ac:dyDescent="0.3">
      <c r="A853" s="359" t="s">
        <v>2521</v>
      </c>
      <c r="B853" s="811"/>
      <c r="C853" s="812"/>
      <c r="D853" s="812"/>
      <c r="E853" s="813"/>
      <c r="F853" s="811">
        <v>244.5</v>
      </c>
      <c r="G853" s="813"/>
      <c r="H853" s="359">
        <v>991</v>
      </c>
      <c r="I853" s="359">
        <v>6.5</v>
      </c>
      <c r="J853" s="359">
        <v>258.5</v>
      </c>
      <c r="K853" s="359">
        <v>1128.3</v>
      </c>
      <c r="L853" s="359"/>
      <c r="M853" s="359"/>
      <c r="N853" s="359"/>
      <c r="O853" s="359"/>
      <c r="P853" s="359"/>
      <c r="Q853" s="359"/>
      <c r="R853" s="359">
        <v>6.2</v>
      </c>
      <c r="S853" s="359">
        <v>167.8</v>
      </c>
      <c r="T853" s="359">
        <v>857</v>
      </c>
      <c r="U853" s="359">
        <v>7</v>
      </c>
      <c r="V853" s="359">
        <v>195</v>
      </c>
      <c r="W853" s="359">
        <v>959</v>
      </c>
      <c r="X853" s="359">
        <v>6.5</v>
      </c>
      <c r="Y853" s="359">
        <v>188</v>
      </c>
      <c r="Z853" s="359">
        <v>883.2</v>
      </c>
      <c r="AA853" s="362">
        <f t="shared" si="13"/>
        <v>6.5</v>
      </c>
    </row>
    <row r="854" spans="1:27" ht="28.8" x14ac:dyDescent="0.3">
      <c r="A854" s="345" t="s">
        <v>2522</v>
      </c>
      <c r="B854" s="805"/>
      <c r="C854" s="802"/>
      <c r="D854" s="802"/>
      <c r="E854" s="803"/>
      <c r="F854" s="805">
        <v>12.5</v>
      </c>
      <c r="G854" s="803"/>
      <c r="H854" s="345">
        <v>1003.5</v>
      </c>
      <c r="I854" s="345">
        <v>13.5</v>
      </c>
      <c r="J854" s="345">
        <v>13.5</v>
      </c>
      <c r="K854" s="345">
        <v>1141.8</v>
      </c>
      <c r="L854" s="346"/>
      <c r="M854" s="346"/>
      <c r="N854" s="346"/>
      <c r="O854" s="345"/>
      <c r="P854" s="345"/>
      <c r="Q854" s="345"/>
      <c r="R854" s="345">
        <v>14.6</v>
      </c>
      <c r="S854" s="345">
        <v>14.6</v>
      </c>
      <c r="T854" s="345">
        <v>871.6</v>
      </c>
      <c r="U854" s="345">
        <v>15</v>
      </c>
      <c r="V854" s="345">
        <v>15</v>
      </c>
      <c r="W854" s="345">
        <v>974</v>
      </c>
      <c r="X854" s="345">
        <v>12.5</v>
      </c>
      <c r="Y854" s="345">
        <v>12.5</v>
      </c>
      <c r="Z854" s="345">
        <v>895.7</v>
      </c>
      <c r="AA854">
        <f t="shared" si="13"/>
        <v>13.5</v>
      </c>
    </row>
    <row r="855" spans="1:27" ht="28.8" x14ac:dyDescent="0.3">
      <c r="A855" s="345" t="s">
        <v>2523</v>
      </c>
      <c r="B855" s="805"/>
      <c r="C855" s="802"/>
      <c r="D855" s="802"/>
      <c r="E855" s="803"/>
      <c r="F855" s="805">
        <v>16</v>
      </c>
      <c r="G855" s="803"/>
      <c r="H855" s="345">
        <v>1007</v>
      </c>
      <c r="I855" s="345">
        <v>2.5</v>
      </c>
      <c r="J855" s="345">
        <v>16</v>
      </c>
      <c r="K855" s="345">
        <v>1144.3</v>
      </c>
      <c r="L855" s="346"/>
      <c r="M855" s="346"/>
      <c r="N855" s="346"/>
      <c r="O855" s="345"/>
      <c r="P855" s="345"/>
      <c r="Q855" s="345"/>
      <c r="R855" s="345">
        <v>4</v>
      </c>
      <c r="S855" s="345">
        <v>18.600000000000001</v>
      </c>
      <c r="T855" s="345">
        <v>875.6</v>
      </c>
      <c r="U855" s="345">
        <v>6.5</v>
      </c>
      <c r="V855" s="345">
        <v>21.5</v>
      </c>
      <c r="W855" s="345">
        <v>980.5</v>
      </c>
      <c r="X855" s="345">
        <v>6.5</v>
      </c>
      <c r="Y855" s="345">
        <v>19</v>
      </c>
      <c r="Z855" s="345">
        <v>902.2</v>
      </c>
      <c r="AA855">
        <f t="shared" si="13"/>
        <v>2.5</v>
      </c>
    </row>
    <row r="856" spans="1:27" ht="28.8" x14ac:dyDescent="0.3">
      <c r="A856" s="345" t="s">
        <v>2524</v>
      </c>
      <c r="B856" s="805"/>
      <c r="C856" s="802"/>
      <c r="D856" s="802"/>
      <c r="E856" s="803"/>
      <c r="F856" s="805">
        <v>16</v>
      </c>
      <c r="G856" s="803"/>
      <c r="H856" s="345">
        <v>1007</v>
      </c>
      <c r="I856" s="345">
        <v>0</v>
      </c>
      <c r="J856" s="345">
        <v>16</v>
      </c>
      <c r="K856" s="345">
        <v>1144.3</v>
      </c>
      <c r="L856" s="346"/>
      <c r="M856" s="346"/>
      <c r="N856" s="346"/>
      <c r="O856" s="345"/>
      <c r="P856" s="345"/>
      <c r="Q856" s="345"/>
      <c r="R856" s="345">
        <v>0</v>
      </c>
      <c r="S856" s="345">
        <v>18.600000000000001</v>
      </c>
      <c r="T856" s="345">
        <v>875.6</v>
      </c>
      <c r="U856" s="345">
        <v>0</v>
      </c>
      <c r="V856" s="345">
        <v>21.5</v>
      </c>
      <c r="W856" s="345">
        <v>980.5</v>
      </c>
      <c r="X856" s="345">
        <v>0</v>
      </c>
      <c r="Y856" s="345">
        <v>19</v>
      </c>
      <c r="Z856" s="345">
        <v>902.2</v>
      </c>
      <c r="AA856">
        <f t="shared" si="13"/>
        <v>0</v>
      </c>
    </row>
    <row r="857" spans="1:27" ht="28.8" x14ac:dyDescent="0.3">
      <c r="A857" s="345" t="s">
        <v>2525</v>
      </c>
      <c r="B857" s="805"/>
      <c r="C857" s="802"/>
      <c r="D857" s="802"/>
      <c r="E857" s="803"/>
      <c r="F857" s="805">
        <v>47</v>
      </c>
      <c r="G857" s="803"/>
      <c r="H857" s="345">
        <v>1038</v>
      </c>
      <c r="I857" s="345">
        <v>32</v>
      </c>
      <c r="J857" s="345">
        <v>48</v>
      </c>
      <c r="K857" s="345">
        <v>1176.3</v>
      </c>
      <c r="L857" s="346"/>
      <c r="M857" s="346"/>
      <c r="N857" s="346"/>
      <c r="O857" s="345"/>
      <c r="P857" s="345"/>
      <c r="Q857" s="345"/>
      <c r="R857" s="345">
        <v>13.6</v>
      </c>
      <c r="S857" s="345">
        <v>32.200000000000003</v>
      </c>
      <c r="T857" s="345">
        <v>889.2</v>
      </c>
      <c r="U857" s="345">
        <v>15.5</v>
      </c>
      <c r="V857" s="345">
        <v>37</v>
      </c>
      <c r="W857" s="345">
        <v>996</v>
      </c>
      <c r="X857" s="345">
        <v>17</v>
      </c>
      <c r="Y857" s="345">
        <v>36</v>
      </c>
      <c r="Z857" s="345">
        <v>919.2</v>
      </c>
      <c r="AA857">
        <f t="shared" si="13"/>
        <v>32</v>
      </c>
    </row>
    <row r="858" spans="1:27" ht="28.8" x14ac:dyDescent="0.3">
      <c r="A858" s="345" t="s">
        <v>2526</v>
      </c>
      <c r="B858" s="805"/>
      <c r="C858" s="802"/>
      <c r="D858" s="802"/>
      <c r="E858" s="803"/>
      <c r="F858" s="805">
        <v>47</v>
      </c>
      <c r="G858" s="803"/>
      <c r="H858" s="345">
        <v>1038</v>
      </c>
      <c r="I858" s="345">
        <v>0</v>
      </c>
      <c r="J858" s="345">
        <v>48</v>
      </c>
      <c r="K858" s="345">
        <v>1176.3</v>
      </c>
      <c r="L858" s="346"/>
      <c r="M858" s="346"/>
      <c r="N858" s="346"/>
      <c r="O858" s="345"/>
      <c r="P858" s="345"/>
      <c r="Q858" s="345"/>
      <c r="R858" s="345">
        <v>0</v>
      </c>
      <c r="S858" s="345">
        <v>32.200000000000003</v>
      </c>
      <c r="T858" s="345">
        <v>889.2</v>
      </c>
      <c r="U858" s="345">
        <v>0</v>
      </c>
      <c r="V858" s="345">
        <v>37</v>
      </c>
      <c r="W858" s="345">
        <v>996</v>
      </c>
      <c r="X858" s="345">
        <v>0</v>
      </c>
      <c r="Y858" s="345">
        <v>36</v>
      </c>
      <c r="Z858" s="345">
        <v>919.2</v>
      </c>
      <c r="AA858">
        <f t="shared" si="13"/>
        <v>0</v>
      </c>
    </row>
    <row r="859" spans="1:27" ht="28.8" x14ac:dyDescent="0.3">
      <c r="A859" s="345" t="s">
        <v>2527</v>
      </c>
      <c r="B859" s="805"/>
      <c r="C859" s="802"/>
      <c r="D859" s="802"/>
      <c r="E859" s="803"/>
      <c r="F859" s="805">
        <v>47.5</v>
      </c>
      <c r="G859" s="803"/>
      <c r="H859" s="345">
        <v>1038.5</v>
      </c>
      <c r="I859" s="345">
        <v>0.5</v>
      </c>
      <c r="J859" s="345">
        <v>48.5</v>
      </c>
      <c r="K859" s="345">
        <v>1176.8</v>
      </c>
      <c r="L859" s="346"/>
      <c r="M859" s="346"/>
      <c r="N859" s="346"/>
      <c r="O859" s="345"/>
      <c r="P859" s="345"/>
      <c r="Q859" s="345"/>
      <c r="R859" s="345">
        <v>0.4</v>
      </c>
      <c r="S859" s="345">
        <v>32.6</v>
      </c>
      <c r="T859" s="345">
        <v>889.6</v>
      </c>
      <c r="U859" s="345">
        <v>1</v>
      </c>
      <c r="V859" s="345">
        <v>38</v>
      </c>
      <c r="W859" s="345">
        <v>997</v>
      </c>
      <c r="X859" s="345">
        <v>1</v>
      </c>
      <c r="Y859" s="345">
        <v>37</v>
      </c>
      <c r="Z859" s="345">
        <v>920.2</v>
      </c>
      <c r="AA859">
        <f t="shared" si="13"/>
        <v>0.5</v>
      </c>
    </row>
    <row r="860" spans="1:27" ht="28.8" x14ac:dyDescent="0.3">
      <c r="A860" s="345" t="s">
        <v>2528</v>
      </c>
      <c r="B860" s="805"/>
      <c r="C860" s="802"/>
      <c r="D860" s="802"/>
      <c r="E860" s="803"/>
      <c r="F860" s="805">
        <v>50</v>
      </c>
      <c r="G860" s="803"/>
      <c r="H860" s="345">
        <v>1041</v>
      </c>
      <c r="I860" s="345"/>
      <c r="J860" s="345"/>
      <c r="K860" s="345"/>
      <c r="L860" s="346"/>
      <c r="M860" s="346"/>
      <c r="N860" s="346"/>
      <c r="O860" s="345"/>
      <c r="P860" s="345"/>
      <c r="Q860" s="345"/>
      <c r="R860" s="345">
        <v>8.4</v>
      </c>
      <c r="S860" s="345">
        <v>41</v>
      </c>
      <c r="T860" s="345">
        <v>898</v>
      </c>
      <c r="U860" s="345">
        <v>10</v>
      </c>
      <c r="V860" s="345">
        <v>48</v>
      </c>
      <c r="W860" s="345">
        <v>1007</v>
      </c>
      <c r="X860" s="345">
        <v>7.5</v>
      </c>
      <c r="Y860" s="345">
        <v>44.5</v>
      </c>
      <c r="Z860" s="345">
        <v>927.7</v>
      </c>
      <c r="AA860">
        <f t="shared" si="13"/>
        <v>0</v>
      </c>
    </row>
    <row r="861" spans="1:27" ht="28.8" x14ac:dyDescent="0.3">
      <c r="A861" s="345" t="s">
        <v>2529</v>
      </c>
      <c r="B861" s="805"/>
      <c r="C861" s="802"/>
      <c r="D861" s="802"/>
      <c r="E861" s="803"/>
      <c r="F861" s="805">
        <v>51.5</v>
      </c>
      <c r="G861" s="803"/>
      <c r="H861" s="345">
        <v>1042.5</v>
      </c>
      <c r="I861" s="345">
        <v>2</v>
      </c>
      <c r="J861" s="345">
        <v>50.5</v>
      </c>
      <c r="K861" s="345">
        <v>1178.8</v>
      </c>
      <c r="L861" s="346"/>
      <c r="M861" s="346"/>
      <c r="N861" s="346"/>
      <c r="O861" s="345"/>
      <c r="P861" s="345"/>
      <c r="Q861" s="345"/>
      <c r="R861" s="345">
        <v>0.2</v>
      </c>
      <c r="S861" s="345">
        <v>41.2</v>
      </c>
      <c r="T861" s="345">
        <v>898.2</v>
      </c>
      <c r="U861" s="345">
        <v>1</v>
      </c>
      <c r="V861" s="345">
        <v>49</v>
      </c>
      <c r="W861" s="345">
        <v>1008</v>
      </c>
      <c r="X861" s="345">
        <v>0.5</v>
      </c>
      <c r="Y861" s="345">
        <v>45</v>
      </c>
      <c r="Z861" s="345">
        <v>928.2</v>
      </c>
      <c r="AA861">
        <f t="shared" si="13"/>
        <v>2</v>
      </c>
    </row>
    <row r="862" spans="1:27" ht="28.8" x14ac:dyDescent="0.3">
      <c r="A862" s="345" t="s">
        <v>2530</v>
      </c>
      <c r="B862" s="805"/>
      <c r="C862" s="802"/>
      <c r="D862" s="802"/>
      <c r="E862" s="803"/>
      <c r="F862" s="805">
        <v>51.5</v>
      </c>
      <c r="G862" s="803"/>
      <c r="H862" s="345">
        <v>1042.5</v>
      </c>
      <c r="I862" s="345">
        <v>0</v>
      </c>
      <c r="J862" s="345">
        <v>50.5</v>
      </c>
      <c r="K862" s="345">
        <v>1178.8</v>
      </c>
      <c r="L862" s="346"/>
      <c r="M862" s="346"/>
      <c r="N862" s="346"/>
      <c r="O862" s="345"/>
      <c r="P862" s="345"/>
      <c r="Q862" s="345"/>
      <c r="R862" s="345">
        <v>0</v>
      </c>
      <c r="S862" s="345">
        <v>41.2</v>
      </c>
      <c r="T862" s="345">
        <v>898.2</v>
      </c>
      <c r="U862" s="345">
        <v>0</v>
      </c>
      <c r="V862" s="345">
        <v>49</v>
      </c>
      <c r="W862" s="345">
        <v>1008</v>
      </c>
      <c r="X862" s="345">
        <v>0</v>
      </c>
      <c r="Y862" s="345">
        <v>45</v>
      </c>
      <c r="Z862" s="345">
        <v>928.2</v>
      </c>
      <c r="AA862">
        <f t="shared" si="13"/>
        <v>0</v>
      </c>
    </row>
    <row r="863" spans="1:27" ht="28.8" x14ac:dyDescent="0.3">
      <c r="A863" s="345" t="s">
        <v>2531</v>
      </c>
      <c r="B863" s="805"/>
      <c r="C863" s="802"/>
      <c r="D863" s="802"/>
      <c r="E863" s="803"/>
      <c r="F863" s="805">
        <v>54</v>
      </c>
      <c r="G863" s="803"/>
      <c r="H863" s="345">
        <v>1045</v>
      </c>
      <c r="I863" s="345">
        <v>4</v>
      </c>
      <c r="J863" s="345">
        <v>54.5</v>
      </c>
      <c r="K863" s="345">
        <v>1182.8</v>
      </c>
      <c r="L863" s="346"/>
      <c r="M863" s="346"/>
      <c r="N863" s="346"/>
      <c r="O863" s="345"/>
      <c r="P863" s="345"/>
      <c r="Q863" s="345"/>
      <c r="R863" s="345">
        <v>1.2</v>
      </c>
      <c r="S863" s="345">
        <v>42.4</v>
      </c>
      <c r="T863" s="345">
        <v>899.4</v>
      </c>
      <c r="U863" s="345">
        <v>1</v>
      </c>
      <c r="V863" s="345">
        <v>50</v>
      </c>
      <c r="W863" s="345">
        <v>1009</v>
      </c>
      <c r="X863" s="345">
        <v>1</v>
      </c>
      <c r="Y863" s="345">
        <v>46</v>
      </c>
      <c r="Z863" s="345">
        <v>929.2</v>
      </c>
      <c r="AA863">
        <f t="shared" si="13"/>
        <v>4</v>
      </c>
    </row>
    <row r="864" spans="1:27" ht="28.8" x14ac:dyDescent="0.3">
      <c r="A864" s="345" t="s">
        <v>2532</v>
      </c>
      <c r="B864" s="805"/>
      <c r="C864" s="802"/>
      <c r="D864" s="802"/>
      <c r="E864" s="803"/>
      <c r="F864" s="805">
        <v>54.5</v>
      </c>
      <c r="G864" s="803"/>
      <c r="H864" s="345">
        <v>1045.5</v>
      </c>
      <c r="I864" s="345">
        <v>0.5</v>
      </c>
      <c r="J864" s="345">
        <v>55</v>
      </c>
      <c r="K864" s="345">
        <v>1183.3</v>
      </c>
      <c r="L864" s="346"/>
      <c r="M864" s="346"/>
      <c r="N864" s="346"/>
      <c r="O864" s="345"/>
      <c r="P864" s="345"/>
      <c r="Q864" s="345"/>
      <c r="R864" s="345">
        <v>0.2</v>
      </c>
      <c r="S864" s="345">
        <v>42.6</v>
      </c>
      <c r="T864" s="345">
        <v>899.6</v>
      </c>
      <c r="U864" s="345">
        <v>1</v>
      </c>
      <c r="V864" s="345">
        <v>51</v>
      </c>
      <c r="W864" s="345">
        <v>1010</v>
      </c>
      <c r="X864" s="345">
        <v>0.5</v>
      </c>
      <c r="Y864" s="345">
        <v>46.5</v>
      </c>
      <c r="Z864" s="345">
        <v>929.7</v>
      </c>
      <c r="AA864">
        <f t="shared" si="13"/>
        <v>0.5</v>
      </c>
    </row>
    <row r="865" spans="1:27" ht="28.8" x14ac:dyDescent="0.3">
      <c r="A865" s="345" t="s">
        <v>2533</v>
      </c>
      <c r="B865" s="805"/>
      <c r="C865" s="802"/>
      <c r="D865" s="802"/>
      <c r="E865" s="803"/>
      <c r="F865" s="805">
        <v>55.5</v>
      </c>
      <c r="G865" s="803"/>
      <c r="H865" s="345">
        <v>1046.5</v>
      </c>
      <c r="I865" s="345">
        <v>1</v>
      </c>
      <c r="J865" s="345">
        <v>56</v>
      </c>
      <c r="K865" s="345">
        <v>1184.3</v>
      </c>
      <c r="L865" s="346"/>
      <c r="M865" s="346"/>
      <c r="N865" s="346"/>
      <c r="O865" s="345"/>
      <c r="P865" s="345"/>
      <c r="Q865" s="345"/>
      <c r="R865" s="345">
        <v>1</v>
      </c>
      <c r="S865" s="345">
        <v>43.6</v>
      </c>
      <c r="T865" s="345">
        <v>900.6</v>
      </c>
      <c r="U865" s="345">
        <v>0.5</v>
      </c>
      <c r="V865" s="345">
        <v>51.5</v>
      </c>
      <c r="W865" s="345">
        <v>1010.5</v>
      </c>
      <c r="X865" s="345">
        <v>1.5</v>
      </c>
      <c r="Y865" s="345">
        <v>48</v>
      </c>
      <c r="Z865" s="345">
        <v>931.2</v>
      </c>
      <c r="AA865">
        <f t="shared" si="13"/>
        <v>1</v>
      </c>
    </row>
    <row r="866" spans="1:27" ht="28.8" x14ac:dyDescent="0.3">
      <c r="A866" s="345" t="s">
        <v>2534</v>
      </c>
      <c r="B866" s="805"/>
      <c r="C866" s="802"/>
      <c r="D866" s="802"/>
      <c r="E866" s="803"/>
      <c r="F866" s="805">
        <v>55.5</v>
      </c>
      <c r="G866" s="803"/>
      <c r="H866" s="345">
        <v>1046.5</v>
      </c>
      <c r="I866" s="345">
        <v>0</v>
      </c>
      <c r="J866" s="345">
        <v>56</v>
      </c>
      <c r="K866" s="345">
        <v>1184.3</v>
      </c>
      <c r="L866" s="346"/>
      <c r="M866" s="346"/>
      <c r="N866" s="346"/>
      <c r="O866" s="345"/>
      <c r="P866" s="345"/>
      <c r="Q866" s="345"/>
      <c r="R866" s="345">
        <v>0</v>
      </c>
      <c r="S866" s="345">
        <v>43.6</v>
      </c>
      <c r="T866" s="345">
        <v>900.6</v>
      </c>
      <c r="U866" s="345">
        <v>0</v>
      </c>
      <c r="V866" s="345">
        <v>51.5</v>
      </c>
      <c r="W866" s="345">
        <v>1010.5</v>
      </c>
      <c r="X866" s="345">
        <v>0</v>
      </c>
      <c r="Y866" s="345">
        <v>48</v>
      </c>
      <c r="Z866" s="345">
        <v>931.2</v>
      </c>
      <c r="AA866">
        <f t="shared" si="13"/>
        <v>0</v>
      </c>
    </row>
    <row r="867" spans="1:27" ht="28.8" x14ac:dyDescent="0.3">
      <c r="A867" s="345" t="s">
        <v>2535</v>
      </c>
      <c r="B867" s="805"/>
      <c r="C867" s="802"/>
      <c r="D867" s="802"/>
      <c r="E867" s="803"/>
      <c r="F867" s="805">
        <v>55.5</v>
      </c>
      <c r="G867" s="803"/>
      <c r="H867" s="345">
        <v>1046.5</v>
      </c>
      <c r="I867" s="345">
        <v>0</v>
      </c>
      <c r="J867" s="345">
        <v>56</v>
      </c>
      <c r="K867" s="345">
        <v>1184.3</v>
      </c>
      <c r="L867" s="346"/>
      <c r="M867" s="346"/>
      <c r="N867" s="346"/>
      <c r="O867" s="345"/>
      <c r="P867" s="345"/>
      <c r="Q867" s="345"/>
      <c r="R867" s="345">
        <v>0</v>
      </c>
      <c r="S867" s="345">
        <v>43.6</v>
      </c>
      <c r="T867" s="345">
        <v>900.6</v>
      </c>
      <c r="U867" s="345">
        <v>0</v>
      </c>
      <c r="V867" s="345">
        <v>51.5</v>
      </c>
      <c r="W867" s="345">
        <v>1010.5</v>
      </c>
      <c r="X867" s="345">
        <v>0</v>
      </c>
      <c r="Y867" s="345">
        <v>48</v>
      </c>
      <c r="Z867" s="345">
        <v>931.2</v>
      </c>
      <c r="AA867">
        <f t="shared" si="13"/>
        <v>0</v>
      </c>
    </row>
    <row r="868" spans="1:27" ht="28.8" x14ac:dyDescent="0.3">
      <c r="A868" s="345" t="s">
        <v>2536</v>
      </c>
      <c r="B868" s="805"/>
      <c r="C868" s="802"/>
      <c r="D868" s="802"/>
      <c r="E868" s="803"/>
      <c r="F868" s="805">
        <v>55.5</v>
      </c>
      <c r="G868" s="803"/>
      <c r="H868" s="345">
        <v>1046.5</v>
      </c>
      <c r="I868" s="345">
        <v>0.2</v>
      </c>
      <c r="J868" s="345">
        <v>56.2</v>
      </c>
      <c r="K868" s="345">
        <v>1184.5</v>
      </c>
      <c r="L868" s="346"/>
      <c r="M868" s="346"/>
      <c r="N868" s="346"/>
      <c r="O868" s="345"/>
      <c r="P868" s="345"/>
      <c r="Q868" s="345"/>
      <c r="R868" s="345">
        <v>0.4</v>
      </c>
      <c r="S868" s="345">
        <v>44</v>
      </c>
      <c r="T868" s="345">
        <v>901</v>
      </c>
      <c r="U868" s="345">
        <v>0.5</v>
      </c>
      <c r="V868" s="345">
        <v>52</v>
      </c>
      <c r="W868" s="345">
        <v>1011</v>
      </c>
      <c r="X868" s="345">
        <v>0.2</v>
      </c>
      <c r="Y868" s="345">
        <v>48.2</v>
      </c>
      <c r="Z868" s="345">
        <v>931.4</v>
      </c>
      <c r="AA868">
        <f t="shared" si="13"/>
        <v>0.2</v>
      </c>
    </row>
    <row r="869" spans="1:27" ht="28.8" x14ac:dyDescent="0.3">
      <c r="A869" s="345" t="s">
        <v>2537</v>
      </c>
      <c r="B869" s="805"/>
      <c r="C869" s="802"/>
      <c r="D869" s="802"/>
      <c r="E869" s="803"/>
      <c r="F869" s="805">
        <v>55.5</v>
      </c>
      <c r="G869" s="803"/>
      <c r="H869" s="345">
        <v>1046.5</v>
      </c>
      <c r="I869" s="345">
        <v>0</v>
      </c>
      <c r="J869" s="345">
        <v>56.2</v>
      </c>
      <c r="K869" s="345">
        <v>1184.5</v>
      </c>
      <c r="L869" s="346"/>
      <c r="M869" s="346"/>
      <c r="N869" s="346"/>
      <c r="O869" s="345"/>
      <c r="P869" s="345"/>
      <c r="Q869" s="345"/>
      <c r="R869" s="345">
        <v>0</v>
      </c>
      <c r="S869" s="345">
        <v>44</v>
      </c>
      <c r="T869" s="345">
        <v>901</v>
      </c>
      <c r="U869" s="345">
        <v>0</v>
      </c>
      <c r="V869" s="345">
        <v>52</v>
      </c>
      <c r="W869" s="345">
        <v>1011</v>
      </c>
      <c r="X869" s="345">
        <v>0</v>
      </c>
      <c r="Y869" s="345">
        <v>48.2</v>
      </c>
      <c r="Z869" s="345">
        <v>931.4</v>
      </c>
      <c r="AA869">
        <f t="shared" si="13"/>
        <v>0</v>
      </c>
    </row>
    <row r="870" spans="1:27" ht="28.8" x14ac:dyDescent="0.3">
      <c r="A870" s="345" t="s">
        <v>2538</v>
      </c>
      <c r="B870" s="805"/>
      <c r="C870" s="802"/>
      <c r="D870" s="802"/>
      <c r="E870" s="803"/>
      <c r="F870" s="805">
        <v>55.5</v>
      </c>
      <c r="G870" s="803"/>
      <c r="H870" s="345">
        <v>1046.5</v>
      </c>
      <c r="I870" s="345">
        <v>0</v>
      </c>
      <c r="J870" s="345">
        <v>56.2</v>
      </c>
      <c r="K870" s="345">
        <v>1184.5</v>
      </c>
      <c r="L870" s="346"/>
      <c r="M870" s="346"/>
      <c r="N870" s="346"/>
      <c r="O870" s="345"/>
      <c r="P870" s="345"/>
      <c r="Q870" s="345"/>
      <c r="R870" s="345">
        <v>0</v>
      </c>
      <c r="S870" s="345">
        <v>44</v>
      </c>
      <c r="T870" s="345">
        <v>901</v>
      </c>
      <c r="U870" s="345">
        <v>0</v>
      </c>
      <c r="V870" s="345">
        <v>52</v>
      </c>
      <c r="W870" s="345">
        <v>1011</v>
      </c>
      <c r="X870" s="345">
        <v>0</v>
      </c>
      <c r="Y870" s="345">
        <v>48.2</v>
      </c>
      <c r="Z870" s="345">
        <v>931.4</v>
      </c>
      <c r="AA870">
        <f t="shared" si="13"/>
        <v>0</v>
      </c>
    </row>
    <row r="871" spans="1:27" ht="28.8" x14ac:dyDescent="0.3">
      <c r="A871" s="345" t="s">
        <v>2539</v>
      </c>
      <c r="B871" s="805"/>
      <c r="C871" s="802"/>
      <c r="D871" s="802"/>
      <c r="E871" s="803"/>
      <c r="F871" s="805">
        <v>112.5</v>
      </c>
      <c r="G871" s="803"/>
      <c r="H871" s="345">
        <v>1103.5</v>
      </c>
      <c r="I871" s="345">
        <v>60</v>
      </c>
      <c r="J871" s="345">
        <v>116.2</v>
      </c>
      <c r="K871" s="345">
        <v>1244.5</v>
      </c>
      <c r="L871" s="346"/>
      <c r="M871" s="346"/>
      <c r="N871" s="346"/>
      <c r="O871" s="345"/>
      <c r="P871" s="345"/>
      <c r="Q871" s="345"/>
      <c r="R871" s="345">
        <v>53.8</v>
      </c>
      <c r="S871" s="345">
        <v>97.8</v>
      </c>
      <c r="T871" s="345">
        <v>954.8</v>
      </c>
      <c r="U871" s="345">
        <v>58.5</v>
      </c>
      <c r="V871" s="345">
        <v>110.5</v>
      </c>
      <c r="W871" s="345">
        <v>1069.5</v>
      </c>
      <c r="X871" s="345">
        <v>62</v>
      </c>
      <c r="Y871" s="345">
        <v>110.2</v>
      </c>
      <c r="Z871" s="345">
        <v>993.4</v>
      </c>
      <c r="AA871">
        <f t="shared" si="13"/>
        <v>60</v>
      </c>
    </row>
    <row r="872" spans="1:27" ht="28.8" x14ac:dyDescent="0.3">
      <c r="A872" s="345" t="s">
        <v>2540</v>
      </c>
      <c r="B872" s="805"/>
      <c r="C872" s="802"/>
      <c r="D872" s="802"/>
      <c r="E872" s="803"/>
      <c r="F872" s="805">
        <v>114.5</v>
      </c>
      <c r="G872" s="803"/>
      <c r="H872" s="345">
        <v>1105.5</v>
      </c>
      <c r="I872" s="345">
        <v>2.5</v>
      </c>
      <c r="J872" s="345">
        <v>118.7</v>
      </c>
      <c r="K872" s="345">
        <v>1247</v>
      </c>
      <c r="L872" s="346"/>
      <c r="M872" s="346"/>
      <c r="N872" s="346"/>
      <c r="O872" s="345"/>
      <c r="P872" s="345"/>
      <c r="Q872" s="345"/>
      <c r="R872" s="345">
        <v>2.8</v>
      </c>
      <c r="S872" s="345">
        <v>100.6</v>
      </c>
      <c r="T872" s="345">
        <v>957.6</v>
      </c>
      <c r="U872" s="345">
        <v>2.5</v>
      </c>
      <c r="V872" s="345">
        <v>113</v>
      </c>
      <c r="W872" s="345">
        <v>1072</v>
      </c>
      <c r="X872" s="345">
        <v>2.5</v>
      </c>
      <c r="Y872" s="345">
        <v>112.7</v>
      </c>
      <c r="Z872" s="345">
        <v>995.9</v>
      </c>
      <c r="AA872">
        <f t="shared" si="13"/>
        <v>2.5</v>
      </c>
    </row>
    <row r="873" spans="1:27" ht="28.8" x14ac:dyDescent="0.3">
      <c r="A873" s="345" t="s">
        <v>2541</v>
      </c>
      <c r="B873" s="805"/>
      <c r="C873" s="802"/>
      <c r="D873" s="802"/>
      <c r="E873" s="803"/>
      <c r="F873" s="805">
        <v>116.5</v>
      </c>
      <c r="G873" s="803"/>
      <c r="H873" s="345">
        <v>1107.5</v>
      </c>
      <c r="I873" s="345">
        <v>1.5</v>
      </c>
      <c r="J873" s="345">
        <v>120.2</v>
      </c>
      <c r="K873" s="345">
        <v>1248.5</v>
      </c>
      <c r="L873" s="346"/>
      <c r="M873" s="346"/>
      <c r="N873" s="346"/>
      <c r="O873" s="345"/>
      <c r="P873" s="345"/>
      <c r="Q873" s="345"/>
      <c r="R873" s="345">
        <v>2.8</v>
      </c>
      <c r="S873" s="345">
        <v>103.4</v>
      </c>
      <c r="T873" s="345">
        <v>960.4</v>
      </c>
      <c r="U873" s="345">
        <v>3</v>
      </c>
      <c r="V873" s="345">
        <v>116</v>
      </c>
      <c r="W873" s="345">
        <v>1075</v>
      </c>
      <c r="X873" s="345">
        <v>2.5</v>
      </c>
      <c r="Y873" s="345">
        <v>115.2</v>
      </c>
      <c r="Z873" s="345">
        <v>998.4</v>
      </c>
      <c r="AA873">
        <f t="shared" si="13"/>
        <v>1.5</v>
      </c>
    </row>
    <row r="874" spans="1:27" ht="28.8" x14ac:dyDescent="0.3">
      <c r="A874" s="345" t="s">
        <v>2542</v>
      </c>
      <c r="B874" s="805"/>
      <c r="C874" s="802"/>
      <c r="D874" s="802"/>
      <c r="E874" s="803"/>
      <c r="F874" s="805">
        <v>121</v>
      </c>
      <c r="G874" s="803"/>
      <c r="H874" s="345">
        <v>1112</v>
      </c>
      <c r="I874" s="345">
        <v>4</v>
      </c>
      <c r="J874" s="345">
        <v>124.2</v>
      </c>
      <c r="K874" s="345">
        <v>1252.5</v>
      </c>
      <c r="L874" s="346"/>
      <c r="M874" s="346"/>
      <c r="N874" s="346"/>
      <c r="O874" s="345"/>
      <c r="P874" s="345"/>
      <c r="Q874" s="345"/>
      <c r="R874" s="345">
        <v>4</v>
      </c>
      <c r="S874" s="345">
        <v>107.4</v>
      </c>
      <c r="T874" s="345">
        <v>964.4</v>
      </c>
      <c r="U874" s="345">
        <v>5</v>
      </c>
      <c r="V874" s="345">
        <v>121</v>
      </c>
      <c r="W874" s="345">
        <v>1080</v>
      </c>
      <c r="X874" s="345">
        <v>5</v>
      </c>
      <c r="Y874" s="345">
        <v>120.2</v>
      </c>
      <c r="Z874" s="345">
        <v>1003.4</v>
      </c>
      <c r="AA874">
        <f t="shared" si="13"/>
        <v>4</v>
      </c>
    </row>
    <row r="875" spans="1:27" ht="28.8" x14ac:dyDescent="0.3">
      <c r="A875" s="345" t="s">
        <v>2543</v>
      </c>
      <c r="B875" s="805"/>
      <c r="C875" s="802"/>
      <c r="D875" s="802"/>
      <c r="E875" s="803"/>
      <c r="F875" s="805">
        <v>121</v>
      </c>
      <c r="G875" s="803"/>
      <c r="H875" s="345">
        <v>1112</v>
      </c>
      <c r="I875" s="345">
        <v>0</v>
      </c>
      <c r="J875" s="345">
        <v>124.2</v>
      </c>
      <c r="K875" s="345">
        <v>1252.5</v>
      </c>
      <c r="L875" s="346"/>
      <c r="M875" s="346"/>
      <c r="N875" s="346"/>
      <c r="O875" s="345"/>
      <c r="P875" s="345"/>
      <c r="Q875" s="345"/>
      <c r="R875" s="345">
        <v>0</v>
      </c>
      <c r="S875" s="345">
        <v>107.4</v>
      </c>
      <c r="T875" s="345">
        <v>964.4</v>
      </c>
      <c r="U875" s="345">
        <v>0</v>
      </c>
      <c r="V875" s="345">
        <v>121</v>
      </c>
      <c r="W875" s="345">
        <v>1080</v>
      </c>
      <c r="X875" s="345">
        <v>0</v>
      </c>
      <c r="Y875" s="345">
        <v>120.2</v>
      </c>
      <c r="Z875" s="345">
        <v>1003.4</v>
      </c>
      <c r="AA875">
        <f t="shared" si="13"/>
        <v>0</v>
      </c>
    </row>
    <row r="876" spans="1:27" ht="28.8" x14ac:dyDescent="0.3">
      <c r="A876" s="345" t="s">
        <v>2544</v>
      </c>
      <c r="B876" s="805"/>
      <c r="C876" s="802"/>
      <c r="D876" s="802"/>
      <c r="E876" s="803"/>
      <c r="F876" s="805">
        <v>121.2</v>
      </c>
      <c r="G876" s="803"/>
      <c r="H876" s="345">
        <v>1112.2</v>
      </c>
      <c r="I876" s="345">
        <v>0.3</v>
      </c>
      <c r="J876" s="345">
        <v>124.5</v>
      </c>
      <c r="K876" s="345">
        <v>1252.8</v>
      </c>
      <c r="L876" s="346"/>
      <c r="M876" s="346"/>
      <c r="N876" s="346"/>
      <c r="O876" s="345"/>
      <c r="P876" s="345"/>
      <c r="Q876" s="345"/>
      <c r="R876" s="345">
        <v>0.2</v>
      </c>
      <c r="S876" s="345">
        <v>107.6</v>
      </c>
      <c r="T876" s="345">
        <v>964.6</v>
      </c>
      <c r="U876" s="345">
        <v>0.5</v>
      </c>
      <c r="V876" s="345">
        <v>121.5</v>
      </c>
      <c r="W876" s="345">
        <v>1080.5</v>
      </c>
      <c r="X876" s="345">
        <v>0.5</v>
      </c>
      <c r="Y876" s="345">
        <v>120.7</v>
      </c>
      <c r="Z876" s="345">
        <v>1003.9</v>
      </c>
      <c r="AA876">
        <f t="shared" si="13"/>
        <v>0.3</v>
      </c>
    </row>
    <row r="877" spans="1:27" ht="28.8" x14ac:dyDescent="0.3">
      <c r="A877" s="345" t="s">
        <v>2545</v>
      </c>
      <c r="B877" s="805"/>
      <c r="C877" s="802"/>
      <c r="D877" s="802"/>
      <c r="E877" s="803"/>
      <c r="F877" s="805">
        <v>156.19999999999999</v>
      </c>
      <c r="G877" s="803"/>
      <c r="H877" s="345">
        <v>1147.2</v>
      </c>
      <c r="I877" s="345">
        <v>50</v>
      </c>
      <c r="J877" s="345">
        <v>174.5</v>
      </c>
      <c r="K877" s="345">
        <v>1302.8</v>
      </c>
      <c r="L877" s="346"/>
      <c r="M877" s="346"/>
      <c r="N877" s="346"/>
      <c r="O877" s="345"/>
      <c r="P877" s="345"/>
      <c r="Q877" s="345"/>
      <c r="R877" s="345">
        <v>49</v>
      </c>
      <c r="S877" s="345">
        <v>156.6</v>
      </c>
      <c r="T877" s="345">
        <v>1013.6</v>
      </c>
      <c r="U877" s="345">
        <v>56</v>
      </c>
      <c r="V877" s="345">
        <v>177.5</v>
      </c>
      <c r="W877" s="345">
        <v>1136.5</v>
      </c>
      <c r="X877" s="345">
        <v>45.5</v>
      </c>
      <c r="Y877" s="345">
        <v>166.2</v>
      </c>
      <c r="Z877" s="345">
        <v>1049.4000000000001</v>
      </c>
      <c r="AA877">
        <f t="shared" si="13"/>
        <v>50</v>
      </c>
    </row>
    <row r="878" spans="1:27" ht="28.8" x14ac:dyDescent="0.3">
      <c r="A878" s="345" t="s">
        <v>2546</v>
      </c>
      <c r="B878" s="805"/>
      <c r="C878" s="802"/>
      <c r="D878" s="802"/>
      <c r="E878" s="803"/>
      <c r="F878" s="805">
        <v>157.19999999999999</v>
      </c>
      <c r="G878" s="803"/>
      <c r="H878" s="345">
        <v>1148.2</v>
      </c>
      <c r="I878" s="345">
        <v>1</v>
      </c>
      <c r="J878" s="345">
        <v>175.5</v>
      </c>
      <c r="K878" s="345">
        <v>1303.8</v>
      </c>
      <c r="L878" s="346"/>
      <c r="M878" s="346"/>
      <c r="N878" s="346"/>
      <c r="O878" s="345"/>
      <c r="P878" s="345"/>
      <c r="Q878" s="345"/>
      <c r="R878" s="345">
        <v>0.4</v>
      </c>
      <c r="S878" s="345">
        <v>157</v>
      </c>
      <c r="T878" s="345">
        <v>1014</v>
      </c>
      <c r="U878" s="345">
        <v>1</v>
      </c>
      <c r="V878" s="345">
        <v>178.5</v>
      </c>
      <c r="W878" s="345">
        <v>1137.5</v>
      </c>
      <c r="X878" s="345">
        <v>1</v>
      </c>
      <c r="Y878" s="345">
        <v>167.2</v>
      </c>
      <c r="Z878" s="345">
        <v>1050.4000000000001</v>
      </c>
      <c r="AA878">
        <f t="shared" si="13"/>
        <v>1</v>
      </c>
    </row>
    <row r="879" spans="1:27" ht="28.8" x14ac:dyDescent="0.3">
      <c r="A879" s="345" t="s">
        <v>2547</v>
      </c>
      <c r="B879" s="805"/>
      <c r="C879" s="802"/>
      <c r="D879" s="802"/>
      <c r="E879" s="803"/>
      <c r="F879" s="805">
        <v>166.2</v>
      </c>
      <c r="G879" s="803"/>
      <c r="H879" s="345">
        <v>1157.2</v>
      </c>
      <c r="I879" s="345">
        <v>7</v>
      </c>
      <c r="J879" s="345">
        <v>182.5</v>
      </c>
      <c r="K879" s="345">
        <v>1310.8</v>
      </c>
      <c r="L879" s="346"/>
      <c r="M879" s="346"/>
      <c r="N879" s="346"/>
      <c r="O879" s="345"/>
      <c r="P879" s="345"/>
      <c r="Q879" s="345"/>
      <c r="R879" s="345">
        <v>7.6</v>
      </c>
      <c r="S879" s="345">
        <v>164.6</v>
      </c>
      <c r="T879" s="345">
        <v>1021.6</v>
      </c>
      <c r="U879" s="345">
        <v>7</v>
      </c>
      <c r="V879" s="345">
        <v>185.5</v>
      </c>
      <c r="W879" s="345">
        <v>1144.5</v>
      </c>
      <c r="X879" s="345">
        <v>6.5</v>
      </c>
      <c r="Y879" s="345">
        <v>173.7</v>
      </c>
      <c r="Z879" s="345">
        <v>1056.9000000000001</v>
      </c>
      <c r="AA879">
        <f t="shared" si="13"/>
        <v>7</v>
      </c>
    </row>
    <row r="880" spans="1:27" ht="28.8" x14ac:dyDescent="0.3">
      <c r="A880" s="345" t="s">
        <v>2548</v>
      </c>
      <c r="B880" s="805"/>
      <c r="C880" s="802"/>
      <c r="D880" s="802"/>
      <c r="E880" s="803"/>
      <c r="F880" s="805">
        <v>166.7</v>
      </c>
      <c r="G880" s="803"/>
      <c r="H880" s="345">
        <v>1157.7</v>
      </c>
      <c r="I880" s="345">
        <v>1</v>
      </c>
      <c r="J880" s="345">
        <v>183.5</v>
      </c>
      <c r="K880" s="345">
        <v>1311.8</v>
      </c>
      <c r="L880" s="346"/>
      <c r="M880" s="346"/>
      <c r="N880" s="346"/>
      <c r="O880" s="345"/>
      <c r="P880" s="345"/>
      <c r="Q880" s="345"/>
      <c r="R880" s="345">
        <v>0.4</v>
      </c>
      <c r="S880" s="345">
        <v>165</v>
      </c>
      <c r="T880" s="345">
        <v>1022</v>
      </c>
      <c r="U880" s="345">
        <v>1</v>
      </c>
      <c r="V880" s="345">
        <v>186.5</v>
      </c>
      <c r="W880" s="345">
        <v>1145.5</v>
      </c>
      <c r="X880" s="345">
        <v>1</v>
      </c>
      <c r="Y880" s="345">
        <v>174.7</v>
      </c>
      <c r="Z880" s="345">
        <v>1057.9000000000001</v>
      </c>
      <c r="AA880">
        <f t="shared" si="13"/>
        <v>1</v>
      </c>
    </row>
    <row r="881" spans="1:27" ht="28.8" x14ac:dyDescent="0.3">
      <c r="A881" s="345" t="s">
        <v>2549</v>
      </c>
      <c r="B881" s="805"/>
      <c r="C881" s="802"/>
      <c r="D881" s="802"/>
      <c r="E881" s="803"/>
      <c r="F881" s="805">
        <v>167.2</v>
      </c>
      <c r="G881" s="803"/>
      <c r="H881" s="345">
        <v>1158.2</v>
      </c>
      <c r="I881" s="345">
        <v>0.5</v>
      </c>
      <c r="J881" s="345">
        <v>184</v>
      </c>
      <c r="K881" s="345">
        <v>1312.3</v>
      </c>
      <c r="L881" s="346"/>
      <c r="M881" s="346"/>
      <c r="N881" s="346"/>
      <c r="O881" s="345"/>
      <c r="P881" s="345"/>
      <c r="Q881" s="345"/>
      <c r="R881" s="345">
        <v>0.4</v>
      </c>
      <c r="S881" s="345">
        <v>165.4</v>
      </c>
      <c r="T881" s="345">
        <v>1022.4</v>
      </c>
      <c r="U881" s="345">
        <v>0.5</v>
      </c>
      <c r="V881" s="345">
        <v>187</v>
      </c>
      <c r="W881" s="345">
        <v>1146</v>
      </c>
      <c r="X881" s="345">
        <v>0.5</v>
      </c>
      <c r="Y881" s="345">
        <v>175.2</v>
      </c>
      <c r="Z881" s="345">
        <v>1058.4000000000001</v>
      </c>
      <c r="AA881">
        <f t="shared" si="13"/>
        <v>0.5</v>
      </c>
    </row>
    <row r="882" spans="1:27" ht="28.8" x14ac:dyDescent="0.3">
      <c r="A882" s="345" t="s">
        <v>2550</v>
      </c>
      <c r="B882" s="805"/>
      <c r="C882" s="802"/>
      <c r="D882" s="802"/>
      <c r="E882" s="803"/>
      <c r="F882" s="805">
        <v>178.7</v>
      </c>
      <c r="G882" s="803"/>
      <c r="H882" s="345">
        <v>1169.7</v>
      </c>
      <c r="I882" s="345">
        <v>10.5</v>
      </c>
      <c r="J882" s="345">
        <v>194.5</v>
      </c>
      <c r="K882" s="345">
        <v>1322.8</v>
      </c>
      <c r="L882" s="346"/>
      <c r="M882" s="346"/>
      <c r="N882" s="346"/>
      <c r="O882" s="345"/>
      <c r="P882" s="345"/>
      <c r="Q882" s="345"/>
      <c r="R882" s="345">
        <v>8.8000000000000007</v>
      </c>
      <c r="S882" s="345">
        <v>174.2</v>
      </c>
      <c r="T882" s="345">
        <v>1031.2</v>
      </c>
      <c r="U882" s="345">
        <v>9.5</v>
      </c>
      <c r="V882" s="345">
        <v>196.5</v>
      </c>
      <c r="W882" s="345">
        <v>1155.5</v>
      </c>
      <c r="X882" s="345">
        <v>13</v>
      </c>
      <c r="Y882" s="345">
        <v>188.2</v>
      </c>
      <c r="Z882" s="345">
        <v>1071.4000000000001</v>
      </c>
      <c r="AA882">
        <f t="shared" si="13"/>
        <v>10.5</v>
      </c>
    </row>
    <row r="883" spans="1:27" ht="28.8" x14ac:dyDescent="0.3">
      <c r="A883" s="345" t="s">
        <v>2551</v>
      </c>
      <c r="B883" s="805"/>
      <c r="C883" s="802"/>
      <c r="D883" s="802"/>
      <c r="E883" s="803"/>
      <c r="F883" s="805">
        <v>182.2</v>
      </c>
      <c r="G883" s="803"/>
      <c r="H883" s="345">
        <v>1173.2</v>
      </c>
      <c r="I883" s="345">
        <v>4</v>
      </c>
      <c r="J883" s="345">
        <v>198.5</v>
      </c>
      <c r="K883" s="345">
        <v>1326.8</v>
      </c>
      <c r="L883" s="346"/>
      <c r="M883" s="346"/>
      <c r="N883" s="346"/>
      <c r="O883" s="345"/>
      <c r="P883" s="345"/>
      <c r="Q883" s="345"/>
      <c r="R883" s="345">
        <v>2.6</v>
      </c>
      <c r="S883" s="345">
        <v>176.8</v>
      </c>
      <c r="T883" s="345">
        <v>1033.8</v>
      </c>
      <c r="U883" s="345">
        <v>3</v>
      </c>
      <c r="V883" s="345">
        <v>199.5</v>
      </c>
      <c r="W883" s="345">
        <v>1158.5</v>
      </c>
      <c r="X883" s="345">
        <v>3</v>
      </c>
      <c r="Y883" s="345">
        <v>191.2</v>
      </c>
      <c r="Z883" s="345">
        <v>1074.4000000000001</v>
      </c>
      <c r="AA883">
        <f t="shared" si="13"/>
        <v>4</v>
      </c>
    </row>
    <row r="884" spans="1:27" s="362" customFormat="1" ht="28.8" x14ac:dyDescent="0.3">
      <c r="A884" s="359" t="s">
        <v>2552</v>
      </c>
      <c r="B884" s="811"/>
      <c r="C884" s="812"/>
      <c r="D884" s="812"/>
      <c r="E884" s="813"/>
      <c r="F884" s="811">
        <v>182.7</v>
      </c>
      <c r="G884" s="813"/>
      <c r="H884" s="359">
        <v>1173.7</v>
      </c>
      <c r="I884" s="359">
        <v>0.5</v>
      </c>
      <c r="J884" s="359">
        <v>199</v>
      </c>
      <c r="K884" s="359">
        <v>1327.3</v>
      </c>
      <c r="L884" s="359"/>
      <c r="M884" s="359"/>
      <c r="N884" s="359"/>
      <c r="O884" s="359"/>
      <c r="P884" s="359"/>
      <c r="Q884" s="359"/>
      <c r="R884" s="359">
        <v>2</v>
      </c>
      <c r="S884" s="359">
        <v>178.8</v>
      </c>
      <c r="T884" s="359">
        <v>1035.8</v>
      </c>
      <c r="U884" s="359">
        <v>3</v>
      </c>
      <c r="V884" s="359">
        <v>202.5</v>
      </c>
      <c r="W884" s="359">
        <v>1161.5</v>
      </c>
      <c r="X884" s="359">
        <v>0.5</v>
      </c>
      <c r="Y884" s="359">
        <v>191.7</v>
      </c>
      <c r="Z884" s="359">
        <v>1074.9000000000001</v>
      </c>
      <c r="AA884" s="362">
        <f t="shared" si="13"/>
        <v>0.5</v>
      </c>
    </row>
    <row r="885" spans="1:27" ht="28.8" x14ac:dyDescent="0.3">
      <c r="A885" s="345" t="s">
        <v>2553</v>
      </c>
      <c r="B885" s="805"/>
      <c r="C885" s="802"/>
      <c r="D885" s="802"/>
      <c r="E885" s="803"/>
      <c r="F885" s="805">
        <v>10.5</v>
      </c>
      <c r="G885" s="803"/>
      <c r="H885" s="345">
        <v>1184.2</v>
      </c>
      <c r="I885" s="345">
        <v>11.5</v>
      </c>
      <c r="J885" s="345">
        <v>11.5</v>
      </c>
      <c r="K885" s="345">
        <v>1338.8</v>
      </c>
      <c r="L885" s="346"/>
      <c r="M885" s="346"/>
      <c r="N885" s="346"/>
      <c r="O885" s="345"/>
      <c r="P885" s="345"/>
      <c r="Q885" s="345"/>
      <c r="R885" s="345">
        <v>7</v>
      </c>
      <c r="S885" s="345">
        <v>7</v>
      </c>
      <c r="T885" s="345">
        <v>1042.8</v>
      </c>
      <c r="U885" s="345">
        <v>7.5</v>
      </c>
      <c r="V885" s="345">
        <v>7.5</v>
      </c>
      <c r="W885" s="345">
        <v>1169</v>
      </c>
      <c r="X885" s="345">
        <v>7.5</v>
      </c>
      <c r="Y885" s="345">
        <v>7.5</v>
      </c>
      <c r="Z885" s="345">
        <v>1082.4000000000001</v>
      </c>
      <c r="AA885">
        <f t="shared" si="13"/>
        <v>11.5</v>
      </c>
    </row>
    <row r="886" spans="1:27" ht="28.8" x14ac:dyDescent="0.3">
      <c r="A886" s="345" t="s">
        <v>2554</v>
      </c>
      <c r="B886" s="805"/>
      <c r="C886" s="802"/>
      <c r="D886" s="802"/>
      <c r="E886" s="803"/>
      <c r="F886" s="805">
        <v>18.5</v>
      </c>
      <c r="G886" s="803"/>
      <c r="H886" s="345">
        <v>1192.2</v>
      </c>
      <c r="I886" s="345">
        <v>3.5</v>
      </c>
      <c r="J886" s="345">
        <v>15</v>
      </c>
      <c r="K886" s="345">
        <v>1342.3</v>
      </c>
      <c r="L886" s="346"/>
      <c r="M886" s="346"/>
      <c r="N886" s="346"/>
      <c r="O886" s="345"/>
      <c r="P886" s="345"/>
      <c r="Q886" s="345"/>
      <c r="R886" s="345">
        <v>5.8</v>
      </c>
      <c r="S886" s="345">
        <v>12.8</v>
      </c>
      <c r="T886" s="345">
        <v>1048.5999999999999</v>
      </c>
      <c r="U886" s="345">
        <v>6.5</v>
      </c>
      <c r="V886" s="345">
        <v>14</v>
      </c>
      <c r="W886" s="345">
        <v>1175.5</v>
      </c>
      <c r="X886" s="345">
        <v>8.5</v>
      </c>
      <c r="Y886" s="345">
        <v>16</v>
      </c>
      <c r="Z886" s="345">
        <v>1090.9000000000001</v>
      </c>
      <c r="AA886">
        <f t="shared" si="13"/>
        <v>3.5</v>
      </c>
    </row>
    <row r="887" spans="1:27" ht="28.8" x14ac:dyDescent="0.3">
      <c r="A887" s="345" t="s">
        <v>2555</v>
      </c>
      <c r="B887" s="805"/>
      <c r="C887" s="802"/>
      <c r="D887" s="802"/>
      <c r="E887" s="803"/>
      <c r="F887" s="805">
        <v>22.5</v>
      </c>
      <c r="G887" s="803"/>
      <c r="H887" s="345">
        <v>1196.2</v>
      </c>
      <c r="I887" s="345">
        <v>4.5</v>
      </c>
      <c r="J887" s="345">
        <v>19.5</v>
      </c>
      <c r="K887" s="345">
        <v>1346.8</v>
      </c>
      <c r="L887" s="346"/>
      <c r="M887" s="346"/>
      <c r="N887" s="346"/>
      <c r="O887" s="345"/>
      <c r="P887" s="345"/>
      <c r="Q887" s="345"/>
      <c r="R887" s="345">
        <v>4.2</v>
      </c>
      <c r="S887" s="345">
        <v>17</v>
      </c>
      <c r="T887" s="345">
        <v>1052.8</v>
      </c>
      <c r="U887" s="345">
        <v>4.5</v>
      </c>
      <c r="V887" s="345">
        <v>18.5</v>
      </c>
      <c r="W887" s="345">
        <v>1180</v>
      </c>
      <c r="X887" s="345">
        <v>4.5</v>
      </c>
      <c r="Y887" s="345">
        <v>20.5</v>
      </c>
      <c r="Z887" s="345">
        <v>1095.4000000000001</v>
      </c>
      <c r="AA887">
        <f t="shared" si="13"/>
        <v>4.5</v>
      </c>
    </row>
    <row r="888" spans="1:27" ht="28.8" x14ac:dyDescent="0.3">
      <c r="A888" s="345" t="s">
        <v>2556</v>
      </c>
      <c r="B888" s="805"/>
      <c r="C888" s="802"/>
      <c r="D888" s="802"/>
      <c r="E888" s="803"/>
      <c r="F888" s="805">
        <v>24</v>
      </c>
      <c r="G888" s="803"/>
      <c r="H888" s="345">
        <v>1197.7</v>
      </c>
      <c r="I888" s="345">
        <v>2.5</v>
      </c>
      <c r="J888" s="345">
        <v>22</v>
      </c>
      <c r="K888" s="345">
        <v>1349.3</v>
      </c>
      <c r="L888" s="346"/>
      <c r="M888" s="346"/>
      <c r="N888" s="346"/>
      <c r="O888" s="345"/>
      <c r="P888" s="345"/>
      <c r="Q888" s="345"/>
      <c r="R888" s="345">
        <v>1.6</v>
      </c>
      <c r="S888" s="345">
        <v>18.600000000000001</v>
      </c>
      <c r="T888" s="345">
        <v>1054.4000000000001</v>
      </c>
      <c r="U888" s="345">
        <v>2</v>
      </c>
      <c r="V888" s="345">
        <v>20.5</v>
      </c>
      <c r="W888" s="345">
        <v>1182</v>
      </c>
      <c r="X888" s="345">
        <v>1.5</v>
      </c>
      <c r="Y888" s="345">
        <v>22</v>
      </c>
      <c r="Z888" s="345">
        <v>1096.9000000000001</v>
      </c>
      <c r="AA888">
        <f t="shared" si="13"/>
        <v>2.5</v>
      </c>
    </row>
    <row r="889" spans="1:27" ht="28.8" x14ac:dyDescent="0.3">
      <c r="A889" s="345" t="s">
        <v>2557</v>
      </c>
      <c r="B889" s="805"/>
      <c r="C889" s="802"/>
      <c r="D889" s="802"/>
      <c r="E889" s="803"/>
      <c r="F889" s="805">
        <v>24</v>
      </c>
      <c r="G889" s="803"/>
      <c r="H889" s="345">
        <v>1197.7</v>
      </c>
      <c r="I889" s="345">
        <v>0</v>
      </c>
      <c r="J889" s="345">
        <v>22</v>
      </c>
      <c r="K889" s="345">
        <v>1349.3</v>
      </c>
      <c r="L889" s="346"/>
      <c r="M889" s="346"/>
      <c r="N889" s="346"/>
      <c r="O889" s="345"/>
      <c r="P889" s="345"/>
      <c r="Q889" s="345"/>
      <c r="R889" s="345">
        <v>0</v>
      </c>
      <c r="S889" s="345">
        <v>18.600000000000001</v>
      </c>
      <c r="T889" s="345">
        <v>1054.4000000000001</v>
      </c>
      <c r="U889" s="345">
        <v>0</v>
      </c>
      <c r="V889" s="345">
        <v>20.5</v>
      </c>
      <c r="W889" s="345">
        <v>1182</v>
      </c>
      <c r="X889" s="345">
        <v>0</v>
      </c>
      <c r="Y889" s="345">
        <v>22</v>
      </c>
      <c r="Z889" s="345">
        <v>1096.9000000000001</v>
      </c>
      <c r="AA889">
        <f t="shared" si="13"/>
        <v>0</v>
      </c>
    </row>
    <row r="890" spans="1:27" ht="28.8" x14ac:dyDescent="0.3">
      <c r="A890" s="345" t="s">
        <v>2558</v>
      </c>
      <c r="B890" s="805"/>
      <c r="C890" s="802"/>
      <c r="D890" s="802"/>
      <c r="E890" s="803"/>
      <c r="F890" s="805">
        <v>31</v>
      </c>
      <c r="G890" s="803"/>
      <c r="H890" s="345">
        <v>1204.7</v>
      </c>
      <c r="I890" s="345">
        <v>5.5</v>
      </c>
      <c r="J890" s="345">
        <v>27.5</v>
      </c>
      <c r="K890" s="345">
        <v>1354.8</v>
      </c>
      <c r="L890" s="346"/>
      <c r="M890" s="346"/>
      <c r="N890" s="346"/>
      <c r="O890" s="345"/>
      <c r="P890" s="345"/>
      <c r="Q890" s="345"/>
      <c r="R890" s="345">
        <v>4</v>
      </c>
      <c r="S890" s="345">
        <v>22.6</v>
      </c>
      <c r="T890" s="345">
        <v>1058.4000000000001</v>
      </c>
      <c r="U890" s="345">
        <v>6</v>
      </c>
      <c r="V890" s="345">
        <v>26.5</v>
      </c>
      <c r="W890" s="345">
        <v>1188</v>
      </c>
      <c r="X890" s="345">
        <v>6</v>
      </c>
      <c r="Y890" s="345">
        <v>28</v>
      </c>
      <c r="Z890" s="345">
        <v>1102.9000000000001</v>
      </c>
      <c r="AA890">
        <f t="shared" si="13"/>
        <v>5.5</v>
      </c>
    </row>
    <row r="891" spans="1:27" ht="28.8" x14ac:dyDescent="0.3">
      <c r="A891" s="345" t="s">
        <v>2559</v>
      </c>
      <c r="B891" s="805"/>
      <c r="C891" s="802"/>
      <c r="D891" s="802"/>
      <c r="E891" s="803"/>
      <c r="F891" s="805">
        <v>58</v>
      </c>
      <c r="G891" s="803"/>
      <c r="H891" s="345">
        <v>1231.7</v>
      </c>
      <c r="I891" s="345">
        <v>31</v>
      </c>
      <c r="J891" s="345">
        <v>58.5</v>
      </c>
      <c r="K891" s="345">
        <v>1385.8</v>
      </c>
      <c r="L891" s="346"/>
      <c r="M891" s="346"/>
      <c r="N891" s="346"/>
      <c r="O891" s="345"/>
      <c r="P891" s="345"/>
      <c r="Q891" s="345"/>
      <c r="R891" s="345">
        <v>26.8</v>
      </c>
      <c r="S891" s="345">
        <v>49.4</v>
      </c>
      <c r="T891" s="345">
        <v>1085.2</v>
      </c>
      <c r="U891" s="345">
        <v>27.5</v>
      </c>
      <c r="V891" s="345">
        <v>54</v>
      </c>
      <c r="W891" s="345">
        <v>1215.5</v>
      </c>
      <c r="X891" s="345">
        <v>24.5</v>
      </c>
      <c r="Y891" s="345">
        <v>52.5</v>
      </c>
      <c r="Z891" s="345">
        <v>1127.4000000000001</v>
      </c>
      <c r="AA891">
        <f t="shared" si="13"/>
        <v>31</v>
      </c>
    </row>
    <row r="892" spans="1:27" ht="28.8" x14ac:dyDescent="0.3">
      <c r="A892" s="345" t="s">
        <v>2560</v>
      </c>
      <c r="B892" s="805"/>
      <c r="C892" s="802"/>
      <c r="D892" s="802"/>
      <c r="E892" s="803"/>
      <c r="F892" s="805">
        <v>66</v>
      </c>
      <c r="G892" s="803"/>
      <c r="H892" s="345">
        <v>1239.7</v>
      </c>
      <c r="I892" s="345">
        <v>11</v>
      </c>
      <c r="J892" s="345">
        <v>69.5</v>
      </c>
      <c r="K892" s="345">
        <v>1396.8</v>
      </c>
      <c r="L892" s="346"/>
      <c r="M892" s="346"/>
      <c r="N892" s="346"/>
      <c r="O892" s="345"/>
      <c r="P892" s="345"/>
      <c r="Q892" s="345"/>
      <c r="R892" s="345">
        <v>5.6</v>
      </c>
      <c r="S892" s="345">
        <v>55</v>
      </c>
      <c r="T892" s="345">
        <v>1090.8</v>
      </c>
      <c r="U892" s="345">
        <v>6</v>
      </c>
      <c r="V892" s="345">
        <v>60</v>
      </c>
      <c r="W892" s="345">
        <v>1221.5</v>
      </c>
      <c r="X892" s="345">
        <v>5.5</v>
      </c>
      <c r="Y892" s="345">
        <v>58</v>
      </c>
      <c r="Z892" s="345">
        <v>1132.9000000000001</v>
      </c>
      <c r="AA892">
        <f t="shared" si="13"/>
        <v>11</v>
      </c>
    </row>
    <row r="893" spans="1:27" ht="28.8" x14ac:dyDescent="0.3">
      <c r="A893" s="345" t="s">
        <v>2561</v>
      </c>
      <c r="B893" s="805"/>
      <c r="C893" s="802"/>
      <c r="D893" s="802"/>
      <c r="E893" s="803"/>
      <c r="F893" s="805">
        <v>72.5</v>
      </c>
      <c r="G893" s="803"/>
      <c r="H893" s="345">
        <v>1246.2</v>
      </c>
      <c r="I893" s="345">
        <v>9.5</v>
      </c>
      <c r="J893" s="345">
        <v>79</v>
      </c>
      <c r="K893" s="345">
        <v>1406.3</v>
      </c>
      <c r="L893" s="346"/>
      <c r="M893" s="346"/>
      <c r="N893" s="346"/>
      <c r="O893" s="345"/>
      <c r="P893" s="345"/>
      <c r="Q893" s="345"/>
      <c r="R893" s="345">
        <v>9.6</v>
      </c>
      <c r="S893" s="345">
        <v>64.599999999999994</v>
      </c>
      <c r="T893" s="345">
        <v>1100.4000000000001</v>
      </c>
      <c r="U893" s="345">
        <v>10.5</v>
      </c>
      <c r="V893" s="345">
        <v>70.5</v>
      </c>
      <c r="W893" s="345">
        <v>1232</v>
      </c>
      <c r="X893" s="345">
        <v>10</v>
      </c>
      <c r="Y893" s="345">
        <v>68</v>
      </c>
      <c r="Z893" s="345">
        <v>1142.9000000000001</v>
      </c>
      <c r="AA893">
        <f t="shared" si="13"/>
        <v>9.5</v>
      </c>
    </row>
    <row r="894" spans="1:27" ht="28.8" x14ac:dyDescent="0.3">
      <c r="A894" s="345" t="s">
        <v>2562</v>
      </c>
      <c r="B894" s="805"/>
      <c r="C894" s="802"/>
      <c r="D894" s="802"/>
      <c r="E894" s="803"/>
      <c r="F894" s="805">
        <v>130.5</v>
      </c>
      <c r="G894" s="803"/>
      <c r="H894" s="345">
        <v>1304.2</v>
      </c>
      <c r="I894" s="345">
        <v>67.5</v>
      </c>
      <c r="J894" s="345">
        <v>146.5</v>
      </c>
      <c r="K894" s="345">
        <v>1473.8</v>
      </c>
      <c r="L894" s="346"/>
      <c r="M894" s="346"/>
      <c r="N894" s="346"/>
      <c r="O894" s="345"/>
      <c r="P894" s="345"/>
      <c r="Q894" s="345"/>
      <c r="R894" s="345">
        <v>52.2</v>
      </c>
      <c r="S894" s="345">
        <v>116.8</v>
      </c>
      <c r="T894" s="345">
        <v>1152.5999999999999</v>
      </c>
      <c r="U894" s="345">
        <v>73</v>
      </c>
      <c r="V894" s="345">
        <v>143.5</v>
      </c>
      <c r="W894" s="345">
        <v>1305</v>
      </c>
      <c r="X894" s="345">
        <v>70</v>
      </c>
      <c r="Y894" s="345">
        <v>138</v>
      </c>
      <c r="Z894" s="345">
        <v>1212.9000000000001</v>
      </c>
      <c r="AA894">
        <f t="shared" si="13"/>
        <v>67.5</v>
      </c>
    </row>
    <row r="895" spans="1:27" ht="28.8" x14ac:dyDescent="0.3">
      <c r="A895" s="345" t="s">
        <v>2563</v>
      </c>
      <c r="B895" s="805"/>
      <c r="C895" s="802"/>
      <c r="D895" s="802"/>
      <c r="E895" s="803"/>
      <c r="F895" s="805">
        <v>138</v>
      </c>
      <c r="G895" s="803"/>
      <c r="H895" s="345">
        <v>1311.7</v>
      </c>
      <c r="I895" s="345">
        <v>7</v>
      </c>
      <c r="J895" s="345">
        <v>153.5</v>
      </c>
      <c r="K895" s="345">
        <v>1480.8</v>
      </c>
      <c r="L895" s="346"/>
      <c r="M895" s="346"/>
      <c r="N895" s="346"/>
      <c r="O895" s="345"/>
      <c r="P895" s="345"/>
      <c r="Q895" s="345"/>
      <c r="R895" s="345">
        <v>4</v>
      </c>
      <c r="S895" s="345">
        <v>120.8</v>
      </c>
      <c r="T895" s="345">
        <v>1156.5999999999999</v>
      </c>
      <c r="U895" s="345">
        <v>4.5</v>
      </c>
      <c r="V895" s="345">
        <v>148</v>
      </c>
      <c r="W895" s="345">
        <v>1309.5</v>
      </c>
      <c r="X895" s="345">
        <v>5</v>
      </c>
      <c r="Y895" s="345">
        <v>143</v>
      </c>
      <c r="Z895" s="345">
        <v>1217.9000000000001</v>
      </c>
      <c r="AA895">
        <f t="shared" si="13"/>
        <v>7</v>
      </c>
    </row>
    <row r="896" spans="1:27" ht="28.8" x14ac:dyDescent="0.3">
      <c r="A896" s="345" t="s">
        <v>2564</v>
      </c>
      <c r="B896" s="805"/>
      <c r="C896" s="802"/>
      <c r="D896" s="802"/>
      <c r="E896" s="803"/>
      <c r="F896" s="805">
        <v>138</v>
      </c>
      <c r="G896" s="803"/>
      <c r="H896" s="345">
        <v>1311.7</v>
      </c>
      <c r="I896" s="345">
        <v>0</v>
      </c>
      <c r="J896" s="345">
        <v>153.5</v>
      </c>
      <c r="K896" s="345">
        <v>1480.8</v>
      </c>
      <c r="L896" s="346"/>
      <c r="M896" s="346"/>
      <c r="N896" s="346"/>
      <c r="O896" s="345"/>
      <c r="P896" s="345"/>
      <c r="Q896" s="345"/>
      <c r="R896" s="345">
        <v>0</v>
      </c>
      <c r="S896" s="345">
        <v>120.8</v>
      </c>
      <c r="T896" s="345">
        <v>1156.5999999999999</v>
      </c>
      <c r="U896" s="345">
        <v>0</v>
      </c>
      <c r="V896" s="345">
        <v>148</v>
      </c>
      <c r="W896" s="345">
        <v>1309.5</v>
      </c>
      <c r="X896" s="345">
        <v>0</v>
      </c>
      <c r="Y896" s="345">
        <v>143</v>
      </c>
      <c r="Z896" s="345">
        <v>1217.9000000000001</v>
      </c>
      <c r="AA896">
        <f t="shared" si="13"/>
        <v>0</v>
      </c>
    </row>
    <row r="897" spans="1:27" ht="28.8" x14ac:dyDescent="0.3">
      <c r="A897" s="345" t="s">
        <v>2565</v>
      </c>
      <c r="B897" s="805"/>
      <c r="C897" s="802"/>
      <c r="D897" s="802"/>
      <c r="E897" s="803"/>
      <c r="F897" s="805">
        <v>138.5</v>
      </c>
      <c r="G897" s="803"/>
      <c r="H897" s="345">
        <v>1312.2</v>
      </c>
      <c r="I897" s="345">
        <v>0.5</v>
      </c>
      <c r="J897" s="345">
        <v>154</v>
      </c>
      <c r="K897" s="345">
        <v>1481.3</v>
      </c>
      <c r="L897" s="346"/>
      <c r="M897" s="346"/>
      <c r="N897" s="346"/>
      <c r="O897" s="345"/>
      <c r="P897" s="345"/>
      <c r="Q897" s="345"/>
      <c r="R897" s="345">
        <v>0.6</v>
      </c>
      <c r="S897" s="345">
        <v>121.4</v>
      </c>
      <c r="T897" s="345">
        <v>1157.2</v>
      </c>
      <c r="U897" s="345">
        <v>0.5</v>
      </c>
      <c r="V897" s="345">
        <v>148.5</v>
      </c>
      <c r="W897" s="345">
        <v>1310</v>
      </c>
      <c r="X897" s="345">
        <v>0.5</v>
      </c>
      <c r="Y897" s="345">
        <v>143.5</v>
      </c>
      <c r="Z897" s="345">
        <v>1218.4000000000001</v>
      </c>
      <c r="AA897">
        <f t="shared" si="13"/>
        <v>0.5</v>
      </c>
    </row>
    <row r="898" spans="1:27" ht="28.8" x14ac:dyDescent="0.3">
      <c r="A898" s="345" t="s">
        <v>2566</v>
      </c>
      <c r="B898" s="805"/>
      <c r="C898" s="802"/>
      <c r="D898" s="802"/>
      <c r="E898" s="803"/>
      <c r="F898" s="805">
        <v>163.5</v>
      </c>
      <c r="G898" s="803"/>
      <c r="H898" s="345">
        <v>1337.2</v>
      </c>
      <c r="I898" s="345">
        <v>25</v>
      </c>
      <c r="J898" s="345">
        <v>179</v>
      </c>
      <c r="K898" s="345">
        <v>1506.3</v>
      </c>
      <c r="L898" s="346"/>
      <c r="M898" s="346"/>
      <c r="N898" s="346"/>
      <c r="O898" s="345"/>
      <c r="P898" s="345"/>
      <c r="Q898" s="345"/>
      <c r="R898" s="345">
        <v>16.2</v>
      </c>
      <c r="S898" s="345">
        <v>137.6</v>
      </c>
      <c r="T898" s="345">
        <v>1173.4000000000001</v>
      </c>
      <c r="U898" s="345">
        <v>25</v>
      </c>
      <c r="V898" s="345">
        <v>173.5</v>
      </c>
      <c r="W898" s="345">
        <v>1335</v>
      </c>
      <c r="X898" s="345">
        <v>25</v>
      </c>
      <c r="Y898" s="345">
        <v>168.5</v>
      </c>
      <c r="Z898" s="345">
        <v>1243.4000000000001</v>
      </c>
      <c r="AA898">
        <f t="shared" si="13"/>
        <v>25</v>
      </c>
    </row>
    <row r="899" spans="1:27" ht="28.8" x14ac:dyDescent="0.3">
      <c r="A899" s="345" t="s">
        <v>2567</v>
      </c>
      <c r="B899" s="805"/>
      <c r="C899" s="802"/>
      <c r="D899" s="802"/>
      <c r="E899" s="803"/>
      <c r="F899" s="805">
        <v>164.5</v>
      </c>
      <c r="G899" s="803"/>
      <c r="H899" s="345">
        <v>1338.2</v>
      </c>
      <c r="I899" s="345">
        <v>2</v>
      </c>
      <c r="J899" s="345">
        <v>181</v>
      </c>
      <c r="K899" s="345">
        <v>1508.3</v>
      </c>
      <c r="L899" s="346"/>
      <c r="M899" s="346"/>
      <c r="N899" s="346"/>
      <c r="O899" s="345"/>
      <c r="P899" s="345"/>
      <c r="Q899" s="345"/>
      <c r="R899" s="345">
        <v>0.6</v>
      </c>
      <c r="S899" s="345">
        <v>138.19999999999999</v>
      </c>
      <c r="T899" s="345">
        <v>1174</v>
      </c>
      <c r="U899" s="345">
        <v>0.5</v>
      </c>
      <c r="V899" s="345">
        <v>174</v>
      </c>
      <c r="W899" s="345">
        <v>1335.5</v>
      </c>
      <c r="X899" s="345">
        <v>0.5</v>
      </c>
      <c r="Y899" s="345">
        <v>169</v>
      </c>
      <c r="Z899" s="345">
        <v>1243.9000000000001</v>
      </c>
      <c r="AA899">
        <f t="shared" si="13"/>
        <v>2</v>
      </c>
    </row>
    <row r="900" spans="1:27" ht="28.8" x14ac:dyDescent="0.3">
      <c r="A900" s="345" t="s">
        <v>2568</v>
      </c>
      <c r="B900" s="805"/>
      <c r="C900" s="802"/>
      <c r="D900" s="802"/>
      <c r="E900" s="803"/>
      <c r="F900" s="805">
        <v>164.7</v>
      </c>
      <c r="G900" s="803"/>
      <c r="H900" s="345">
        <v>1338.4</v>
      </c>
      <c r="I900" s="345">
        <v>0.3</v>
      </c>
      <c r="J900" s="345">
        <v>181.3</v>
      </c>
      <c r="K900" s="345">
        <v>1508.6</v>
      </c>
      <c r="L900" s="346"/>
      <c r="M900" s="346"/>
      <c r="N900" s="346"/>
      <c r="O900" s="345"/>
      <c r="P900" s="345"/>
      <c r="Q900" s="345"/>
      <c r="R900" s="345">
        <v>0.2</v>
      </c>
      <c r="S900" s="345">
        <v>138.4</v>
      </c>
      <c r="T900" s="345">
        <v>1174.2</v>
      </c>
      <c r="U900" s="345">
        <v>0.5</v>
      </c>
      <c r="V900" s="345">
        <v>174.5</v>
      </c>
      <c r="W900" s="345">
        <v>1336</v>
      </c>
      <c r="X900" s="345">
        <v>0.3</v>
      </c>
      <c r="Y900" s="345">
        <v>169.3</v>
      </c>
      <c r="Z900" s="345">
        <v>1244.2</v>
      </c>
      <c r="AA900">
        <f t="shared" si="13"/>
        <v>0.3</v>
      </c>
    </row>
    <row r="901" spans="1:27" ht="28.8" x14ac:dyDescent="0.3">
      <c r="A901" s="345" t="s">
        <v>2569</v>
      </c>
      <c r="B901" s="805"/>
      <c r="C901" s="802"/>
      <c r="D901" s="802"/>
      <c r="E901" s="803"/>
      <c r="F901" s="805">
        <v>177.7</v>
      </c>
      <c r="G901" s="803"/>
      <c r="H901" s="345">
        <v>1351.4</v>
      </c>
      <c r="I901" s="345">
        <v>14</v>
      </c>
      <c r="J901" s="345">
        <v>195.3</v>
      </c>
      <c r="K901" s="345">
        <v>1522.6</v>
      </c>
      <c r="L901" s="346"/>
      <c r="M901" s="346"/>
      <c r="N901" s="346"/>
      <c r="O901" s="345"/>
      <c r="P901" s="345"/>
      <c r="Q901" s="345"/>
      <c r="R901" s="345">
        <v>5.8</v>
      </c>
      <c r="S901" s="345">
        <v>144.19999999999999</v>
      </c>
      <c r="T901" s="345">
        <v>1180</v>
      </c>
      <c r="U901" s="345">
        <v>5.5</v>
      </c>
      <c r="V901" s="345">
        <v>180</v>
      </c>
      <c r="W901" s="345">
        <v>1341.5</v>
      </c>
      <c r="X901" s="345">
        <v>6</v>
      </c>
      <c r="Y901" s="345">
        <v>175.3</v>
      </c>
      <c r="Z901" s="345">
        <v>1250.2</v>
      </c>
      <c r="AA901">
        <f t="shared" si="13"/>
        <v>14</v>
      </c>
    </row>
    <row r="902" spans="1:27" ht="28.8" x14ac:dyDescent="0.3">
      <c r="A902" s="345" t="s">
        <v>2570</v>
      </c>
      <c r="B902" s="805"/>
      <c r="C902" s="802"/>
      <c r="D902" s="802"/>
      <c r="E902" s="803"/>
      <c r="F902" s="805">
        <v>185.7</v>
      </c>
      <c r="G902" s="803"/>
      <c r="H902" s="345">
        <v>1359.4</v>
      </c>
      <c r="I902" s="345">
        <v>14</v>
      </c>
      <c r="J902" s="345">
        <v>209.3</v>
      </c>
      <c r="K902" s="345">
        <v>1536.6</v>
      </c>
      <c r="L902" s="346"/>
      <c r="M902" s="346"/>
      <c r="N902" s="346"/>
      <c r="O902" s="345"/>
      <c r="P902" s="345"/>
      <c r="Q902" s="345"/>
      <c r="R902" s="345">
        <v>13.2</v>
      </c>
      <c r="S902" s="345">
        <v>157.4</v>
      </c>
      <c r="T902" s="345">
        <v>1193.2</v>
      </c>
      <c r="U902" s="345">
        <v>10</v>
      </c>
      <c r="V902" s="345">
        <v>190</v>
      </c>
      <c r="W902" s="345">
        <v>1351.5</v>
      </c>
      <c r="X902" s="345">
        <v>12.5</v>
      </c>
      <c r="Y902" s="345">
        <v>187.8</v>
      </c>
      <c r="Z902" s="345">
        <v>1262.7</v>
      </c>
      <c r="AA902">
        <f t="shared" si="13"/>
        <v>14</v>
      </c>
    </row>
    <row r="903" spans="1:27" ht="28.8" x14ac:dyDescent="0.3">
      <c r="A903" s="345" t="s">
        <v>2571</v>
      </c>
      <c r="B903" s="805"/>
      <c r="C903" s="802"/>
      <c r="D903" s="802"/>
      <c r="E903" s="803"/>
      <c r="F903" s="805">
        <v>186.7</v>
      </c>
      <c r="G903" s="803"/>
      <c r="H903" s="345">
        <v>1360.4</v>
      </c>
      <c r="I903" s="345">
        <v>3</v>
      </c>
      <c r="J903" s="345">
        <v>212.3</v>
      </c>
      <c r="K903" s="345">
        <v>1539.6</v>
      </c>
      <c r="L903" s="346"/>
      <c r="M903" s="346"/>
      <c r="N903" s="346"/>
      <c r="O903" s="345"/>
      <c r="P903" s="345"/>
      <c r="Q903" s="345"/>
      <c r="R903" s="345">
        <v>0</v>
      </c>
      <c r="S903" s="345">
        <v>157.4</v>
      </c>
      <c r="T903" s="345">
        <v>1193.2</v>
      </c>
      <c r="U903" s="345">
        <v>0.5</v>
      </c>
      <c r="V903" s="345">
        <v>190.5</v>
      </c>
      <c r="W903" s="345">
        <v>1352</v>
      </c>
      <c r="X903" s="345">
        <v>0.5</v>
      </c>
      <c r="Y903" s="345">
        <v>188.3</v>
      </c>
      <c r="Z903" s="345">
        <v>1263.2</v>
      </c>
      <c r="AA903">
        <f t="shared" si="13"/>
        <v>3</v>
      </c>
    </row>
    <row r="904" spans="1:27" ht="28.8" x14ac:dyDescent="0.3">
      <c r="A904" s="345" t="s">
        <v>2572</v>
      </c>
      <c r="B904" s="805"/>
      <c r="C904" s="802"/>
      <c r="D904" s="802"/>
      <c r="E904" s="803"/>
      <c r="F904" s="805">
        <v>188.7</v>
      </c>
      <c r="G904" s="803"/>
      <c r="H904" s="345">
        <v>1362.4</v>
      </c>
      <c r="I904" s="345">
        <v>2</v>
      </c>
      <c r="J904" s="345">
        <v>214.3</v>
      </c>
      <c r="K904" s="345">
        <v>1541.6</v>
      </c>
      <c r="L904" s="346"/>
      <c r="M904" s="346"/>
      <c r="N904" s="346"/>
      <c r="O904" s="345"/>
      <c r="P904" s="345"/>
      <c r="Q904" s="345"/>
      <c r="R904" s="345">
        <v>0</v>
      </c>
      <c r="S904" s="345">
        <v>157.4</v>
      </c>
      <c r="T904" s="345">
        <v>1193.2</v>
      </c>
      <c r="U904" s="345">
        <v>0.5</v>
      </c>
      <c r="V904" s="345">
        <v>191</v>
      </c>
      <c r="W904" s="345">
        <v>1352.5</v>
      </c>
      <c r="X904" s="345">
        <v>1.5</v>
      </c>
      <c r="Y904" s="345">
        <v>189.8</v>
      </c>
      <c r="Z904" s="345">
        <v>1264.7</v>
      </c>
      <c r="AA904">
        <f t="shared" si="13"/>
        <v>2</v>
      </c>
    </row>
    <row r="905" spans="1:27" ht="28.8" x14ac:dyDescent="0.3">
      <c r="A905" s="345" t="s">
        <v>2573</v>
      </c>
      <c r="B905" s="805"/>
      <c r="C905" s="802"/>
      <c r="D905" s="802"/>
      <c r="E905" s="803"/>
      <c r="F905" s="805">
        <v>201.7</v>
      </c>
      <c r="G905" s="803"/>
      <c r="H905" s="345">
        <v>1375.4</v>
      </c>
      <c r="I905" s="345">
        <v>11</v>
      </c>
      <c r="J905" s="345">
        <v>225.3</v>
      </c>
      <c r="K905" s="345">
        <v>1552.6</v>
      </c>
      <c r="L905" s="346"/>
      <c r="M905" s="346"/>
      <c r="N905" s="346"/>
      <c r="O905" s="345"/>
      <c r="P905" s="345"/>
      <c r="Q905" s="345"/>
      <c r="R905" s="345">
        <v>11.8</v>
      </c>
      <c r="S905" s="345">
        <v>169.2</v>
      </c>
      <c r="T905" s="345">
        <v>1205</v>
      </c>
      <c r="U905" s="345">
        <v>14.5</v>
      </c>
      <c r="V905" s="345">
        <v>205.5</v>
      </c>
      <c r="W905" s="345">
        <v>1367</v>
      </c>
      <c r="X905" s="345">
        <v>15</v>
      </c>
      <c r="Y905" s="345">
        <v>204.8</v>
      </c>
      <c r="Z905" s="345">
        <v>1279.7</v>
      </c>
      <c r="AA905">
        <f t="shared" si="13"/>
        <v>11</v>
      </c>
    </row>
    <row r="906" spans="1:27" ht="28.8" x14ac:dyDescent="0.3">
      <c r="A906" s="345" t="s">
        <v>2574</v>
      </c>
      <c r="B906" s="805"/>
      <c r="C906" s="802"/>
      <c r="D906" s="802"/>
      <c r="E906" s="803"/>
      <c r="F906" s="805">
        <v>212.2</v>
      </c>
      <c r="G906" s="803"/>
      <c r="H906" s="345">
        <v>1385.9</v>
      </c>
      <c r="I906" s="345">
        <v>10</v>
      </c>
      <c r="J906" s="345">
        <v>235.3</v>
      </c>
      <c r="K906" s="345">
        <v>1562.6</v>
      </c>
      <c r="L906" s="346"/>
      <c r="M906" s="346"/>
      <c r="N906" s="346"/>
      <c r="O906" s="345"/>
      <c r="P906" s="345"/>
      <c r="Q906" s="345"/>
      <c r="R906" s="345">
        <v>0</v>
      </c>
      <c r="S906" s="345">
        <v>169.2</v>
      </c>
      <c r="T906" s="345">
        <v>1205</v>
      </c>
      <c r="U906" s="345">
        <v>7</v>
      </c>
      <c r="V906" s="345">
        <v>212.5</v>
      </c>
      <c r="W906" s="345">
        <v>1374</v>
      </c>
      <c r="X906" s="345">
        <v>6.5</v>
      </c>
      <c r="Y906" s="345">
        <v>211.3</v>
      </c>
      <c r="Z906" s="345">
        <v>1286.2</v>
      </c>
      <c r="AA906">
        <f t="shared" si="13"/>
        <v>10</v>
      </c>
    </row>
    <row r="907" spans="1:27" ht="28.8" x14ac:dyDescent="0.3">
      <c r="A907" s="345" t="s">
        <v>2575</v>
      </c>
      <c r="B907" s="805"/>
      <c r="C907" s="802"/>
      <c r="D907" s="802"/>
      <c r="E907" s="803"/>
      <c r="F907" s="805">
        <v>225.7</v>
      </c>
      <c r="G907" s="803"/>
      <c r="H907" s="345">
        <v>1399.4</v>
      </c>
      <c r="I907" s="345">
        <v>24.5</v>
      </c>
      <c r="J907" s="345">
        <v>259.8</v>
      </c>
      <c r="K907" s="345">
        <v>1587.1</v>
      </c>
      <c r="L907" s="346"/>
      <c r="M907" s="346"/>
      <c r="N907" s="346"/>
      <c r="O907" s="345"/>
      <c r="P907" s="345"/>
      <c r="Q907" s="345"/>
      <c r="R907" s="345">
        <v>0</v>
      </c>
      <c r="S907" s="345">
        <v>169.2</v>
      </c>
      <c r="T907" s="345">
        <v>1205</v>
      </c>
      <c r="U907" s="345">
        <v>15</v>
      </c>
      <c r="V907" s="345">
        <v>227.5</v>
      </c>
      <c r="W907" s="345">
        <v>1389</v>
      </c>
      <c r="X907" s="345">
        <v>11.5</v>
      </c>
      <c r="Y907" s="345">
        <v>222.8</v>
      </c>
      <c r="Z907" s="345">
        <v>1297.7</v>
      </c>
      <c r="AA907">
        <f t="shared" ref="AA907:AA971" si="14">MAX(B907+I907+L907+O907)</f>
        <v>24.5</v>
      </c>
    </row>
    <row r="908" spans="1:27" ht="28.8" x14ac:dyDescent="0.3">
      <c r="A908" s="345" t="s">
        <v>2576</v>
      </c>
      <c r="B908" s="805"/>
      <c r="C908" s="802"/>
      <c r="D908" s="802"/>
      <c r="E908" s="803"/>
      <c r="F908" s="805">
        <v>239.7</v>
      </c>
      <c r="G908" s="803"/>
      <c r="H908" s="345">
        <v>1413.4</v>
      </c>
      <c r="I908" s="345">
        <v>11</v>
      </c>
      <c r="J908" s="345">
        <v>270.8</v>
      </c>
      <c r="K908" s="345">
        <v>1598.1</v>
      </c>
      <c r="L908" s="346"/>
      <c r="M908" s="346"/>
      <c r="N908" s="346"/>
      <c r="O908" s="345"/>
      <c r="P908" s="345"/>
      <c r="Q908" s="345"/>
      <c r="R908" s="345">
        <v>0</v>
      </c>
      <c r="S908" s="345">
        <v>169.2</v>
      </c>
      <c r="T908" s="345">
        <v>1205</v>
      </c>
      <c r="U908" s="345">
        <v>12.5</v>
      </c>
      <c r="V908" s="345">
        <v>240</v>
      </c>
      <c r="W908" s="345">
        <v>1401.5</v>
      </c>
      <c r="X908" s="345">
        <v>19</v>
      </c>
      <c r="Y908" s="345">
        <v>241.8</v>
      </c>
      <c r="Z908" s="345">
        <v>1316.7</v>
      </c>
      <c r="AA908">
        <f t="shared" si="14"/>
        <v>11</v>
      </c>
    </row>
    <row r="909" spans="1:27" ht="28.8" x14ac:dyDescent="0.3">
      <c r="A909" s="345" t="s">
        <v>2577</v>
      </c>
      <c r="B909" s="805"/>
      <c r="C909" s="802"/>
      <c r="D909" s="802"/>
      <c r="E909" s="803"/>
      <c r="F909" s="805">
        <v>256.7</v>
      </c>
      <c r="G909" s="803"/>
      <c r="H909" s="345">
        <v>1430.4</v>
      </c>
      <c r="I909" s="345">
        <v>12</v>
      </c>
      <c r="J909" s="345">
        <v>282.8</v>
      </c>
      <c r="K909" s="345">
        <v>1610.1</v>
      </c>
      <c r="L909" s="346"/>
      <c r="M909" s="346"/>
      <c r="N909" s="346"/>
      <c r="O909" s="345"/>
      <c r="P909" s="345"/>
      <c r="Q909" s="345"/>
      <c r="R909" s="345">
        <v>0</v>
      </c>
      <c r="S909" s="345">
        <v>169.2</v>
      </c>
      <c r="T909" s="345">
        <v>1205</v>
      </c>
      <c r="U909" s="345">
        <v>20</v>
      </c>
      <c r="V909" s="345">
        <v>260</v>
      </c>
      <c r="W909" s="345">
        <v>1421.5</v>
      </c>
      <c r="X909" s="345">
        <v>14.5</v>
      </c>
      <c r="Y909" s="345">
        <v>256.3</v>
      </c>
      <c r="Z909" s="345">
        <v>1331.2</v>
      </c>
      <c r="AA909">
        <f t="shared" si="14"/>
        <v>12</v>
      </c>
    </row>
    <row r="910" spans="1:27" ht="28.8" x14ac:dyDescent="0.3">
      <c r="A910" s="345" t="s">
        <v>2578</v>
      </c>
      <c r="B910" s="805"/>
      <c r="C910" s="802"/>
      <c r="D910" s="802"/>
      <c r="E910" s="803"/>
      <c r="F910" s="805">
        <v>271.2</v>
      </c>
      <c r="G910" s="803"/>
      <c r="H910" s="345">
        <v>1444.9</v>
      </c>
      <c r="I910" s="345">
        <v>15</v>
      </c>
      <c r="J910" s="345">
        <v>297.8</v>
      </c>
      <c r="K910" s="345">
        <v>1625.1</v>
      </c>
      <c r="L910" s="346"/>
      <c r="M910" s="346"/>
      <c r="N910" s="346"/>
      <c r="O910" s="345"/>
      <c r="P910" s="345"/>
      <c r="Q910" s="345"/>
      <c r="R910" s="345">
        <v>0</v>
      </c>
      <c r="S910" s="345">
        <v>169.2</v>
      </c>
      <c r="T910" s="345">
        <v>1205</v>
      </c>
      <c r="U910" s="345">
        <v>13</v>
      </c>
      <c r="V910" s="345">
        <v>273</v>
      </c>
      <c r="W910" s="345">
        <v>1434.5</v>
      </c>
      <c r="X910" s="345">
        <v>13.5</v>
      </c>
      <c r="Y910" s="345">
        <v>269.8</v>
      </c>
      <c r="Z910" s="345">
        <v>1344.7</v>
      </c>
      <c r="AA910">
        <f t="shared" si="14"/>
        <v>15</v>
      </c>
    </row>
    <row r="911" spans="1:27" ht="28.8" x14ac:dyDescent="0.3">
      <c r="A911" s="345" t="s">
        <v>2579</v>
      </c>
      <c r="B911" s="805"/>
      <c r="C911" s="802"/>
      <c r="D911" s="802"/>
      <c r="E911" s="803"/>
      <c r="F911" s="805">
        <v>278.7</v>
      </c>
      <c r="G911" s="803"/>
      <c r="H911" s="345">
        <v>1452.4</v>
      </c>
      <c r="I911" s="345">
        <v>6</v>
      </c>
      <c r="J911" s="345">
        <v>303.8</v>
      </c>
      <c r="K911" s="345">
        <v>1631.1</v>
      </c>
      <c r="L911" s="346"/>
      <c r="M911" s="346"/>
      <c r="N911" s="346"/>
      <c r="O911" s="345"/>
      <c r="P911" s="345"/>
      <c r="Q911" s="345"/>
      <c r="R911" s="345">
        <v>0</v>
      </c>
      <c r="S911" s="345">
        <v>169.2</v>
      </c>
      <c r="T911" s="345">
        <v>1205</v>
      </c>
      <c r="U911" s="345">
        <v>6</v>
      </c>
      <c r="V911" s="345">
        <v>279</v>
      </c>
      <c r="W911" s="345">
        <v>1440.5</v>
      </c>
      <c r="X911" s="345">
        <v>6</v>
      </c>
      <c r="Y911" s="345">
        <v>275.8</v>
      </c>
      <c r="Z911" s="345">
        <v>1350.7</v>
      </c>
      <c r="AA911">
        <f t="shared" si="14"/>
        <v>6</v>
      </c>
    </row>
    <row r="912" spans="1:27" ht="28.8" x14ac:dyDescent="0.3">
      <c r="A912" s="345" t="s">
        <v>2580</v>
      </c>
      <c r="B912" s="805"/>
      <c r="C912" s="802"/>
      <c r="D912" s="802"/>
      <c r="E912" s="803"/>
      <c r="F912" s="805">
        <v>291.2</v>
      </c>
      <c r="G912" s="803"/>
      <c r="H912" s="345">
        <v>1464.9</v>
      </c>
      <c r="I912" s="345">
        <v>14</v>
      </c>
      <c r="J912" s="345">
        <v>317.8</v>
      </c>
      <c r="K912" s="345">
        <v>1645.1</v>
      </c>
      <c r="L912" s="346"/>
      <c r="M912" s="346"/>
      <c r="N912" s="346"/>
      <c r="O912" s="345"/>
      <c r="P912" s="345"/>
      <c r="Q912" s="345"/>
      <c r="R912" s="345">
        <v>0</v>
      </c>
      <c r="S912" s="345">
        <v>169.2</v>
      </c>
      <c r="T912" s="345">
        <v>1205</v>
      </c>
      <c r="U912" s="345">
        <v>10</v>
      </c>
      <c r="V912" s="345">
        <v>289</v>
      </c>
      <c r="W912" s="345">
        <v>1450.5</v>
      </c>
      <c r="X912" s="345">
        <v>11</v>
      </c>
      <c r="Y912" s="345">
        <v>286.8</v>
      </c>
      <c r="Z912" s="345">
        <v>1361.7</v>
      </c>
      <c r="AA912">
        <f t="shared" si="14"/>
        <v>14</v>
      </c>
    </row>
    <row r="913" spans="1:27" ht="28.8" x14ac:dyDescent="0.3">
      <c r="A913" s="345" t="s">
        <v>2581</v>
      </c>
      <c r="B913" s="805"/>
      <c r="C913" s="802"/>
      <c r="D913" s="802"/>
      <c r="E913" s="803"/>
      <c r="F913" s="805">
        <v>293.7</v>
      </c>
      <c r="G913" s="803"/>
      <c r="H913" s="345">
        <v>1467.4</v>
      </c>
      <c r="I913" s="345">
        <v>4</v>
      </c>
      <c r="J913" s="345">
        <v>321.8</v>
      </c>
      <c r="K913" s="345">
        <v>1649.1</v>
      </c>
      <c r="L913" s="346"/>
      <c r="M913" s="346"/>
      <c r="N913" s="346"/>
      <c r="O913" s="345"/>
      <c r="P913" s="345"/>
      <c r="Q913" s="345"/>
      <c r="R913" s="345">
        <v>0</v>
      </c>
      <c r="S913" s="345">
        <v>169.2</v>
      </c>
      <c r="T913" s="345">
        <v>1205</v>
      </c>
      <c r="U913" s="345">
        <v>3</v>
      </c>
      <c r="V913" s="345">
        <v>292</v>
      </c>
      <c r="W913" s="345">
        <v>1453.5</v>
      </c>
      <c r="X913" s="345">
        <v>2.5</v>
      </c>
      <c r="Y913" s="345">
        <v>289.3</v>
      </c>
      <c r="Z913" s="345">
        <v>1364.2</v>
      </c>
      <c r="AA913">
        <f t="shared" si="14"/>
        <v>4</v>
      </c>
    </row>
    <row r="914" spans="1:27" s="362" customFormat="1" ht="28.8" x14ac:dyDescent="0.3">
      <c r="A914" s="359" t="s">
        <v>2582</v>
      </c>
      <c r="B914" s="811"/>
      <c r="C914" s="812"/>
      <c r="D914" s="812"/>
      <c r="E914" s="813"/>
      <c r="F914" s="811">
        <v>294.2</v>
      </c>
      <c r="G914" s="813"/>
      <c r="H914" s="359">
        <v>1467.9</v>
      </c>
      <c r="I914" s="359">
        <v>0.5</v>
      </c>
      <c r="J914" s="359">
        <v>322.3</v>
      </c>
      <c r="K914" s="359">
        <v>1649.6</v>
      </c>
      <c r="L914" s="359"/>
      <c r="M914" s="359"/>
      <c r="N914" s="359"/>
      <c r="O914" s="359"/>
      <c r="P914" s="359"/>
      <c r="Q914" s="359"/>
      <c r="R914" s="359">
        <v>0.5</v>
      </c>
      <c r="S914" s="359">
        <v>169.7</v>
      </c>
      <c r="T914" s="359">
        <v>1205.5</v>
      </c>
      <c r="U914" s="359">
        <v>0.5</v>
      </c>
      <c r="V914" s="359">
        <v>292.5</v>
      </c>
      <c r="W914" s="359">
        <v>1454</v>
      </c>
      <c r="X914" s="359">
        <v>0.5</v>
      </c>
      <c r="Y914" s="359">
        <v>289.8</v>
      </c>
      <c r="Z914" s="359">
        <v>1364.7</v>
      </c>
      <c r="AA914" s="362">
        <f t="shared" si="14"/>
        <v>0.5</v>
      </c>
    </row>
    <row r="915" spans="1:27" x14ac:dyDescent="0.3">
      <c r="A915" s="345" t="s">
        <v>2583</v>
      </c>
      <c r="B915" s="805"/>
      <c r="C915" s="802"/>
      <c r="D915" s="802"/>
      <c r="E915" s="803"/>
      <c r="F915" s="805">
        <v>7</v>
      </c>
      <c r="G915" s="803"/>
      <c r="H915" s="345">
        <v>1474.9</v>
      </c>
      <c r="I915" s="345">
        <v>8.5</v>
      </c>
      <c r="J915" s="345">
        <v>8.5</v>
      </c>
      <c r="K915" s="345">
        <v>1658.1</v>
      </c>
      <c r="L915" s="346"/>
      <c r="M915" s="346"/>
      <c r="N915" s="346"/>
      <c r="O915" s="345"/>
      <c r="P915" s="345"/>
      <c r="Q915" s="345"/>
      <c r="R915" s="345">
        <v>0</v>
      </c>
      <c r="S915" s="345">
        <v>0</v>
      </c>
      <c r="T915" s="345">
        <v>1205.5</v>
      </c>
      <c r="U915" s="345">
        <v>6.5</v>
      </c>
      <c r="V915" s="345">
        <v>6.5</v>
      </c>
      <c r="W915" s="345">
        <v>1460.5</v>
      </c>
      <c r="X915" s="345">
        <v>6.5</v>
      </c>
      <c r="Y915" s="345">
        <v>6.5</v>
      </c>
      <c r="Z915" s="345">
        <v>1371.2</v>
      </c>
      <c r="AA915">
        <f t="shared" si="14"/>
        <v>8.5</v>
      </c>
    </row>
    <row r="916" spans="1:27" x14ac:dyDescent="0.3">
      <c r="A916" s="345" t="s">
        <v>2584</v>
      </c>
      <c r="B916" s="805"/>
      <c r="C916" s="802"/>
      <c r="D916" s="802"/>
      <c r="E916" s="803"/>
      <c r="F916" s="805">
        <v>17</v>
      </c>
      <c r="G916" s="803"/>
      <c r="H916" s="345">
        <v>1484.9</v>
      </c>
      <c r="I916" s="345">
        <v>15</v>
      </c>
      <c r="J916" s="345">
        <v>23.5</v>
      </c>
      <c r="K916" s="345">
        <v>1673.1</v>
      </c>
      <c r="L916" s="346"/>
      <c r="M916" s="346"/>
      <c r="N916" s="346"/>
      <c r="O916" s="345"/>
      <c r="P916" s="345"/>
      <c r="Q916" s="345"/>
      <c r="R916" s="345">
        <v>0</v>
      </c>
      <c r="S916" s="345">
        <v>0</v>
      </c>
      <c r="T916" s="345">
        <v>1205.5</v>
      </c>
      <c r="U916" s="345">
        <v>7.5</v>
      </c>
      <c r="V916" s="345">
        <v>14</v>
      </c>
      <c r="W916" s="345">
        <v>1468</v>
      </c>
      <c r="X916" s="345">
        <v>8</v>
      </c>
      <c r="Y916" s="345">
        <v>14.5</v>
      </c>
      <c r="Z916" s="345">
        <v>1379.2</v>
      </c>
      <c r="AA916">
        <f t="shared" si="14"/>
        <v>15</v>
      </c>
    </row>
    <row r="917" spans="1:27" x14ac:dyDescent="0.3">
      <c r="A917" s="345" t="s">
        <v>2585</v>
      </c>
      <c r="B917" s="805"/>
      <c r="C917" s="802"/>
      <c r="D917" s="802"/>
      <c r="E917" s="803"/>
      <c r="F917" s="805">
        <v>73.5</v>
      </c>
      <c r="G917" s="803"/>
      <c r="H917" s="345">
        <v>1541.4</v>
      </c>
      <c r="I917" s="345">
        <v>61</v>
      </c>
      <c r="J917" s="345">
        <v>84.5</v>
      </c>
      <c r="K917" s="345">
        <v>1734.1</v>
      </c>
      <c r="L917" s="346"/>
      <c r="M917" s="346"/>
      <c r="N917" s="346"/>
      <c r="O917" s="345"/>
      <c r="P917" s="345"/>
      <c r="Q917" s="345"/>
      <c r="R917" s="345">
        <v>0</v>
      </c>
      <c r="S917" s="345">
        <v>0</v>
      </c>
      <c r="T917" s="345">
        <v>1205.5</v>
      </c>
      <c r="U917" s="345">
        <v>57</v>
      </c>
      <c r="V917" s="345">
        <v>71</v>
      </c>
      <c r="W917" s="345">
        <v>1525</v>
      </c>
      <c r="X917" s="345">
        <v>56</v>
      </c>
      <c r="Y917" s="345">
        <v>70.5</v>
      </c>
      <c r="Z917" s="345">
        <v>1435.2</v>
      </c>
      <c r="AA917">
        <f t="shared" si="14"/>
        <v>61</v>
      </c>
    </row>
    <row r="918" spans="1:27" x14ac:dyDescent="0.3">
      <c r="A918" s="345" t="s">
        <v>2586</v>
      </c>
      <c r="B918" s="805"/>
      <c r="C918" s="802"/>
      <c r="D918" s="802"/>
      <c r="E918" s="803"/>
      <c r="F918" s="805">
        <v>76.5</v>
      </c>
      <c r="G918" s="803"/>
      <c r="H918" s="345">
        <v>1544.4</v>
      </c>
      <c r="I918" s="345">
        <v>3</v>
      </c>
      <c r="J918" s="345">
        <v>87.5</v>
      </c>
      <c r="K918" s="345">
        <v>1737.1</v>
      </c>
      <c r="L918" s="346"/>
      <c r="M918" s="346"/>
      <c r="N918" s="346"/>
      <c r="O918" s="345"/>
      <c r="P918" s="345"/>
      <c r="Q918" s="345"/>
      <c r="R918" s="345">
        <v>0</v>
      </c>
      <c r="S918" s="345">
        <v>0</v>
      </c>
      <c r="T918" s="345">
        <v>1205.5</v>
      </c>
      <c r="U918" s="345">
        <v>2</v>
      </c>
      <c r="V918" s="345">
        <v>73</v>
      </c>
      <c r="W918" s="345">
        <v>1527</v>
      </c>
      <c r="X918" s="345">
        <v>2</v>
      </c>
      <c r="Y918" s="345">
        <v>72.5</v>
      </c>
      <c r="Z918" s="345">
        <v>1437.2</v>
      </c>
      <c r="AA918">
        <f t="shared" si="14"/>
        <v>3</v>
      </c>
    </row>
    <row r="919" spans="1:27" x14ac:dyDescent="0.3">
      <c r="A919" s="345" t="s">
        <v>2587</v>
      </c>
      <c r="B919" s="805"/>
      <c r="C919" s="802"/>
      <c r="D919" s="802"/>
      <c r="E919" s="803"/>
      <c r="F919" s="805">
        <v>78.5</v>
      </c>
      <c r="G919" s="803"/>
      <c r="H919" s="345">
        <v>1546.4</v>
      </c>
      <c r="I919" s="345">
        <v>2.5</v>
      </c>
      <c r="J919" s="345">
        <v>90</v>
      </c>
      <c r="K919" s="345">
        <v>1739.6</v>
      </c>
      <c r="L919" s="346"/>
      <c r="M919" s="346"/>
      <c r="N919" s="346"/>
      <c r="O919" s="345"/>
      <c r="P919" s="345"/>
      <c r="Q919" s="345"/>
      <c r="R919" s="345">
        <v>0</v>
      </c>
      <c r="S919" s="345">
        <v>0</v>
      </c>
      <c r="T919" s="345">
        <v>1205.5</v>
      </c>
      <c r="U919" s="345">
        <v>3</v>
      </c>
      <c r="V919" s="345">
        <v>76</v>
      </c>
      <c r="W919" s="345">
        <v>1530</v>
      </c>
      <c r="X919" s="345">
        <v>2</v>
      </c>
      <c r="Y919" s="345">
        <v>74.5</v>
      </c>
      <c r="Z919" s="345">
        <v>1439.2</v>
      </c>
      <c r="AA919">
        <f t="shared" si="14"/>
        <v>2.5</v>
      </c>
    </row>
    <row r="920" spans="1:27" x14ac:dyDescent="0.3">
      <c r="A920" s="345" t="s">
        <v>2588</v>
      </c>
      <c r="B920" s="805"/>
      <c r="C920" s="802"/>
      <c r="D920" s="802"/>
      <c r="E920" s="803"/>
      <c r="F920" s="805">
        <v>80</v>
      </c>
      <c r="G920" s="803"/>
      <c r="H920" s="345">
        <v>1547.9</v>
      </c>
      <c r="I920" s="345">
        <v>1</v>
      </c>
      <c r="J920" s="345">
        <v>91</v>
      </c>
      <c r="K920" s="345">
        <v>1740.6</v>
      </c>
      <c r="L920" s="346"/>
      <c r="M920" s="346"/>
      <c r="N920" s="346"/>
      <c r="O920" s="345"/>
      <c r="P920" s="345"/>
      <c r="Q920" s="345"/>
      <c r="R920" s="345">
        <v>0</v>
      </c>
      <c r="S920" s="345">
        <v>0</v>
      </c>
      <c r="T920" s="345">
        <v>1205.5</v>
      </c>
      <c r="U920" s="345">
        <v>1.5</v>
      </c>
      <c r="V920" s="345">
        <v>77.5</v>
      </c>
      <c r="W920" s="345">
        <v>1531.5</v>
      </c>
      <c r="X920" s="345">
        <v>1.5</v>
      </c>
      <c r="Y920" s="345">
        <v>76</v>
      </c>
      <c r="Z920" s="345">
        <v>1440.7</v>
      </c>
      <c r="AA920">
        <f t="shared" si="14"/>
        <v>1</v>
      </c>
    </row>
    <row r="921" spans="1:27" x14ac:dyDescent="0.3">
      <c r="A921" s="345" t="s">
        <v>2589</v>
      </c>
      <c r="B921" s="805"/>
      <c r="C921" s="802"/>
      <c r="D921" s="802"/>
      <c r="E921" s="803"/>
      <c r="F921" s="805">
        <v>84.5</v>
      </c>
      <c r="G921" s="803"/>
      <c r="H921" s="345">
        <v>1552.4</v>
      </c>
      <c r="I921" s="345">
        <v>4.5</v>
      </c>
      <c r="J921" s="345">
        <v>95.5</v>
      </c>
      <c r="K921" s="345">
        <v>1745.1</v>
      </c>
      <c r="L921" s="346"/>
      <c r="M921" s="346"/>
      <c r="N921" s="346"/>
      <c r="O921" s="345"/>
      <c r="P921" s="345"/>
      <c r="Q921" s="345"/>
      <c r="R921" s="345">
        <v>0</v>
      </c>
      <c r="S921" s="345">
        <v>0</v>
      </c>
      <c r="T921" s="345">
        <v>1205.5</v>
      </c>
      <c r="U921" s="345">
        <v>3</v>
      </c>
      <c r="V921" s="345">
        <v>80.5</v>
      </c>
      <c r="W921" s="345">
        <v>1534.5</v>
      </c>
      <c r="X921" s="345">
        <v>3</v>
      </c>
      <c r="Y921" s="345">
        <v>79</v>
      </c>
      <c r="Z921" s="345">
        <v>1443.7</v>
      </c>
      <c r="AA921">
        <f t="shared" si="14"/>
        <v>4.5</v>
      </c>
    </row>
    <row r="922" spans="1:27" x14ac:dyDescent="0.3">
      <c r="A922" s="345" t="s">
        <v>2590</v>
      </c>
      <c r="B922" s="805"/>
      <c r="C922" s="802"/>
      <c r="D922" s="802"/>
      <c r="E922" s="803"/>
      <c r="F922" s="805">
        <v>148.5</v>
      </c>
      <c r="G922" s="803"/>
      <c r="H922" s="345">
        <v>1616.4</v>
      </c>
      <c r="I922" s="345">
        <v>39.5</v>
      </c>
      <c r="J922" s="345">
        <v>135</v>
      </c>
      <c r="K922" s="345">
        <v>1784.6</v>
      </c>
      <c r="L922" s="346"/>
      <c r="M922" s="346"/>
      <c r="N922" s="346"/>
      <c r="O922" s="345"/>
      <c r="P922" s="345"/>
      <c r="Q922" s="345"/>
      <c r="R922" s="345">
        <v>0</v>
      </c>
      <c r="S922" s="345">
        <v>0</v>
      </c>
      <c r="T922" s="345">
        <v>1205.5</v>
      </c>
      <c r="U922" s="345">
        <v>75</v>
      </c>
      <c r="V922" s="345">
        <v>155.5</v>
      </c>
      <c r="W922" s="345">
        <v>1609.5</v>
      </c>
      <c r="X922" s="345">
        <v>54</v>
      </c>
      <c r="Y922" s="345">
        <v>133</v>
      </c>
      <c r="Z922" s="345">
        <v>1497.7</v>
      </c>
      <c r="AA922">
        <f t="shared" si="14"/>
        <v>39.5</v>
      </c>
    </row>
    <row r="923" spans="1:27" x14ac:dyDescent="0.3">
      <c r="A923" s="345" t="s">
        <v>2591</v>
      </c>
      <c r="B923" s="805"/>
      <c r="C923" s="802"/>
      <c r="D923" s="802"/>
      <c r="E923" s="803"/>
      <c r="F923" s="805">
        <v>149</v>
      </c>
      <c r="G923" s="803"/>
      <c r="H923" s="345">
        <v>1616.9</v>
      </c>
      <c r="I923" s="345">
        <v>1</v>
      </c>
      <c r="J923" s="345">
        <v>136</v>
      </c>
      <c r="K923" s="345">
        <v>1785.6</v>
      </c>
      <c r="L923" s="346"/>
      <c r="M923" s="346"/>
      <c r="N923" s="346"/>
      <c r="O923" s="345"/>
      <c r="P923" s="345"/>
      <c r="Q923" s="345"/>
      <c r="R923" s="345">
        <v>0</v>
      </c>
      <c r="S923" s="345">
        <v>0</v>
      </c>
      <c r="T923" s="345">
        <v>1205.5</v>
      </c>
      <c r="U923" s="345">
        <v>0.5</v>
      </c>
      <c r="V923" s="345">
        <v>156</v>
      </c>
      <c r="W923" s="345">
        <v>1610</v>
      </c>
      <c r="X923" s="345">
        <v>1</v>
      </c>
      <c r="Y923" s="345">
        <v>134</v>
      </c>
      <c r="Z923" s="345">
        <v>1498.7</v>
      </c>
      <c r="AA923">
        <f t="shared" si="14"/>
        <v>1</v>
      </c>
    </row>
    <row r="924" spans="1:27" x14ac:dyDescent="0.3">
      <c r="A924" s="345" t="s">
        <v>2592</v>
      </c>
      <c r="B924" s="805"/>
      <c r="C924" s="802"/>
      <c r="D924" s="802"/>
      <c r="E924" s="803"/>
      <c r="F924" s="805">
        <v>171.5</v>
      </c>
      <c r="G924" s="803"/>
      <c r="H924" s="345">
        <v>1639.4</v>
      </c>
      <c r="I924" s="345">
        <v>25</v>
      </c>
      <c r="J924" s="345">
        <v>161</v>
      </c>
      <c r="K924" s="345">
        <v>1810.6</v>
      </c>
      <c r="L924" s="346"/>
      <c r="M924" s="346"/>
      <c r="N924" s="346"/>
      <c r="O924" s="345"/>
      <c r="P924" s="345"/>
      <c r="Q924" s="345"/>
      <c r="R924" s="345">
        <v>0</v>
      </c>
      <c r="S924" s="345">
        <v>0</v>
      </c>
      <c r="T924" s="345">
        <v>1205.5</v>
      </c>
      <c r="U924" s="345">
        <v>25.5</v>
      </c>
      <c r="V924" s="345">
        <v>181.5</v>
      </c>
      <c r="W924" s="345">
        <v>1635.5</v>
      </c>
      <c r="X924" s="345">
        <v>23.5</v>
      </c>
      <c r="Y924" s="345">
        <v>157.5</v>
      </c>
      <c r="Z924" s="345">
        <v>1522.2</v>
      </c>
      <c r="AA924">
        <f t="shared" si="14"/>
        <v>25</v>
      </c>
    </row>
    <row r="925" spans="1:27" x14ac:dyDescent="0.3">
      <c r="A925" s="345" t="s">
        <v>2593</v>
      </c>
      <c r="B925" s="805"/>
      <c r="C925" s="802"/>
      <c r="D925" s="802"/>
      <c r="E925" s="803"/>
      <c r="F925" s="805">
        <v>177.5</v>
      </c>
      <c r="G925" s="803"/>
      <c r="H925" s="345">
        <v>1645.4</v>
      </c>
      <c r="I925" s="345">
        <v>6.5</v>
      </c>
      <c r="J925" s="345">
        <v>167.5</v>
      </c>
      <c r="K925" s="345">
        <v>1817.1</v>
      </c>
      <c r="L925" s="346"/>
      <c r="M925" s="346"/>
      <c r="N925" s="346"/>
      <c r="O925" s="345"/>
      <c r="P925" s="345"/>
      <c r="Q925" s="345"/>
      <c r="R925" s="345">
        <v>0</v>
      </c>
      <c r="S925" s="345">
        <v>0</v>
      </c>
      <c r="T925" s="345">
        <v>1205.5</v>
      </c>
      <c r="U925" s="345">
        <v>6</v>
      </c>
      <c r="V925" s="345">
        <v>187.5</v>
      </c>
      <c r="W925" s="345">
        <v>1641.5</v>
      </c>
      <c r="X925" s="345">
        <v>6.5</v>
      </c>
      <c r="Y925" s="345">
        <v>164</v>
      </c>
      <c r="Z925" s="345">
        <v>1528.7</v>
      </c>
      <c r="AA925">
        <f t="shared" si="14"/>
        <v>6.5</v>
      </c>
    </row>
    <row r="926" spans="1:27" x14ac:dyDescent="0.3">
      <c r="A926" s="345" t="s">
        <v>2594</v>
      </c>
      <c r="B926" s="805"/>
      <c r="C926" s="802"/>
      <c r="D926" s="802"/>
      <c r="E926" s="803"/>
      <c r="F926" s="805">
        <v>181</v>
      </c>
      <c r="G926" s="803"/>
      <c r="H926" s="345">
        <v>1648.9</v>
      </c>
      <c r="I926" s="345">
        <v>3</v>
      </c>
      <c r="J926" s="345">
        <v>170.5</v>
      </c>
      <c r="K926" s="345">
        <v>1820.1</v>
      </c>
      <c r="L926" s="346"/>
      <c r="M926" s="346"/>
      <c r="N926" s="346"/>
      <c r="O926" s="345"/>
      <c r="P926" s="345"/>
      <c r="Q926" s="345"/>
      <c r="R926" s="345">
        <v>0</v>
      </c>
      <c r="S926" s="345">
        <v>0</v>
      </c>
      <c r="T926" s="345">
        <v>1205.5</v>
      </c>
      <c r="U926" s="345">
        <v>1.5</v>
      </c>
      <c r="V926" s="345">
        <v>189</v>
      </c>
      <c r="W926" s="345">
        <v>1643</v>
      </c>
      <c r="X926" s="345">
        <v>1.5</v>
      </c>
      <c r="Y926" s="345">
        <v>165.5</v>
      </c>
      <c r="Z926" s="345">
        <v>1530.2</v>
      </c>
      <c r="AA926">
        <f t="shared" si="14"/>
        <v>3</v>
      </c>
    </row>
    <row r="927" spans="1:27" x14ac:dyDescent="0.3">
      <c r="A927" s="345" t="s">
        <v>2595</v>
      </c>
      <c r="B927" s="805"/>
      <c r="C927" s="802"/>
      <c r="D927" s="802"/>
      <c r="E927" s="803"/>
      <c r="F927" s="805">
        <v>188</v>
      </c>
      <c r="G927" s="803"/>
      <c r="H927" s="345">
        <v>1655.9</v>
      </c>
      <c r="I927" s="345">
        <v>8</v>
      </c>
      <c r="J927" s="345">
        <v>178.5</v>
      </c>
      <c r="K927" s="345">
        <v>1828.1</v>
      </c>
      <c r="L927" s="346"/>
      <c r="M927" s="346"/>
      <c r="N927" s="346"/>
      <c r="O927" s="345"/>
      <c r="P927" s="345"/>
      <c r="Q927" s="345"/>
      <c r="R927" s="345">
        <v>0</v>
      </c>
      <c r="S927" s="345">
        <v>0</v>
      </c>
      <c r="T927" s="345">
        <v>1205.5</v>
      </c>
      <c r="U927" s="345">
        <v>7</v>
      </c>
      <c r="V927" s="345">
        <v>196</v>
      </c>
      <c r="W927" s="345">
        <v>1650</v>
      </c>
      <c r="X927" s="345">
        <v>4.5</v>
      </c>
      <c r="Y927" s="345">
        <v>170</v>
      </c>
      <c r="Z927" s="345">
        <v>1534.7</v>
      </c>
      <c r="AA927">
        <f t="shared" si="14"/>
        <v>8</v>
      </c>
    </row>
    <row r="928" spans="1:27" x14ac:dyDescent="0.3">
      <c r="A928" s="345" t="s">
        <v>2596</v>
      </c>
      <c r="B928" s="805"/>
      <c r="C928" s="802"/>
      <c r="D928" s="802"/>
      <c r="E928" s="803"/>
      <c r="F928" s="805">
        <v>194.5</v>
      </c>
      <c r="G928" s="803"/>
      <c r="H928" s="345">
        <v>1662.4</v>
      </c>
      <c r="I928" s="345">
        <v>9.5</v>
      </c>
      <c r="J928" s="345">
        <v>188</v>
      </c>
      <c r="K928" s="345">
        <v>1837.6</v>
      </c>
      <c r="L928" s="346"/>
      <c r="M928" s="346"/>
      <c r="N928" s="346"/>
      <c r="O928" s="345"/>
      <c r="P928" s="345"/>
      <c r="Q928" s="345"/>
      <c r="R928" s="345">
        <v>0</v>
      </c>
      <c r="S928" s="345">
        <v>0</v>
      </c>
      <c r="T928" s="345">
        <v>1205.5</v>
      </c>
      <c r="U928" s="345">
        <v>5</v>
      </c>
      <c r="V928" s="345">
        <v>201</v>
      </c>
      <c r="W928" s="345">
        <v>1655</v>
      </c>
      <c r="X928" s="345">
        <v>6.5</v>
      </c>
      <c r="Y928" s="345">
        <v>176.5</v>
      </c>
      <c r="Z928" s="345">
        <v>1541.2</v>
      </c>
      <c r="AA928">
        <f t="shared" si="14"/>
        <v>9.5</v>
      </c>
    </row>
    <row r="929" spans="1:27" x14ac:dyDescent="0.3">
      <c r="A929" s="345" t="s">
        <v>2597</v>
      </c>
      <c r="B929" s="805"/>
      <c r="C929" s="802"/>
      <c r="D929" s="802"/>
      <c r="E929" s="803"/>
      <c r="F929" s="805">
        <v>201.5</v>
      </c>
      <c r="G929" s="803"/>
      <c r="H929" s="345">
        <v>1669.4</v>
      </c>
      <c r="I929" s="345">
        <v>10</v>
      </c>
      <c r="J929" s="345">
        <v>198</v>
      </c>
      <c r="K929" s="345">
        <v>1847.6</v>
      </c>
      <c r="L929" s="346"/>
      <c r="M929" s="346"/>
      <c r="N929" s="346"/>
      <c r="O929" s="345"/>
      <c r="P929" s="345"/>
      <c r="Q929" s="345"/>
      <c r="R929" s="345">
        <v>0</v>
      </c>
      <c r="S929" s="345">
        <v>0</v>
      </c>
      <c r="T929" s="345">
        <v>1205.5</v>
      </c>
      <c r="U929" s="345">
        <v>7.5</v>
      </c>
      <c r="V929" s="345">
        <v>208.5</v>
      </c>
      <c r="W929" s="345">
        <v>1662.5</v>
      </c>
      <c r="X929" s="345">
        <v>6.5</v>
      </c>
      <c r="Y929" s="345">
        <v>183</v>
      </c>
      <c r="Z929" s="345">
        <v>1547.7</v>
      </c>
      <c r="AA929">
        <f t="shared" si="14"/>
        <v>10</v>
      </c>
    </row>
    <row r="930" spans="1:27" x14ac:dyDescent="0.3">
      <c r="A930" s="345" t="s">
        <v>2598</v>
      </c>
      <c r="B930" s="805"/>
      <c r="C930" s="802"/>
      <c r="D930" s="802"/>
      <c r="E930" s="803"/>
      <c r="F930" s="805">
        <v>203.5</v>
      </c>
      <c r="G930" s="803"/>
      <c r="H930" s="345">
        <v>1671.4</v>
      </c>
      <c r="I930" s="345">
        <v>2.5</v>
      </c>
      <c r="J930" s="345">
        <v>200.5</v>
      </c>
      <c r="K930" s="345">
        <v>1850.1</v>
      </c>
      <c r="L930" s="346"/>
      <c r="M930" s="346"/>
      <c r="N930" s="346"/>
      <c r="O930" s="345"/>
      <c r="P930" s="345"/>
      <c r="Q930" s="345"/>
      <c r="R930" s="345">
        <v>0</v>
      </c>
      <c r="S930" s="345">
        <v>0</v>
      </c>
      <c r="T930" s="345">
        <v>1205.5</v>
      </c>
      <c r="U930" s="345">
        <v>2.5</v>
      </c>
      <c r="V930" s="345">
        <v>211</v>
      </c>
      <c r="W930" s="345">
        <v>1665</v>
      </c>
      <c r="X930" s="345">
        <v>1.5</v>
      </c>
      <c r="Y930" s="345">
        <v>184.5</v>
      </c>
      <c r="Z930" s="345">
        <v>1549.2</v>
      </c>
      <c r="AA930">
        <f t="shared" si="14"/>
        <v>2.5</v>
      </c>
    </row>
    <row r="931" spans="1:27" x14ac:dyDescent="0.3">
      <c r="A931" s="345" t="s">
        <v>2599</v>
      </c>
      <c r="B931" s="805"/>
      <c r="C931" s="802"/>
      <c r="D931" s="802"/>
      <c r="E931" s="803"/>
      <c r="F931" s="805">
        <v>203.5</v>
      </c>
      <c r="G931" s="803"/>
      <c r="H931" s="345">
        <v>1671.4</v>
      </c>
      <c r="I931" s="345">
        <v>0</v>
      </c>
      <c r="J931" s="345">
        <v>200.5</v>
      </c>
      <c r="K931" s="345">
        <v>1850.1</v>
      </c>
      <c r="L931" s="346"/>
      <c r="M931" s="346"/>
      <c r="N931" s="346"/>
      <c r="O931" s="345"/>
      <c r="P931" s="345"/>
      <c r="Q931" s="345"/>
      <c r="R931" s="345">
        <v>0</v>
      </c>
      <c r="S931" s="345">
        <v>0</v>
      </c>
      <c r="T931" s="345">
        <v>1205.5</v>
      </c>
      <c r="U931" s="345">
        <v>0</v>
      </c>
      <c r="V931" s="345">
        <v>211</v>
      </c>
      <c r="W931" s="345">
        <v>1665</v>
      </c>
      <c r="X931" s="345">
        <v>0</v>
      </c>
      <c r="Y931" s="345">
        <v>184.5</v>
      </c>
      <c r="Z931" s="345">
        <v>1549.2</v>
      </c>
      <c r="AA931">
        <f t="shared" si="14"/>
        <v>0</v>
      </c>
    </row>
    <row r="932" spans="1:27" x14ac:dyDescent="0.3">
      <c r="A932" s="345" t="s">
        <v>2600</v>
      </c>
      <c r="B932" s="805"/>
      <c r="C932" s="802"/>
      <c r="D932" s="802"/>
      <c r="E932" s="803"/>
      <c r="F932" s="805">
        <v>203.5</v>
      </c>
      <c r="G932" s="803"/>
      <c r="H932" s="345">
        <v>1671.4</v>
      </c>
      <c r="I932" s="345">
        <v>0</v>
      </c>
      <c r="J932" s="345">
        <v>200.5</v>
      </c>
      <c r="K932" s="345">
        <v>1850.1</v>
      </c>
      <c r="L932" s="346"/>
      <c r="M932" s="346"/>
      <c r="N932" s="346"/>
      <c r="O932" s="345"/>
      <c r="P932" s="345"/>
      <c r="Q932" s="345"/>
      <c r="R932" s="345">
        <v>0</v>
      </c>
      <c r="S932" s="345">
        <v>0</v>
      </c>
      <c r="T932" s="345">
        <v>1205.5</v>
      </c>
      <c r="U932" s="345">
        <v>0</v>
      </c>
      <c r="V932" s="345">
        <v>211</v>
      </c>
      <c r="W932" s="345">
        <v>1665</v>
      </c>
      <c r="X932" s="345">
        <v>0</v>
      </c>
      <c r="Y932" s="345">
        <v>184.5</v>
      </c>
      <c r="Z932" s="345">
        <v>1549.2</v>
      </c>
      <c r="AA932">
        <f t="shared" si="14"/>
        <v>0</v>
      </c>
    </row>
    <row r="933" spans="1:27" x14ac:dyDescent="0.3">
      <c r="A933" s="345" t="s">
        <v>2601</v>
      </c>
      <c r="B933" s="805"/>
      <c r="C933" s="802"/>
      <c r="D933" s="802"/>
      <c r="E933" s="803"/>
      <c r="F933" s="805">
        <v>210</v>
      </c>
      <c r="G933" s="803"/>
      <c r="H933" s="345">
        <v>1677.9</v>
      </c>
      <c r="I933" s="345">
        <v>8</v>
      </c>
      <c r="J933" s="345">
        <v>208.5</v>
      </c>
      <c r="K933" s="345">
        <v>1858.1</v>
      </c>
      <c r="L933" s="346"/>
      <c r="M933" s="346"/>
      <c r="N933" s="346"/>
      <c r="O933" s="345"/>
      <c r="P933" s="345"/>
      <c r="Q933" s="345"/>
      <c r="R933" s="345">
        <v>0</v>
      </c>
      <c r="S933" s="345">
        <v>0</v>
      </c>
      <c r="T933" s="345">
        <v>1205.5</v>
      </c>
      <c r="U933" s="345">
        <v>5</v>
      </c>
      <c r="V933" s="345">
        <v>216</v>
      </c>
      <c r="W933" s="345">
        <v>1670</v>
      </c>
      <c r="X933" s="345">
        <v>5.5</v>
      </c>
      <c r="Y933" s="345">
        <v>190</v>
      </c>
      <c r="Z933" s="345">
        <v>1554.7</v>
      </c>
      <c r="AA933">
        <f t="shared" si="14"/>
        <v>8</v>
      </c>
    </row>
    <row r="934" spans="1:27" x14ac:dyDescent="0.3">
      <c r="A934" s="345" t="s">
        <v>2602</v>
      </c>
      <c r="B934" s="805"/>
      <c r="C934" s="802"/>
      <c r="D934" s="802"/>
      <c r="E934" s="803"/>
      <c r="F934" s="805">
        <v>215</v>
      </c>
      <c r="G934" s="803"/>
      <c r="H934" s="345">
        <v>1682.9</v>
      </c>
      <c r="I934" s="345">
        <v>6</v>
      </c>
      <c r="J934" s="345">
        <v>214.5</v>
      </c>
      <c r="K934" s="345">
        <v>1864.1</v>
      </c>
      <c r="L934" s="346"/>
      <c r="M934" s="346"/>
      <c r="N934" s="346"/>
      <c r="O934" s="345"/>
      <c r="P934" s="345"/>
      <c r="Q934" s="345"/>
      <c r="R934" s="345">
        <v>0</v>
      </c>
      <c r="S934" s="345">
        <v>0</v>
      </c>
      <c r="T934" s="345">
        <v>1205.5</v>
      </c>
      <c r="U934" s="345">
        <v>2</v>
      </c>
      <c r="V934" s="345">
        <v>218</v>
      </c>
      <c r="W934" s="345">
        <v>1672</v>
      </c>
      <c r="X934" s="345">
        <v>1.5</v>
      </c>
      <c r="Y934" s="345">
        <v>191.5</v>
      </c>
      <c r="Z934" s="345">
        <v>1556.2</v>
      </c>
      <c r="AA934">
        <f t="shared" si="14"/>
        <v>6</v>
      </c>
    </row>
    <row r="935" spans="1:27" x14ac:dyDescent="0.3">
      <c r="A935" s="345" t="s">
        <v>2603</v>
      </c>
      <c r="B935" s="805"/>
      <c r="C935" s="802"/>
      <c r="D935" s="802"/>
      <c r="E935" s="803"/>
      <c r="F935" s="805">
        <v>224</v>
      </c>
      <c r="G935" s="803"/>
      <c r="H935" s="345">
        <v>1691.9</v>
      </c>
      <c r="I935" s="345">
        <v>8.5</v>
      </c>
      <c r="J935" s="345">
        <v>223</v>
      </c>
      <c r="K935" s="345">
        <v>1872.6</v>
      </c>
      <c r="L935" s="346"/>
      <c r="M935" s="346"/>
      <c r="N935" s="346"/>
      <c r="O935" s="345"/>
      <c r="P935" s="345"/>
      <c r="Q935" s="345"/>
      <c r="R935" s="345">
        <v>0</v>
      </c>
      <c r="S935" s="345">
        <v>0</v>
      </c>
      <c r="T935" s="345">
        <v>1205.5</v>
      </c>
      <c r="U935" s="345">
        <v>6.5</v>
      </c>
      <c r="V935" s="345">
        <v>224.5</v>
      </c>
      <c r="W935" s="345">
        <v>1678.5</v>
      </c>
      <c r="X935" s="345">
        <v>6</v>
      </c>
      <c r="Y935" s="345">
        <v>197.5</v>
      </c>
      <c r="Z935" s="345">
        <v>1562.2</v>
      </c>
      <c r="AA935">
        <f t="shared" si="14"/>
        <v>8.5</v>
      </c>
    </row>
    <row r="936" spans="1:27" x14ac:dyDescent="0.3">
      <c r="A936" s="345" t="s">
        <v>2604</v>
      </c>
      <c r="B936" s="805"/>
      <c r="C936" s="802"/>
      <c r="D936" s="802"/>
      <c r="E936" s="803"/>
      <c r="F936" s="805">
        <v>240.5</v>
      </c>
      <c r="G936" s="803"/>
      <c r="H936" s="345">
        <v>1708.4</v>
      </c>
      <c r="I936" s="345">
        <v>21</v>
      </c>
      <c r="J936" s="345">
        <v>244</v>
      </c>
      <c r="K936" s="345">
        <v>1893.6</v>
      </c>
      <c r="L936" s="346"/>
      <c r="M936" s="346"/>
      <c r="N936" s="346"/>
      <c r="O936" s="345"/>
      <c r="P936" s="345"/>
      <c r="Q936" s="345"/>
      <c r="R936" s="345">
        <v>0</v>
      </c>
      <c r="S936" s="345">
        <v>0</v>
      </c>
      <c r="T936" s="345">
        <v>1205.5</v>
      </c>
      <c r="U936" s="345">
        <v>15</v>
      </c>
      <c r="V936" s="345">
        <v>239.5</v>
      </c>
      <c r="W936" s="345">
        <v>1693.5</v>
      </c>
      <c r="X936" s="345">
        <v>17</v>
      </c>
      <c r="Y936" s="345">
        <v>214.5</v>
      </c>
      <c r="Z936" s="345">
        <v>1579.2</v>
      </c>
      <c r="AA936">
        <f t="shared" si="14"/>
        <v>21</v>
      </c>
    </row>
    <row r="937" spans="1:27" x14ac:dyDescent="0.3">
      <c r="A937" s="345" t="s">
        <v>2605</v>
      </c>
      <c r="B937" s="805"/>
      <c r="C937" s="802"/>
      <c r="D937" s="802"/>
      <c r="E937" s="803"/>
      <c r="F937" s="805">
        <v>247</v>
      </c>
      <c r="G937" s="803"/>
      <c r="H937" s="345">
        <v>1714.9</v>
      </c>
      <c r="I937" s="345">
        <v>8.5</v>
      </c>
      <c r="J937" s="345">
        <v>252.5</v>
      </c>
      <c r="K937" s="345">
        <v>1902.1</v>
      </c>
      <c r="L937" s="346"/>
      <c r="M937" s="346"/>
      <c r="N937" s="346"/>
      <c r="O937" s="345"/>
      <c r="P937" s="345"/>
      <c r="Q937" s="345"/>
      <c r="R937" s="345">
        <v>0</v>
      </c>
      <c r="S937" s="345">
        <v>0</v>
      </c>
      <c r="T937" s="345">
        <v>1205.5</v>
      </c>
      <c r="U937" s="345">
        <v>6.5</v>
      </c>
      <c r="V937" s="345">
        <v>246</v>
      </c>
      <c r="W937" s="345">
        <v>1700</v>
      </c>
      <c r="X937" s="345">
        <v>5</v>
      </c>
      <c r="Y937" s="345">
        <v>219.5</v>
      </c>
      <c r="Z937" s="345">
        <v>1584.2</v>
      </c>
      <c r="AA937">
        <f t="shared" si="14"/>
        <v>8.5</v>
      </c>
    </row>
    <row r="938" spans="1:27" x14ac:dyDescent="0.3">
      <c r="A938" s="345" t="s">
        <v>2606</v>
      </c>
      <c r="B938" s="805"/>
      <c r="C938" s="802"/>
      <c r="D938" s="802"/>
      <c r="E938" s="803"/>
      <c r="F938" s="805">
        <v>264.5</v>
      </c>
      <c r="G938" s="803"/>
      <c r="H938" s="345">
        <v>1732.4</v>
      </c>
      <c r="I938" s="345">
        <v>17.5</v>
      </c>
      <c r="J938" s="345">
        <v>270</v>
      </c>
      <c r="K938" s="345">
        <v>1919.6</v>
      </c>
      <c r="L938" s="346"/>
      <c r="M938" s="346"/>
      <c r="N938" s="346"/>
      <c r="O938" s="345"/>
      <c r="P938" s="345"/>
      <c r="Q938" s="345"/>
      <c r="R938" s="345">
        <v>0</v>
      </c>
      <c r="S938" s="345">
        <v>0</v>
      </c>
      <c r="T938" s="345">
        <v>1205.5</v>
      </c>
      <c r="U938" s="345">
        <v>13</v>
      </c>
      <c r="V938" s="345">
        <v>259</v>
      </c>
      <c r="W938" s="345">
        <v>1713</v>
      </c>
      <c r="X938" s="345">
        <v>12.5</v>
      </c>
      <c r="Y938" s="345">
        <v>232</v>
      </c>
      <c r="Z938" s="345">
        <v>1596.7</v>
      </c>
      <c r="AA938">
        <f t="shared" si="14"/>
        <v>17.5</v>
      </c>
    </row>
    <row r="939" spans="1:27" x14ac:dyDescent="0.3">
      <c r="A939" s="345" t="s">
        <v>2607</v>
      </c>
      <c r="B939" s="805"/>
      <c r="C939" s="802"/>
      <c r="D939" s="802"/>
      <c r="E939" s="803"/>
      <c r="F939" s="805">
        <v>271.5</v>
      </c>
      <c r="G939" s="803"/>
      <c r="H939" s="345">
        <v>1739.4</v>
      </c>
      <c r="I939" s="345">
        <v>9.5</v>
      </c>
      <c r="J939" s="345">
        <v>279.5</v>
      </c>
      <c r="K939" s="345">
        <v>1929.1</v>
      </c>
      <c r="L939" s="346"/>
      <c r="M939" s="346"/>
      <c r="N939" s="346"/>
      <c r="O939" s="345"/>
      <c r="P939" s="345"/>
      <c r="Q939" s="345"/>
      <c r="R939" s="345">
        <v>0</v>
      </c>
      <c r="S939" s="345">
        <v>0</v>
      </c>
      <c r="T939" s="345">
        <v>1205.5</v>
      </c>
      <c r="U939" s="345">
        <v>6</v>
      </c>
      <c r="V939" s="345">
        <v>265</v>
      </c>
      <c r="W939" s="345">
        <v>1719</v>
      </c>
      <c r="X939" s="345">
        <v>4.5</v>
      </c>
      <c r="Y939" s="345">
        <v>236.5</v>
      </c>
      <c r="Z939" s="345">
        <v>1601.2</v>
      </c>
      <c r="AA939">
        <f t="shared" si="14"/>
        <v>9.5</v>
      </c>
    </row>
    <row r="940" spans="1:27" x14ac:dyDescent="0.3">
      <c r="A940" s="345" t="s">
        <v>2608</v>
      </c>
      <c r="B940" s="805"/>
      <c r="C940" s="802"/>
      <c r="D940" s="802"/>
      <c r="E940" s="803"/>
      <c r="F940" s="805">
        <v>289.5</v>
      </c>
      <c r="G940" s="803"/>
      <c r="H940" s="345">
        <v>1757.4</v>
      </c>
      <c r="I940" s="345">
        <v>22</v>
      </c>
      <c r="J940" s="345">
        <v>301.5</v>
      </c>
      <c r="K940" s="345">
        <v>1951.1</v>
      </c>
      <c r="L940" s="346"/>
      <c r="M940" s="346"/>
      <c r="N940" s="346"/>
      <c r="O940" s="345"/>
      <c r="P940" s="345"/>
      <c r="Q940" s="345"/>
      <c r="R940" s="345">
        <v>0</v>
      </c>
      <c r="S940" s="345">
        <v>0</v>
      </c>
      <c r="T940" s="345">
        <v>1205.5</v>
      </c>
      <c r="U940" s="345">
        <v>19</v>
      </c>
      <c r="V940" s="345">
        <v>284</v>
      </c>
      <c r="W940" s="345">
        <v>1738</v>
      </c>
      <c r="X940" s="345">
        <v>16.5</v>
      </c>
      <c r="Y940" s="345">
        <v>253</v>
      </c>
      <c r="Z940" s="345">
        <v>1617.7</v>
      </c>
      <c r="AA940">
        <f t="shared" si="14"/>
        <v>22</v>
      </c>
    </row>
    <row r="941" spans="1:27" x14ac:dyDescent="0.3">
      <c r="A941" s="345" t="s">
        <v>2609</v>
      </c>
      <c r="B941" s="805"/>
      <c r="C941" s="802"/>
      <c r="D941" s="802"/>
      <c r="E941" s="803"/>
      <c r="F941" s="805">
        <v>323</v>
      </c>
      <c r="G941" s="803"/>
      <c r="H941" s="345">
        <v>1790.9</v>
      </c>
      <c r="I941" s="345">
        <v>41</v>
      </c>
      <c r="J941" s="345">
        <v>342.5</v>
      </c>
      <c r="K941" s="345">
        <v>1992.1</v>
      </c>
      <c r="L941" s="346"/>
      <c r="M941" s="346"/>
      <c r="N941" s="346"/>
      <c r="O941" s="345"/>
      <c r="P941" s="345"/>
      <c r="Q941" s="345"/>
      <c r="R941" s="345">
        <v>0</v>
      </c>
      <c r="S941" s="345">
        <v>0</v>
      </c>
      <c r="T941" s="345">
        <v>1205.5</v>
      </c>
      <c r="U941" s="345">
        <v>27.5</v>
      </c>
      <c r="V941" s="345">
        <v>311.5</v>
      </c>
      <c r="W941" s="345">
        <v>1765.5</v>
      </c>
      <c r="X941" s="345">
        <v>33</v>
      </c>
      <c r="Y941" s="345">
        <v>286</v>
      </c>
      <c r="Z941" s="345">
        <v>1650.7</v>
      </c>
      <c r="AA941">
        <f t="shared" si="14"/>
        <v>41</v>
      </c>
    </row>
    <row r="942" spans="1:27" x14ac:dyDescent="0.3">
      <c r="A942" s="345" t="s">
        <v>2610</v>
      </c>
      <c r="B942" s="805"/>
      <c r="C942" s="802"/>
      <c r="D942" s="802"/>
      <c r="E942" s="803"/>
      <c r="F942" s="805">
        <v>396</v>
      </c>
      <c r="G942" s="803"/>
      <c r="H942" s="345">
        <v>1863.9</v>
      </c>
      <c r="I942" s="345">
        <v>78.5</v>
      </c>
      <c r="J942" s="345">
        <v>421</v>
      </c>
      <c r="K942" s="345">
        <v>2070.6</v>
      </c>
      <c r="L942" s="346"/>
      <c r="M942" s="346"/>
      <c r="N942" s="346"/>
      <c r="O942" s="345"/>
      <c r="P942" s="345"/>
      <c r="Q942" s="345"/>
      <c r="R942" s="345">
        <v>0</v>
      </c>
      <c r="S942" s="345">
        <v>0</v>
      </c>
      <c r="T942" s="345">
        <v>1205.5</v>
      </c>
      <c r="U942" s="345">
        <v>93</v>
      </c>
      <c r="V942" s="345">
        <v>404.5</v>
      </c>
      <c r="W942" s="345">
        <v>1858.5</v>
      </c>
      <c r="X942" s="345">
        <v>69.5</v>
      </c>
      <c r="Y942" s="345">
        <v>355.5</v>
      </c>
      <c r="Z942" s="345">
        <v>1720.2</v>
      </c>
      <c r="AA942">
        <f t="shared" si="14"/>
        <v>78.5</v>
      </c>
    </row>
    <row r="943" spans="1:27" x14ac:dyDescent="0.3">
      <c r="A943" s="345" t="s">
        <v>2611</v>
      </c>
      <c r="B943" s="805"/>
      <c r="C943" s="802"/>
      <c r="D943" s="802"/>
      <c r="E943" s="803"/>
      <c r="F943" s="805">
        <v>462.5</v>
      </c>
      <c r="G943" s="803"/>
      <c r="H943" s="345">
        <v>1930.4</v>
      </c>
      <c r="I943" s="345">
        <v>73</v>
      </c>
      <c r="J943" s="345">
        <v>494</v>
      </c>
      <c r="K943" s="345">
        <v>2143.6</v>
      </c>
      <c r="L943" s="346"/>
      <c r="M943" s="346"/>
      <c r="N943" s="346"/>
      <c r="O943" s="345"/>
      <c r="P943" s="345"/>
      <c r="Q943" s="345"/>
      <c r="R943" s="345">
        <v>0</v>
      </c>
      <c r="S943" s="345">
        <v>0</v>
      </c>
      <c r="T943" s="345">
        <v>1205.5</v>
      </c>
      <c r="U943" s="345">
        <v>51</v>
      </c>
      <c r="V943" s="345">
        <v>455.5</v>
      </c>
      <c r="W943" s="345">
        <v>1909.5</v>
      </c>
      <c r="X943" s="345">
        <v>41.5</v>
      </c>
      <c r="Y943" s="345">
        <v>397</v>
      </c>
      <c r="Z943" s="345">
        <v>1761.7</v>
      </c>
      <c r="AA943">
        <f t="shared" si="14"/>
        <v>73</v>
      </c>
    </row>
    <row r="944" spans="1:27" x14ac:dyDescent="0.3">
      <c r="A944" s="345" t="s">
        <v>2612</v>
      </c>
      <c r="B944" s="805"/>
      <c r="C944" s="802"/>
      <c r="D944" s="802"/>
      <c r="E944" s="803"/>
      <c r="F944" s="805">
        <v>498</v>
      </c>
      <c r="G944" s="803"/>
      <c r="H944" s="345">
        <v>1965.9</v>
      </c>
      <c r="I944" s="345">
        <v>35.5</v>
      </c>
      <c r="J944" s="345">
        <v>529.5</v>
      </c>
      <c r="K944" s="345">
        <v>2179.1</v>
      </c>
      <c r="L944" s="346"/>
      <c r="M944" s="346"/>
      <c r="N944" s="346"/>
      <c r="O944" s="345"/>
      <c r="P944" s="345"/>
      <c r="Q944" s="345"/>
      <c r="R944" s="345">
        <v>0</v>
      </c>
      <c r="S944" s="345">
        <v>0</v>
      </c>
      <c r="T944" s="345">
        <v>1205.5</v>
      </c>
      <c r="U944" s="345">
        <v>38.5</v>
      </c>
      <c r="V944" s="345">
        <v>494</v>
      </c>
      <c r="W944" s="345">
        <v>1948</v>
      </c>
      <c r="X944" s="345">
        <v>29</v>
      </c>
      <c r="Y944" s="345">
        <v>426</v>
      </c>
      <c r="Z944" s="345">
        <v>1790.7</v>
      </c>
      <c r="AA944">
        <f t="shared" si="14"/>
        <v>35.5</v>
      </c>
    </row>
    <row r="945" spans="1:27" s="362" customFormat="1" x14ac:dyDescent="0.3">
      <c r="A945" s="359" t="s">
        <v>2613</v>
      </c>
      <c r="B945" s="811"/>
      <c r="C945" s="812"/>
      <c r="D945" s="812"/>
      <c r="E945" s="813"/>
      <c r="F945" s="811">
        <v>532.5</v>
      </c>
      <c r="G945" s="813"/>
      <c r="H945" s="359">
        <v>2000.4</v>
      </c>
      <c r="I945" s="359">
        <v>33.5</v>
      </c>
      <c r="J945" s="359">
        <v>563</v>
      </c>
      <c r="K945" s="359">
        <v>2212.6</v>
      </c>
      <c r="L945" s="359"/>
      <c r="M945" s="359"/>
      <c r="N945" s="359"/>
      <c r="O945" s="359"/>
      <c r="P945" s="359"/>
      <c r="Q945" s="359"/>
      <c r="R945" s="359">
        <v>0</v>
      </c>
      <c r="S945" s="359">
        <v>0</v>
      </c>
      <c r="T945" s="359">
        <v>1205.5</v>
      </c>
      <c r="U945" s="359">
        <v>34</v>
      </c>
      <c r="V945" s="359">
        <v>528</v>
      </c>
      <c r="W945" s="359">
        <v>1982</v>
      </c>
      <c r="X945" s="359">
        <v>26.5</v>
      </c>
      <c r="Y945" s="359">
        <v>452.5</v>
      </c>
      <c r="Z945" s="359">
        <v>1817.2</v>
      </c>
      <c r="AA945" s="362">
        <f t="shared" si="14"/>
        <v>33.5</v>
      </c>
    </row>
    <row r="946" spans="1:27" ht="28.8" x14ac:dyDescent="0.3">
      <c r="A946" s="345" t="s">
        <v>2614</v>
      </c>
      <c r="B946" s="805"/>
      <c r="C946" s="802"/>
      <c r="D946" s="802"/>
      <c r="E946" s="803"/>
      <c r="F946" s="805">
        <v>1.5</v>
      </c>
      <c r="G946" s="803"/>
      <c r="H946" s="345">
        <v>2001.9</v>
      </c>
      <c r="I946" s="345">
        <v>2</v>
      </c>
      <c r="J946" s="345">
        <v>2</v>
      </c>
      <c r="K946" s="345">
        <v>2214.6</v>
      </c>
      <c r="L946" s="346"/>
      <c r="M946" s="346"/>
      <c r="N946" s="346"/>
      <c r="O946" s="345"/>
      <c r="P946" s="345"/>
      <c r="Q946" s="345"/>
      <c r="R946" s="345">
        <v>0</v>
      </c>
      <c r="S946" s="345">
        <v>0</v>
      </c>
      <c r="T946" s="345">
        <v>1205.5</v>
      </c>
      <c r="U946" s="345">
        <v>1.5</v>
      </c>
      <c r="V946" s="345">
        <v>1.5</v>
      </c>
      <c r="W946" s="345">
        <v>1983.5</v>
      </c>
      <c r="X946" s="345">
        <v>1.5</v>
      </c>
      <c r="Y946" s="345">
        <v>1.5</v>
      </c>
      <c r="Z946" s="345">
        <v>1818.7</v>
      </c>
      <c r="AA946">
        <f t="shared" si="14"/>
        <v>2</v>
      </c>
    </row>
    <row r="947" spans="1:27" ht="28.8" x14ac:dyDescent="0.3">
      <c r="A947" s="345" t="s">
        <v>2615</v>
      </c>
      <c r="B947" s="805"/>
      <c r="C947" s="802"/>
      <c r="D947" s="802"/>
      <c r="E947" s="803"/>
      <c r="F947" s="805">
        <v>10</v>
      </c>
      <c r="G947" s="803"/>
      <c r="H947" s="345">
        <v>2010.4</v>
      </c>
      <c r="I947" s="345">
        <v>8.5</v>
      </c>
      <c r="J947" s="345">
        <v>10.5</v>
      </c>
      <c r="K947" s="345">
        <v>2223.1</v>
      </c>
      <c r="L947" s="346"/>
      <c r="M947" s="346"/>
      <c r="N947" s="346"/>
      <c r="O947" s="345"/>
      <c r="P947" s="345"/>
      <c r="Q947" s="345"/>
      <c r="R947" s="345">
        <v>0</v>
      </c>
      <c r="S947" s="345">
        <v>0</v>
      </c>
      <c r="T947" s="345">
        <v>1205.5</v>
      </c>
      <c r="U947" s="345">
        <v>10</v>
      </c>
      <c r="V947" s="345">
        <v>11.5</v>
      </c>
      <c r="W947" s="345">
        <v>1993.5</v>
      </c>
      <c r="X947" s="345">
        <v>9.5</v>
      </c>
      <c r="Y947" s="345">
        <v>11</v>
      </c>
      <c r="Z947" s="345">
        <v>1828.2</v>
      </c>
      <c r="AA947">
        <f t="shared" si="14"/>
        <v>8.5</v>
      </c>
    </row>
    <row r="948" spans="1:27" ht="28.8" x14ac:dyDescent="0.3">
      <c r="A948" s="345" t="s">
        <v>2616</v>
      </c>
      <c r="B948" s="805"/>
      <c r="C948" s="802"/>
      <c r="D948" s="802"/>
      <c r="E948" s="803"/>
      <c r="F948" s="805">
        <v>10</v>
      </c>
      <c r="G948" s="803"/>
      <c r="H948" s="345">
        <v>2010.4</v>
      </c>
      <c r="I948" s="345">
        <v>0</v>
      </c>
      <c r="J948" s="345">
        <v>10.5</v>
      </c>
      <c r="K948" s="345">
        <v>2223.1</v>
      </c>
      <c r="L948" s="346"/>
      <c r="M948" s="346"/>
      <c r="N948" s="346"/>
      <c r="O948" s="345"/>
      <c r="P948" s="345"/>
      <c r="Q948" s="345"/>
      <c r="R948" s="345">
        <v>0</v>
      </c>
      <c r="S948" s="345">
        <v>0</v>
      </c>
      <c r="T948" s="345">
        <v>1205.5</v>
      </c>
      <c r="U948" s="345">
        <v>0</v>
      </c>
      <c r="V948" s="345">
        <v>11.5</v>
      </c>
      <c r="W948" s="345">
        <v>1993.5</v>
      </c>
      <c r="X948" s="345">
        <v>0</v>
      </c>
      <c r="Y948" s="345">
        <v>11</v>
      </c>
      <c r="Z948" s="345">
        <v>1828.2</v>
      </c>
      <c r="AA948">
        <f t="shared" si="14"/>
        <v>0</v>
      </c>
    </row>
    <row r="949" spans="1:27" ht="28.8" x14ac:dyDescent="0.3">
      <c r="A949" s="345" t="s">
        <v>2617</v>
      </c>
      <c r="B949" s="805"/>
      <c r="C949" s="802"/>
      <c r="D949" s="802"/>
      <c r="E949" s="803"/>
      <c r="F949" s="805">
        <v>85.5</v>
      </c>
      <c r="G949" s="803"/>
      <c r="H949" s="345">
        <v>2085.9</v>
      </c>
      <c r="I949" s="345">
        <v>78</v>
      </c>
      <c r="J949" s="345">
        <v>88.5</v>
      </c>
      <c r="K949" s="345">
        <v>2301.1</v>
      </c>
      <c r="L949" s="346"/>
      <c r="M949" s="346"/>
      <c r="N949" s="346"/>
      <c r="O949" s="345"/>
      <c r="P949" s="345"/>
      <c r="Q949" s="345"/>
      <c r="R949" s="345">
        <v>0</v>
      </c>
      <c r="S949" s="345">
        <v>0</v>
      </c>
      <c r="T949" s="345">
        <v>1205.5</v>
      </c>
      <c r="U949" s="345">
        <v>75</v>
      </c>
      <c r="V949" s="345">
        <v>86.5</v>
      </c>
      <c r="W949" s="345">
        <v>2068.5</v>
      </c>
      <c r="X949" s="345">
        <v>61.5</v>
      </c>
      <c r="Y949" s="345">
        <v>72.5</v>
      </c>
      <c r="Z949" s="345">
        <v>1889.7</v>
      </c>
      <c r="AA949">
        <f t="shared" si="14"/>
        <v>78</v>
      </c>
    </row>
    <row r="950" spans="1:27" ht="28.8" x14ac:dyDescent="0.3">
      <c r="A950" s="345" t="s">
        <v>2618</v>
      </c>
      <c r="B950" s="805"/>
      <c r="C950" s="802"/>
      <c r="D950" s="802"/>
      <c r="E950" s="803"/>
      <c r="F950" s="805">
        <v>88</v>
      </c>
      <c r="G950" s="803"/>
      <c r="H950" s="345">
        <v>2088.4</v>
      </c>
      <c r="I950" s="345">
        <v>3</v>
      </c>
      <c r="J950" s="345">
        <v>91.5</v>
      </c>
      <c r="K950" s="345">
        <v>2304.1</v>
      </c>
      <c r="L950" s="346"/>
      <c r="M950" s="346"/>
      <c r="N950" s="346"/>
      <c r="O950" s="345"/>
      <c r="P950" s="345"/>
      <c r="Q950" s="345"/>
      <c r="R950" s="345">
        <v>0</v>
      </c>
      <c r="S950" s="345">
        <v>0</v>
      </c>
      <c r="T950" s="345">
        <v>1205.5</v>
      </c>
      <c r="U950" s="345">
        <v>1</v>
      </c>
      <c r="V950" s="345">
        <v>87.5</v>
      </c>
      <c r="W950" s="345">
        <v>2069.5</v>
      </c>
      <c r="X950" s="345">
        <v>1</v>
      </c>
      <c r="Y950" s="345">
        <v>73.5</v>
      </c>
      <c r="Z950" s="345">
        <v>1890.7</v>
      </c>
      <c r="AA950">
        <f t="shared" si="14"/>
        <v>3</v>
      </c>
    </row>
    <row r="951" spans="1:27" ht="28.8" x14ac:dyDescent="0.3">
      <c r="A951" s="345" t="s">
        <v>2619</v>
      </c>
      <c r="B951" s="805"/>
      <c r="C951" s="802"/>
      <c r="D951" s="802"/>
      <c r="E951" s="803"/>
      <c r="F951" s="805">
        <v>88</v>
      </c>
      <c r="G951" s="803"/>
      <c r="H951" s="345">
        <v>2088.4</v>
      </c>
      <c r="I951" s="345">
        <v>0</v>
      </c>
      <c r="J951" s="345">
        <v>91.5</v>
      </c>
      <c r="K951" s="345">
        <v>2304.1</v>
      </c>
      <c r="L951" s="346"/>
      <c r="M951" s="346"/>
      <c r="N951" s="346"/>
      <c r="O951" s="345"/>
      <c r="P951" s="345"/>
      <c r="Q951" s="345"/>
      <c r="R951" s="345">
        <v>0</v>
      </c>
      <c r="S951" s="345">
        <v>0</v>
      </c>
      <c r="T951" s="345">
        <v>1205.5</v>
      </c>
      <c r="U951" s="345">
        <v>0</v>
      </c>
      <c r="V951" s="345">
        <v>87.5</v>
      </c>
      <c r="W951" s="345">
        <v>2069.5</v>
      </c>
      <c r="X951" s="345">
        <v>0</v>
      </c>
      <c r="Y951" s="345">
        <v>73.5</v>
      </c>
      <c r="Z951" s="345">
        <v>1890.7</v>
      </c>
      <c r="AA951">
        <f t="shared" si="14"/>
        <v>0</v>
      </c>
    </row>
    <row r="952" spans="1:27" ht="28.8" x14ac:dyDescent="0.3">
      <c r="A952" s="345" t="s">
        <v>2620</v>
      </c>
      <c r="B952" s="805"/>
      <c r="C952" s="802"/>
      <c r="D952" s="802"/>
      <c r="E952" s="803"/>
      <c r="F952" s="805">
        <v>88</v>
      </c>
      <c r="G952" s="803"/>
      <c r="H952" s="345">
        <v>2088.4</v>
      </c>
      <c r="I952" s="345">
        <v>0</v>
      </c>
      <c r="J952" s="345">
        <v>91.5</v>
      </c>
      <c r="K952" s="345">
        <v>2304.1</v>
      </c>
      <c r="L952" s="346"/>
      <c r="M952" s="346"/>
      <c r="N952" s="346"/>
      <c r="O952" s="345"/>
      <c r="P952" s="345"/>
      <c r="Q952" s="345"/>
      <c r="R952" s="345">
        <v>0</v>
      </c>
      <c r="S952" s="345">
        <v>0</v>
      </c>
      <c r="T952" s="345">
        <v>1205.5</v>
      </c>
      <c r="U952" s="345">
        <v>0</v>
      </c>
      <c r="V952" s="345">
        <v>87.5</v>
      </c>
      <c r="W952" s="345">
        <v>2069.5</v>
      </c>
      <c r="X952" s="345">
        <v>0</v>
      </c>
      <c r="Y952" s="345">
        <v>73.5</v>
      </c>
      <c r="Z952" s="345">
        <v>1890.7</v>
      </c>
      <c r="AA952">
        <f t="shared" si="14"/>
        <v>0</v>
      </c>
    </row>
    <row r="953" spans="1:27" ht="28.8" x14ac:dyDescent="0.3">
      <c r="A953" s="345" t="s">
        <v>2621</v>
      </c>
      <c r="B953" s="805"/>
      <c r="C953" s="802"/>
      <c r="D953" s="802"/>
      <c r="E953" s="803"/>
      <c r="F953" s="805">
        <v>90.5</v>
      </c>
      <c r="G953" s="803"/>
      <c r="H953" s="345">
        <v>2090.9</v>
      </c>
      <c r="I953" s="345">
        <v>4</v>
      </c>
      <c r="J953" s="345">
        <v>95.5</v>
      </c>
      <c r="K953" s="345">
        <v>2308.1</v>
      </c>
      <c r="L953" s="346"/>
      <c r="M953" s="346"/>
      <c r="N953" s="346"/>
      <c r="O953" s="345"/>
      <c r="P953" s="345"/>
      <c r="Q953" s="345"/>
      <c r="R953" s="345">
        <v>0</v>
      </c>
      <c r="S953" s="345">
        <v>0</v>
      </c>
      <c r="T953" s="345">
        <v>1205.5</v>
      </c>
      <c r="U953" s="345">
        <v>2.5</v>
      </c>
      <c r="V953" s="345">
        <v>90</v>
      </c>
      <c r="W953" s="345">
        <v>2072</v>
      </c>
      <c r="X953" s="345">
        <v>1.5</v>
      </c>
      <c r="Y953" s="345">
        <v>75</v>
      </c>
      <c r="Z953" s="345">
        <v>1892.2</v>
      </c>
      <c r="AA953">
        <f t="shared" si="14"/>
        <v>4</v>
      </c>
    </row>
    <row r="954" spans="1:27" ht="28.8" x14ac:dyDescent="0.3">
      <c r="A954" s="345" t="s">
        <v>2622</v>
      </c>
      <c r="B954" s="805"/>
      <c r="C954" s="802"/>
      <c r="D954" s="802"/>
      <c r="E954" s="803"/>
      <c r="F954" s="805">
        <v>90.5</v>
      </c>
      <c r="G954" s="803"/>
      <c r="H954" s="345">
        <v>2090.9</v>
      </c>
      <c r="I954" s="345">
        <v>0</v>
      </c>
      <c r="J954" s="345">
        <v>95.5</v>
      </c>
      <c r="K954" s="345">
        <v>2308.1</v>
      </c>
      <c r="L954" s="346"/>
      <c r="M954" s="346"/>
      <c r="N954" s="346"/>
      <c r="O954" s="345"/>
      <c r="P954" s="345"/>
      <c r="Q954" s="345"/>
      <c r="R954" s="345">
        <v>0</v>
      </c>
      <c r="S954" s="345">
        <v>0</v>
      </c>
      <c r="T954" s="345">
        <v>1205.5</v>
      </c>
      <c r="U954" s="345">
        <v>0</v>
      </c>
      <c r="V954" s="345">
        <v>90</v>
      </c>
      <c r="W954" s="345">
        <v>2072</v>
      </c>
      <c r="X954" s="345">
        <v>0</v>
      </c>
      <c r="Y954" s="345">
        <v>75</v>
      </c>
      <c r="Z954" s="345">
        <v>1892.2</v>
      </c>
      <c r="AA954">
        <f t="shared" si="14"/>
        <v>0</v>
      </c>
    </row>
    <row r="955" spans="1:27" ht="28.8" x14ac:dyDescent="0.3">
      <c r="A955" s="345" t="s">
        <v>2623</v>
      </c>
      <c r="B955" s="805"/>
      <c r="C955" s="802"/>
      <c r="D955" s="802"/>
      <c r="E955" s="803"/>
      <c r="F955" s="805">
        <v>115</v>
      </c>
      <c r="G955" s="803"/>
      <c r="H955" s="345">
        <v>2115.4</v>
      </c>
      <c r="I955" s="345">
        <v>21</v>
      </c>
      <c r="J955" s="345">
        <v>116.5</v>
      </c>
      <c r="K955" s="345">
        <v>2329.1</v>
      </c>
      <c r="L955" s="346"/>
      <c r="M955" s="346"/>
      <c r="N955" s="346"/>
      <c r="O955" s="345"/>
      <c r="P955" s="345"/>
      <c r="Q955" s="345"/>
      <c r="R955" s="345">
        <v>0</v>
      </c>
      <c r="S955" s="345">
        <v>0</v>
      </c>
      <c r="T955" s="345">
        <v>1205.5</v>
      </c>
      <c r="U955" s="345">
        <v>20.5</v>
      </c>
      <c r="V955" s="345">
        <v>110.5</v>
      </c>
      <c r="W955" s="345">
        <v>2092.5</v>
      </c>
      <c r="X955" s="345">
        <v>14.5</v>
      </c>
      <c r="Y955" s="345">
        <v>89.5</v>
      </c>
      <c r="Z955" s="345">
        <v>1906.7</v>
      </c>
      <c r="AA955">
        <f t="shared" si="14"/>
        <v>21</v>
      </c>
    </row>
    <row r="956" spans="1:27" ht="28.8" x14ac:dyDescent="0.3">
      <c r="A956" s="345" t="s">
        <v>2624</v>
      </c>
      <c r="B956" s="805"/>
      <c r="C956" s="802"/>
      <c r="D956" s="802"/>
      <c r="E956" s="803"/>
      <c r="F956" s="805">
        <v>117.5</v>
      </c>
      <c r="G956" s="803"/>
      <c r="H956" s="345">
        <v>2117.9</v>
      </c>
      <c r="I956" s="345">
        <v>2</v>
      </c>
      <c r="J956" s="345">
        <v>118.5</v>
      </c>
      <c r="K956" s="345">
        <v>2331.1</v>
      </c>
      <c r="L956" s="346"/>
      <c r="M956" s="346"/>
      <c r="N956" s="346"/>
      <c r="O956" s="345"/>
      <c r="P956" s="345"/>
      <c r="Q956" s="345"/>
      <c r="R956" s="345">
        <v>0</v>
      </c>
      <c r="S956" s="345">
        <v>0</v>
      </c>
      <c r="T956" s="345">
        <v>1205.5</v>
      </c>
      <c r="U956" s="345">
        <v>2.5</v>
      </c>
      <c r="V956" s="345">
        <v>113</v>
      </c>
      <c r="W956" s="345">
        <v>2095</v>
      </c>
      <c r="X956" s="345">
        <v>2</v>
      </c>
      <c r="Y956" s="345">
        <v>91.5</v>
      </c>
      <c r="Z956" s="345">
        <v>1908.7</v>
      </c>
      <c r="AA956">
        <f t="shared" si="14"/>
        <v>2</v>
      </c>
    </row>
    <row r="957" spans="1:27" x14ac:dyDescent="0.3">
      <c r="A957" s="345"/>
      <c r="B957" s="345"/>
      <c r="C957" s="341"/>
      <c r="D957" s="341"/>
      <c r="E957" s="342"/>
      <c r="F957" s="345"/>
      <c r="G957" s="342"/>
      <c r="H957" s="345"/>
      <c r="I957" s="345"/>
      <c r="J957" s="345"/>
      <c r="K957" s="345"/>
      <c r="L957" s="346"/>
      <c r="M957" s="346"/>
      <c r="N957" s="346"/>
      <c r="O957" s="345"/>
      <c r="P957" s="345"/>
      <c r="Q957" s="345"/>
      <c r="R957" s="345"/>
      <c r="S957" s="345"/>
      <c r="T957" s="345"/>
      <c r="U957" s="345"/>
      <c r="V957" s="345"/>
      <c r="W957" s="345"/>
      <c r="X957" s="345"/>
      <c r="Y957" s="345"/>
      <c r="Z957" s="345"/>
    </row>
    <row r="958" spans="1:27" ht="28.8" x14ac:dyDescent="0.3">
      <c r="A958" s="345" t="s">
        <v>2625</v>
      </c>
      <c r="B958" s="805"/>
      <c r="C958" s="802"/>
      <c r="D958" s="802"/>
      <c r="E958" s="803"/>
      <c r="F958" s="805">
        <v>117.5</v>
      </c>
      <c r="G958" s="803"/>
      <c r="H958" s="345">
        <v>2117.9</v>
      </c>
      <c r="I958" s="345">
        <v>0</v>
      </c>
      <c r="J958" s="345">
        <v>118.5</v>
      </c>
      <c r="K958" s="345">
        <v>2331.1</v>
      </c>
      <c r="L958" s="346"/>
      <c r="M958" s="346"/>
      <c r="N958" s="346"/>
      <c r="O958" s="345"/>
      <c r="P958" s="345"/>
      <c r="Q958" s="345"/>
      <c r="R958" s="345">
        <v>0</v>
      </c>
      <c r="S958" s="345">
        <v>0</v>
      </c>
      <c r="T958" s="345">
        <v>1205.5</v>
      </c>
      <c r="U958" s="345">
        <v>0</v>
      </c>
      <c r="V958" s="345">
        <v>113</v>
      </c>
      <c r="W958" s="345">
        <v>2095</v>
      </c>
      <c r="X958" s="345">
        <v>0</v>
      </c>
      <c r="Y958" s="345">
        <v>91.5</v>
      </c>
      <c r="Z958" s="345">
        <v>1908.7</v>
      </c>
      <c r="AA958">
        <f t="shared" si="14"/>
        <v>0</v>
      </c>
    </row>
    <row r="959" spans="1:27" ht="28.8" x14ac:dyDescent="0.3">
      <c r="A959" s="345" t="s">
        <v>2626</v>
      </c>
      <c r="B959" s="805"/>
      <c r="C959" s="802"/>
      <c r="D959" s="802"/>
      <c r="E959" s="803"/>
      <c r="F959" s="805">
        <v>117.5</v>
      </c>
      <c r="G959" s="803"/>
      <c r="H959" s="345">
        <v>2117.9</v>
      </c>
      <c r="I959" s="345">
        <v>0</v>
      </c>
      <c r="J959" s="345">
        <v>118.5</v>
      </c>
      <c r="K959" s="345">
        <v>2331.1</v>
      </c>
      <c r="L959" s="346"/>
      <c r="M959" s="346"/>
      <c r="N959" s="346"/>
      <c r="O959" s="345"/>
      <c r="P959" s="345"/>
      <c r="Q959" s="345"/>
      <c r="R959" s="345">
        <v>0</v>
      </c>
      <c r="S959" s="345">
        <v>0</v>
      </c>
      <c r="T959" s="345">
        <v>1205.5</v>
      </c>
      <c r="U959" s="345">
        <v>0</v>
      </c>
      <c r="V959" s="345">
        <v>113</v>
      </c>
      <c r="W959" s="345">
        <v>2095</v>
      </c>
      <c r="X959" s="345">
        <v>0</v>
      </c>
      <c r="Y959" s="345">
        <v>91.5</v>
      </c>
      <c r="Z959" s="345">
        <v>1908.7</v>
      </c>
      <c r="AA959">
        <f t="shared" si="14"/>
        <v>0</v>
      </c>
    </row>
    <row r="960" spans="1:27" ht="28.8" x14ac:dyDescent="0.3">
      <c r="A960" s="345" t="s">
        <v>2627</v>
      </c>
      <c r="B960" s="805"/>
      <c r="C960" s="802"/>
      <c r="D960" s="802"/>
      <c r="E960" s="803"/>
      <c r="F960" s="805">
        <v>119.5</v>
      </c>
      <c r="G960" s="803"/>
      <c r="H960" s="345">
        <v>2119.9</v>
      </c>
      <c r="I960" s="345">
        <v>1.5</v>
      </c>
      <c r="J960" s="345">
        <v>120</v>
      </c>
      <c r="K960" s="345">
        <v>2332.6</v>
      </c>
      <c r="L960" s="346"/>
      <c r="M960" s="346"/>
      <c r="N960" s="346"/>
      <c r="O960" s="345"/>
      <c r="P960" s="345"/>
      <c r="Q960" s="345"/>
      <c r="R960" s="345">
        <v>0.6</v>
      </c>
      <c r="S960" s="345">
        <v>0.6</v>
      </c>
      <c r="T960" s="345">
        <v>1206.0999999999999</v>
      </c>
      <c r="U960" s="345">
        <v>1</v>
      </c>
      <c r="V960" s="345">
        <v>114</v>
      </c>
      <c r="W960" s="345">
        <v>2096</v>
      </c>
      <c r="X960" s="345">
        <v>2</v>
      </c>
      <c r="Y960" s="345">
        <v>93.5</v>
      </c>
      <c r="Z960" s="345">
        <v>1910.7</v>
      </c>
      <c r="AA960">
        <f t="shared" si="14"/>
        <v>1.5</v>
      </c>
    </row>
    <row r="961" spans="1:27" ht="28.8" x14ac:dyDescent="0.3">
      <c r="A961" s="345" t="s">
        <v>2628</v>
      </c>
      <c r="B961" s="805"/>
      <c r="C961" s="802"/>
      <c r="D961" s="802"/>
      <c r="E961" s="803"/>
      <c r="F961" s="805">
        <v>121.5</v>
      </c>
      <c r="G961" s="803"/>
      <c r="H961" s="345">
        <v>2121.9</v>
      </c>
      <c r="I961" s="345">
        <v>4</v>
      </c>
      <c r="J961" s="345">
        <v>124</v>
      </c>
      <c r="K961" s="345">
        <v>2336.6</v>
      </c>
      <c r="L961" s="346"/>
      <c r="M961" s="346"/>
      <c r="N961" s="346"/>
      <c r="O961" s="345"/>
      <c r="P961" s="345"/>
      <c r="Q961" s="345"/>
      <c r="R961" s="345">
        <v>1.4</v>
      </c>
      <c r="S961" s="345">
        <v>2</v>
      </c>
      <c r="T961" s="345">
        <v>1207.5</v>
      </c>
      <c r="U961" s="345">
        <v>2</v>
      </c>
      <c r="V961" s="345">
        <v>116</v>
      </c>
      <c r="W961" s="345">
        <v>2098</v>
      </c>
      <c r="X961" s="345">
        <v>2</v>
      </c>
      <c r="Y961" s="345">
        <v>95.5</v>
      </c>
      <c r="Z961" s="345">
        <v>1912.7</v>
      </c>
      <c r="AA961">
        <f t="shared" si="14"/>
        <v>4</v>
      </c>
    </row>
    <row r="962" spans="1:27" ht="28.8" x14ac:dyDescent="0.3">
      <c r="A962" s="345" t="s">
        <v>2629</v>
      </c>
      <c r="B962" s="805"/>
      <c r="C962" s="802"/>
      <c r="D962" s="802"/>
      <c r="E962" s="803"/>
      <c r="F962" s="805">
        <v>134.5</v>
      </c>
      <c r="G962" s="803"/>
      <c r="H962" s="345">
        <v>2134.9</v>
      </c>
      <c r="I962" s="345">
        <v>17</v>
      </c>
      <c r="J962" s="345">
        <v>141</v>
      </c>
      <c r="K962" s="345">
        <v>2353.6</v>
      </c>
      <c r="L962" s="346"/>
      <c r="M962" s="346"/>
      <c r="N962" s="346"/>
      <c r="O962" s="345"/>
      <c r="P962" s="345"/>
      <c r="Q962" s="345"/>
      <c r="R962" s="345">
        <v>20.6</v>
      </c>
      <c r="S962" s="345">
        <v>22.6</v>
      </c>
      <c r="T962" s="345">
        <v>1228.0999999999999</v>
      </c>
      <c r="U962" s="345">
        <v>17</v>
      </c>
      <c r="V962" s="345">
        <v>133</v>
      </c>
      <c r="W962" s="345">
        <v>2115</v>
      </c>
      <c r="X962" s="345">
        <v>11.5</v>
      </c>
      <c r="Y962" s="345">
        <v>107</v>
      </c>
      <c r="Z962" s="345">
        <v>1924.2</v>
      </c>
      <c r="AA962">
        <f t="shared" si="14"/>
        <v>17</v>
      </c>
    </row>
    <row r="963" spans="1:27" ht="28.8" x14ac:dyDescent="0.3">
      <c r="A963" s="345" t="s">
        <v>2630</v>
      </c>
      <c r="B963" s="805"/>
      <c r="C963" s="802"/>
      <c r="D963" s="802"/>
      <c r="E963" s="803"/>
      <c r="F963" s="805">
        <v>134.5</v>
      </c>
      <c r="G963" s="803"/>
      <c r="H963" s="345">
        <v>2134.9</v>
      </c>
      <c r="I963" s="345">
        <v>0</v>
      </c>
      <c r="J963" s="345">
        <v>141</v>
      </c>
      <c r="K963" s="345">
        <v>2353.6</v>
      </c>
      <c r="L963" s="346"/>
      <c r="M963" s="346"/>
      <c r="N963" s="346"/>
      <c r="O963" s="345"/>
      <c r="P963" s="345"/>
      <c r="Q963" s="345"/>
      <c r="R963" s="345">
        <v>0</v>
      </c>
      <c r="S963" s="345">
        <v>22.6</v>
      </c>
      <c r="T963" s="345">
        <v>1228.0999999999999</v>
      </c>
      <c r="U963" s="345">
        <v>0</v>
      </c>
      <c r="V963" s="345">
        <v>133</v>
      </c>
      <c r="W963" s="345">
        <v>2115</v>
      </c>
      <c r="X963" s="345">
        <v>0</v>
      </c>
      <c r="Y963" s="345">
        <v>107</v>
      </c>
      <c r="Z963" s="345">
        <v>1924.2</v>
      </c>
      <c r="AA963">
        <f t="shared" si="14"/>
        <v>0</v>
      </c>
    </row>
    <row r="964" spans="1:27" ht="28.8" x14ac:dyDescent="0.3">
      <c r="A964" s="345" t="s">
        <v>2631</v>
      </c>
      <c r="B964" s="805"/>
      <c r="C964" s="802"/>
      <c r="D964" s="802"/>
      <c r="E964" s="803"/>
      <c r="F964" s="805">
        <v>134.5</v>
      </c>
      <c r="G964" s="803"/>
      <c r="H964" s="345">
        <v>2134.9</v>
      </c>
      <c r="I964" s="345">
        <v>0</v>
      </c>
      <c r="J964" s="345">
        <v>141</v>
      </c>
      <c r="K964" s="345">
        <v>2353.6</v>
      </c>
      <c r="L964" s="346"/>
      <c r="M964" s="346"/>
      <c r="N964" s="346"/>
      <c r="O964" s="345"/>
      <c r="P964" s="345"/>
      <c r="Q964" s="345"/>
      <c r="R964" s="345">
        <v>0</v>
      </c>
      <c r="S964" s="345">
        <v>22.6</v>
      </c>
      <c r="T964" s="345">
        <v>1228.0999999999999</v>
      </c>
      <c r="U964" s="345">
        <v>0</v>
      </c>
      <c r="V964" s="345">
        <v>133</v>
      </c>
      <c r="W964" s="345">
        <v>2115</v>
      </c>
      <c r="X964" s="345">
        <v>0</v>
      </c>
      <c r="Y964" s="345">
        <v>107</v>
      </c>
      <c r="Z964" s="345">
        <v>1924.2</v>
      </c>
      <c r="AA964">
        <f t="shared" si="14"/>
        <v>0</v>
      </c>
    </row>
    <row r="965" spans="1:27" ht="28.8" x14ac:dyDescent="0.3">
      <c r="A965" s="345" t="s">
        <v>2632</v>
      </c>
      <c r="B965" s="805"/>
      <c r="C965" s="802"/>
      <c r="D965" s="802"/>
      <c r="E965" s="803"/>
      <c r="F965" s="805">
        <v>134.5</v>
      </c>
      <c r="G965" s="803"/>
      <c r="H965" s="345">
        <v>2134.9</v>
      </c>
      <c r="I965" s="345">
        <v>0</v>
      </c>
      <c r="J965" s="345">
        <v>141</v>
      </c>
      <c r="K965" s="345">
        <v>2353.6</v>
      </c>
      <c r="L965" s="346"/>
      <c r="M965" s="346"/>
      <c r="N965" s="346"/>
      <c r="O965" s="345"/>
      <c r="P965" s="345"/>
      <c r="Q965" s="345"/>
      <c r="R965" s="345">
        <v>0</v>
      </c>
      <c r="S965" s="345">
        <v>22.6</v>
      </c>
      <c r="T965" s="345">
        <v>1228.0999999999999</v>
      </c>
      <c r="U965" s="345">
        <v>0</v>
      </c>
      <c r="V965" s="345">
        <v>133</v>
      </c>
      <c r="W965" s="345">
        <v>2115</v>
      </c>
      <c r="X965" s="345">
        <v>0</v>
      </c>
      <c r="Y965" s="345">
        <v>107</v>
      </c>
      <c r="Z965" s="345">
        <v>1924.2</v>
      </c>
      <c r="AA965">
        <f t="shared" si="14"/>
        <v>0</v>
      </c>
    </row>
    <row r="966" spans="1:27" ht="28.8" x14ac:dyDescent="0.3">
      <c r="A966" s="345" t="s">
        <v>2633</v>
      </c>
      <c r="B966" s="805"/>
      <c r="C966" s="802"/>
      <c r="D966" s="802"/>
      <c r="E966" s="803"/>
      <c r="F966" s="805">
        <v>134.5</v>
      </c>
      <c r="G966" s="803"/>
      <c r="H966" s="345">
        <v>2134.9</v>
      </c>
      <c r="I966" s="345">
        <v>0</v>
      </c>
      <c r="J966" s="345">
        <v>141</v>
      </c>
      <c r="K966" s="345">
        <v>2353.6</v>
      </c>
      <c r="L966" s="346"/>
      <c r="M966" s="346"/>
      <c r="N966" s="346"/>
      <c r="O966" s="345"/>
      <c r="P966" s="345"/>
      <c r="Q966" s="345"/>
      <c r="R966" s="345">
        <v>0</v>
      </c>
      <c r="S966" s="345">
        <v>22.6</v>
      </c>
      <c r="T966" s="345">
        <v>1228.0999999999999</v>
      </c>
      <c r="U966" s="345">
        <v>0</v>
      </c>
      <c r="V966" s="345">
        <v>133</v>
      </c>
      <c r="W966" s="345">
        <v>2115</v>
      </c>
      <c r="X966" s="345">
        <v>0</v>
      </c>
      <c r="Y966" s="345">
        <v>107</v>
      </c>
      <c r="Z966" s="345">
        <v>1924.2</v>
      </c>
      <c r="AA966">
        <f t="shared" si="14"/>
        <v>0</v>
      </c>
    </row>
    <row r="967" spans="1:27" ht="28.8" x14ac:dyDescent="0.3">
      <c r="A967" s="345" t="s">
        <v>2634</v>
      </c>
      <c r="B967" s="805"/>
      <c r="C967" s="802"/>
      <c r="D967" s="802"/>
      <c r="E967" s="803"/>
      <c r="F967" s="805">
        <v>136</v>
      </c>
      <c r="G967" s="803"/>
      <c r="H967" s="345">
        <v>2136.4</v>
      </c>
      <c r="I967" s="345">
        <v>1</v>
      </c>
      <c r="J967" s="345">
        <v>142</v>
      </c>
      <c r="K967" s="345">
        <v>2354.6</v>
      </c>
      <c r="L967" s="346"/>
      <c r="M967" s="346"/>
      <c r="N967" s="346"/>
      <c r="O967" s="345"/>
      <c r="P967" s="345"/>
      <c r="Q967" s="345"/>
      <c r="R967" s="345">
        <v>1.2</v>
      </c>
      <c r="S967" s="345">
        <v>23.8</v>
      </c>
      <c r="T967" s="345">
        <v>1229.3</v>
      </c>
      <c r="U967" s="345">
        <v>1.5</v>
      </c>
      <c r="V967" s="345">
        <v>134.5</v>
      </c>
      <c r="W967" s="345">
        <v>2116.5</v>
      </c>
      <c r="X967" s="345">
        <v>1</v>
      </c>
      <c r="Y967" s="345">
        <v>108</v>
      </c>
      <c r="Z967" s="345">
        <v>1925.2</v>
      </c>
      <c r="AA967">
        <f t="shared" si="14"/>
        <v>1</v>
      </c>
    </row>
    <row r="968" spans="1:27" ht="28.8" x14ac:dyDescent="0.3">
      <c r="A968" s="345" t="s">
        <v>2635</v>
      </c>
      <c r="B968" s="805"/>
      <c r="C968" s="802"/>
      <c r="D968" s="802"/>
      <c r="E968" s="803"/>
      <c r="F968" s="805">
        <v>136</v>
      </c>
      <c r="G968" s="803"/>
      <c r="H968" s="345">
        <v>2136.4</v>
      </c>
      <c r="I968" s="345">
        <v>0</v>
      </c>
      <c r="J968" s="345">
        <v>142</v>
      </c>
      <c r="K968" s="345">
        <v>2354.6</v>
      </c>
      <c r="L968" s="346"/>
      <c r="M968" s="346"/>
      <c r="N968" s="346"/>
      <c r="O968" s="345"/>
      <c r="P968" s="345"/>
      <c r="Q968" s="345"/>
      <c r="R968" s="345">
        <v>0</v>
      </c>
      <c r="S968" s="345">
        <v>23.8</v>
      </c>
      <c r="T968" s="345">
        <v>1229.3</v>
      </c>
      <c r="U968" s="345">
        <v>0</v>
      </c>
      <c r="V968" s="345">
        <v>134.5</v>
      </c>
      <c r="W968" s="345">
        <v>2116.5</v>
      </c>
      <c r="X968" s="345">
        <v>0</v>
      </c>
      <c r="Y968" s="345">
        <v>108</v>
      </c>
      <c r="Z968" s="345">
        <v>1925.2</v>
      </c>
      <c r="AA968">
        <f t="shared" si="14"/>
        <v>0</v>
      </c>
    </row>
    <row r="969" spans="1:27" ht="28.8" x14ac:dyDescent="0.3">
      <c r="A969" s="345" t="s">
        <v>2636</v>
      </c>
      <c r="B969" s="805"/>
      <c r="C969" s="802"/>
      <c r="D969" s="802"/>
      <c r="E969" s="803"/>
      <c r="F969" s="805">
        <v>136</v>
      </c>
      <c r="G969" s="803"/>
      <c r="H969" s="345">
        <v>2136.4</v>
      </c>
      <c r="I969" s="345">
        <v>0</v>
      </c>
      <c r="J969" s="345">
        <v>142</v>
      </c>
      <c r="K969" s="345">
        <v>2354.6</v>
      </c>
      <c r="L969" s="346"/>
      <c r="M969" s="346"/>
      <c r="N969" s="346"/>
      <c r="O969" s="345"/>
      <c r="P969" s="345"/>
      <c r="Q969" s="345"/>
      <c r="R969" s="345">
        <v>0</v>
      </c>
      <c r="S969" s="345">
        <v>23.8</v>
      </c>
      <c r="T969" s="345">
        <v>1229.3</v>
      </c>
      <c r="U969" s="345">
        <v>0</v>
      </c>
      <c r="V969" s="345">
        <v>134.5</v>
      </c>
      <c r="W969" s="345">
        <v>2116.5</v>
      </c>
      <c r="X969" s="345">
        <v>0</v>
      </c>
      <c r="Y969" s="345">
        <v>108</v>
      </c>
      <c r="Z969" s="345">
        <v>1925.2</v>
      </c>
      <c r="AA969">
        <f t="shared" si="14"/>
        <v>0</v>
      </c>
    </row>
    <row r="970" spans="1:27" ht="28.8" x14ac:dyDescent="0.3">
      <c r="A970" s="345" t="s">
        <v>2637</v>
      </c>
      <c r="B970" s="805"/>
      <c r="C970" s="802"/>
      <c r="D970" s="802"/>
      <c r="E970" s="803"/>
      <c r="F970" s="805">
        <v>152.5</v>
      </c>
      <c r="G970" s="803"/>
      <c r="H970" s="345">
        <v>2152.9</v>
      </c>
      <c r="I970" s="345">
        <v>17.5</v>
      </c>
      <c r="J970" s="345">
        <v>159.5</v>
      </c>
      <c r="K970" s="345">
        <v>2372.1</v>
      </c>
      <c r="L970" s="346"/>
      <c r="M970" s="346"/>
      <c r="N970" s="346"/>
      <c r="O970" s="345"/>
      <c r="P970" s="345"/>
      <c r="Q970" s="345"/>
      <c r="R970" s="345">
        <v>14.6</v>
      </c>
      <c r="S970" s="345">
        <v>38.4</v>
      </c>
      <c r="T970" s="345">
        <v>1243.9000000000001</v>
      </c>
      <c r="U970" s="345">
        <v>23</v>
      </c>
      <c r="V970" s="345">
        <v>157.5</v>
      </c>
      <c r="W970" s="345">
        <v>2139.5</v>
      </c>
      <c r="X970" s="345">
        <v>15.5</v>
      </c>
      <c r="Y970" s="345">
        <v>123.5</v>
      </c>
      <c r="Z970" s="345">
        <v>1940.7</v>
      </c>
      <c r="AA970">
        <f t="shared" si="14"/>
        <v>17.5</v>
      </c>
    </row>
    <row r="971" spans="1:27" ht="28.8" x14ac:dyDescent="0.3">
      <c r="A971" s="345" t="s">
        <v>2638</v>
      </c>
      <c r="B971" s="805"/>
      <c r="C971" s="802"/>
      <c r="D971" s="802"/>
      <c r="E971" s="803"/>
      <c r="F971" s="805">
        <v>197.5</v>
      </c>
      <c r="G971" s="803"/>
      <c r="H971" s="345">
        <v>2197.9</v>
      </c>
      <c r="I971" s="345">
        <v>48.5</v>
      </c>
      <c r="J971" s="345">
        <v>208</v>
      </c>
      <c r="K971" s="345">
        <v>2420.6</v>
      </c>
      <c r="L971" s="346"/>
      <c r="M971" s="346"/>
      <c r="N971" s="346"/>
      <c r="O971" s="345"/>
      <c r="P971" s="345"/>
      <c r="Q971" s="345"/>
      <c r="R971" s="345">
        <v>27.6</v>
      </c>
      <c r="S971" s="345">
        <v>66</v>
      </c>
      <c r="T971" s="345">
        <v>1271.5</v>
      </c>
      <c r="U971" s="345">
        <v>28.5</v>
      </c>
      <c r="V971" s="345">
        <v>186</v>
      </c>
      <c r="W971" s="345">
        <v>2168</v>
      </c>
      <c r="X971" s="345">
        <v>31.5</v>
      </c>
      <c r="Y971" s="345">
        <v>155</v>
      </c>
      <c r="Z971" s="345">
        <v>1972.2</v>
      </c>
      <c r="AA971">
        <f t="shared" si="14"/>
        <v>48.5</v>
      </c>
    </row>
    <row r="972" spans="1:27" ht="28.8" x14ac:dyDescent="0.3">
      <c r="A972" s="345" t="s">
        <v>2639</v>
      </c>
      <c r="B972" s="805"/>
      <c r="C972" s="802"/>
      <c r="D972" s="802"/>
      <c r="E972" s="803"/>
      <c r="F972" s="805">
        <v>210</v>
      </c>
      <c r="G972" s="803"/>
      <c r="H972" s="345">
        <v>2210.4</v>
      </c>
      <c r="I972" s="345">
        <v>12.5</v>
      </c>
      <c r="J972" s="345">
        <v>220.5</v>
      </c>
      <c r="K972" s="345">
        <v>2433.1</v>
      </c>
      <c r="L972" s="346"/>
      <c r="M972" s="346"/>
      <c r="N972" s="346"/>
      <c r="O972" s="345"/>
      <c r="P972" s="345"/>
      <c r="Q972" s="345"/>
      <c r="R972" s="345">
        <v>10.8</v>
      </c>
      <c r="S972" s="345">
        <v>76.8</v>
      </c>
      <c r="T972" s="345">
        <v>1282.3</v>
      </c>
      <c r="U972" s="345">
        <v>12</v>
      </c>
      <c r="V972" s="345">
        <v>198</v>
      </c>
      <c r="W972" s="345">
        <v>2180</v>
      </c>
      <c r="X972" s="345">
        <v>9</v>
      </c>
      <c r="Y972" s="345">
        <v>164</v>
      </c>
      <c r="Z972" s="345">
        <v>1981.2</v>
      </c>
      <c r="AA972">
        <f t="shared" ref="AA972:AA1035" si="15">MAX(B972+I972+L972+O972)</f>
        <v>12.5</v>
      </c>
    </row>
    <row r="973" spans="1:27" ht="28.8" x14ac:dyDescent="0.3">
      <c r="A973" s="345" t="s">
        <v>2640</v>
      </c>
      <c r="B973" s="805"/>
      <c r="C973" s="802"/>
      <c r="D973" s="802"/>
      <c r="E973" s="803"/>
      <c r="F973" s="805">
        <v>219</v>
      </c>
      <c r="G973" s="803"/>
      <c r="H973" s="345">
        <v>2219.4</v>
      </c>
      <c r="I973" s="345">
        <v>10.5</v>
      </c>
      <c r="J973" s="345">
        <v>231</v>
      </c>
      <c r="K973" s="345">
        <v>2443.6</v>
      </c>
      <c r="L973" s="346"/>
      <c r="M973" s="346"/>
      <c r="N973" s="346"/>
      <c r="O973" s="345"/>
      <c r="P973" s="345"/>
      <c r="Q973" s="345"/>
      <c r="R973" s="345">
        <v>4.2</v>
      </c>
      <c r="S973" s="345">
        <v>81</v>
      </c>
      <c r="T973" s="345">
        <v>1286.5</v>
      </c>
      <c r="U973" s="345">
        <v>11.5</v>
      </c>
      <c r="V973" s="345">
        <v>209.5</v>
      </c>
      <c r="W973" s="345">
        <v>2191.5</v>
      </c>
      <c r="X973" s="345">
        <v>7.5</v>
      </c>
      <c r="Y973" s="345">
        <v>171.5</v>
      </c>
      <c r="Z973" s="345">
        <v>1988.7</v>
      </c>
      <c r="AA973">
        <f t="shared" si="15"/>
        <v>10.5</v>
      </c>
    </row>
    <row r="974" spans="1:27" ht="28.8" x14ac:dyDescent="0.3">
      <c r="A974" s="345" t="s">
        <v>2641</v>
      </c>
      <c r="B974" s="805"/>
      <c r="C974" s="802"/>
      <c r="D974" s="802"/>
      <c r="E974" s="803"/>
      <c r="F974" s="805">
        <v>265</v>
      </c>
      <c r="G974" s="803"/>
      <c r="H974" s="345">
        <v>2265.4</v>
      </c>
      <c r="I974" s="345">
        <v>47</v>
      </c>
      <c r="J974" s="345">
        <v>278</v>
      </c>
      <c r="K974" s="345">
        <v>2490.6</v>
      </c>
      <c r="L974" s="346"/>
      <c r="M974" s="346"/>
      <c r="N974" s="346"/>
      <c r="O974" s="345"/>
      <c r="P974" s="345"/>
      <c r="Q974" s="345"/>
      <c r="R974" s="345">
        <v>9.4</v>
      </c>
      <c r="S974" s="345">
        <v>90.4</v>
      </c>
      <c r="T974" s="345">
        <v>1295.9000000000001</v>
      </c>
      <c r="U974" s="345">
        <v>41</v>
      </c>
      <c r="V974" s="345">
        <v>250.5</v>
      </c>
      <c r="W974" s="345">
        <v>2232.5</v>
      </c>
      <c r="X974" s="345">
        <v>39.5</v>
      </c>
      <c r="Y974" s="345">
        <v>211</v>
      </c>
      <c r="Z974" s="345">
        <v>2028.2</v>
      </c>
      <c r="AA974">
        <f t="shared" si="15"/>
        <v>47</v>
      </c>
    </row>
    <row r="975" spans="1:27" ht="28.8" x14ac:dyDescent="0.3">
      <c r="A975" s="345" t="s">
        <v>2642</v>
      </c>
      <c r="B975" s="805"/>
      <c r="C975" s="802"/>
      <c r="D975" s="802"/>
      <c r="E975" s="803"/>
      <c r="F975" s="805">
        <v>306.5</v>
      </c>
      <c r="G975" s="803"/>
      <c r="H975" s="345">
        <v>2306.9</v>
      </c>
      <c r="I975" s="345">
        <v>42</v>
      </c>
      <c r="J975" s="345">
        <v>320</v>
      </c>
      <c r="K975" s="345">
        <v>2532.6</v>
      </c>
      <c r="L975" s="346"/>
      <c r="M975" s="346"/>
      <c r="N975" s="346"/>
      <c r="O975" s="345"/>
      <c r="P975" s="345"/>
      <c r="Q975" s="345"/>
      <c r="R975" s="345">
        <v>59</v>
      </c>
      <c r="S975" s="345">
        <v>149.4</v>
      </c>
      <c r="T975" s="345">
        <v>1354.9</v>
      </c>
      <c r="U975" s="345">
        <v>28.5</v>
      </c>
      <c r="V975" s="345">
        <v>279</v>
      </c>
      <c r="W975" s="345">
        <v>2261</v>
      </c>
      <c r="X975" s="345">
        <v>30</v>
      </c>
      <c r="Y975" s="345">
        <v>241</v>
      </c>
      <c r="Z975" s="345">
        <v>2058.1999999999998</v>
      </c>
      <c r="AA975">
        <f t="shared" si="15"/>
        <v>42</v>
      </c>
    </row>
    <row r="976" spans="1:27" s="362" customFormat="1" ht="28.8" x14ac:dyDescent="0.3">
      <c r="A976" s="359" t="s">
        <v>2643</v>
      </c>
      <c r="B976" s="811"/>
      <c r="C976" s="812"/>
      <c r="D976" s="812"/>
      <c r="E976" s="813"/>
      <c r="F976" s="811">
        <v>313</v>
      </c>
      <c r="G976" s="813"/>
      <c r="H976" s="359">
        <v>2313.4</v>
      </c>
      <c r="I976" s="359">
        <v>9</v>
      </c>
      <c r="J976" s="359">
        <v>329</v>
      </c>
      <c r="K976" s="359">
        <v>2541.6</v>
      </c>
      <c r="L976" s="359"/>
      <c r="M976" s="359"/>
      <c r="N976" s="359"/>
      <c r="O976" s="359"/>
      <c r="P976" s="359"/>
      <c r="Q976" s="359"/>
      <c r="R976" s="359">
        <v>5</v>
      </c>
      <c r="S976" s="359">
        <v>154.4</v>
      </c>
      <c r="T976" s="359">
        <v>1359.9</v>
      </c>
      <c r="U976" s="359">
        <v>5</v>
      </c>
      <c r="V976" s="359">
        <v>284</v>
      </c>
      <c r="W976" s="359">
        <v>2266</v>
      </c>
      <c r="X976" s="359">
        <v>4.5</v>
      </c>
      <c r="Y976" s="359">
        <v>245.5</v>
      </c>
      <c r="Z976" s="359">
        <v>2062.6999999999998</v>
      </c>
      <c r="AA976" s="362">
        <f t="shared" si="15"/>
        <v>9</v>
      </c>
    </row>
    <row r="977" spans="1:27" ht="28.8" x14ac:dyDescent="0.3">
      <c r="A977" s="345" t="s">
        <v>2644</v>
      </c>
      <c r="B977" s="805"/>
      <c r="C977" s="802"/>
      <c r="D977" s="802"/>
      <c r="E977" s="803"/>
      <c r="F977" s="805">
        <v>0</v>
      </c>
      <c r="G977" s="803"/>
      <c r="H977" s="345">
        <v>2313.4</v>
      </c>
      <c r="I977" s="345">
        <v>0</v>
      </c>
      <c r="J977" s="345">
        <v>0</v>
      </c>
      <c r="K977" s="345">
        <v>2541.6</v>
      </c>
      <c r="L977" s="346"/>
      <c r="M977" s="346"/>
      <c r="N977" s="346"/>
      <c r="O977" s="345"/>
      <c r="P977" s="345"/>
      <c r="Q977" s="345"/>
      <c r="R977" s="345">
        <v>0.2</v>
      </c>
      <c r="S977" s="345">
        <v>0.2</v>
      </c>
      <c r="T977" s="345">
        <v>1360.1</v>
      </c>
      <c r="U977" s="345">
        <v>0</v>
      </c>
      <c r="V977" s="345">
        <v>0</v>
      </c>
      <c r="W977" s="345">
        <v>2266</v>
      </c>
      <c r="X977" s="345">
        <v>0</v>
      </c>
      <c r="Y977" s="345">
        <v>0</v>
      </c>
      <c r="Z977" s="345">
        <v>2062.6999999999998</v>
      </c>
      <c r="AA977">
        <f t="shared" si="15"/>
        <v>0</v>
      </c>
    </row>
    <row r="978" spans="1:27" ht="28.8" x14ac:dyDescent="0.3">
      <c r="A978" s="345" t="s">
        <v>2645</v>
      </c>
      <c r="B978" s="805"/>
      <c r="C978" s="802"/>
      <c r="D978" s="802"/>
      <c r="E978" s="803"/>
      <c r="F978" s="805">
        <v>6.5</v>
      </c>
      <c r="G978" s="803"/>
      <c r="H978" s="345">
        <v>2319.9</v>
      </c>
      <c r="I978" s="345">
        <v>6</v>
      </c>
      <c r="J978" s="345">
        <v>6</v>
      </c>
      <c r="K978" s="345">
        <v>2547.6</v>
      </c>
      <c r="L978" s="346"/>
      <c r="M978" s="346"/>
      <c r="N978" s="346"/>
      <c r="O978" s="345"/>
      <c r="P978" s="345"/>
      <c r="Q978" s="345"/>
      <c r="R978" s="345">
        <v>6</v>
      </c>
      <c r="S978" s="345">
        <v>6.2</v>
      </c>
      <c r="T978" s="345">
        <v>1366.1</v>
      </c>
      <c r="U978" s="345">
        <v>6.5</v>
      </c>
      <c r="V978" s="345">
        <v>6.5</v>
      </c>
      <c r="W978" s="345">
        <v>2272.5</v>
      </c>
      <c r="X978" s="345">
        <v>4</v>
      </c>
      <c r="Y978" s="345">
        <v>4</v>
      </c>
      <c r="Z978" s="345">
        <v>2066.6999999999998</v>
      </c>
      <c r="AA978">
        <f t="shared" si="15"/>
        <v>6</v>
      </c>
    </row>
    <row r="979" spans="1:27" ht="28.8" x14ac:dyDescent="0.3">
      <c r="A979" s="345" t="s">
        <v>2646</v>
      </c>
      <c r="B979" s="805"/>
      <c r="C979" s="802"/>
      <c r="D979" s="802"/>
      <c r="E979" s="803"/>
      <c r="F979" s="805">
        <v>8</v>
      </c>
      <c r="G979" s="803"/>
      <c r="H979" s="345">
        <v>2321.4</v>
      </c>
      <c r="I979" s="345">
        <v>1.5</v>
      </c>
      <c r="J979" s="345">
        <v>7.5</v>
      </c>
      <c r="K979" s="345">
        <v>2549.1</v>
      </c>
      <c r="L979" s="346"/>
      <c r="M979" s="346"/>
      <c r="N979" s="346"/>
      <c r="O979" s="345"/>
      <c r="P979" s="345"/>
      <c r="Q979" s="345"/>
      <c r="R979" s="345">
        <v>1.6</v>
      </c>
      <c r="S979" s="345">
        <v>7.8</v>
      </c>
      <c r="T979" s="345">
        <v>1367.7</v>
      </c>
      <c r="U979" s="345">
        <v>1.5</v>
      </c>
      <c r="V979" s="345">
        <v>8</v>
      </c>
      <c r="W979" s="345">
        <v>2274</v>
      </c>
      <c r="X979" s="345">
        <v>1.5</v>
      </c>
      <c r="Y979" s="345">
        <v>5.5</v>
      </c>
      <c r="Z979" s="345">
        <v>2068.1999999999998</v>
      </c>
      <c r="AA979">
        <f t="shared" si="15"/>
        <v>1.5</v>
      </c>
    </row>
    <row r="980" spans="1:27" ht="28.8" x14ac:dyDescent="0.3">
      <c r="A980" s="345" t="s">
        <v>2647</v>
      </c>
      <c r="B980" s="805"/>
      <c r="C980" s="802"/>
      <c r="D980" s="802"/>
      <c r="E980" s="803"/>
      <c r="F980" s="805">
        <v>9.5</v>
      </c>
      <c r="G980" s="803"/>
      <c r="H980" s="345">
        <v>2322.9</v>
      </c>
      <c r="I980" s="345">
        <v>1</v>
      </c>
      <c r="J980" s="345">
        <v>8.5</v>
      </c>
      <c r="K980" s="345">
        <v>2550.1</v>
      </c>
      <c r="L980" s="346"/>
      <c r="M980" s="346"/>
      <c r="N980" s="346"/>
      <c r="O980" s="345"/>
      <c r="P980" s="345"/>
      <c r="Q980" s="345"/>
      <c r="R980" s="345">
        <v>0.8</v>
      </c>
      <c r="S980" s="345">
        <v>8.6</v>
      </c>
      <c r="T980" s="345">
        <v>1368.5</v>
      </c>
      <c r="U980" s="345">
        <v>1.5</v>
      </c>
      <c r="V980" s="345">
        <v>9.5</v>
      </c>
      <c r="W980" s="345">
        <v>2275.5</v>
      </c>
      <c r="X980" s="345">
        <v>1</v>
      </c>
      <c r="Y980" s="345">
        <v>6.5</v>
      </c>
      <c r="Z980" s="345">
        <v>2069.1999999999998</v>
      </c>
      <c r="AA980">
        <f t="shared" si="15"/>
        <v>1</v>
      </c>
    </row>
    <row r="981" spans="1:27" ht="28.8" x14ac:dyDescent="0.3">
      <c r="A981" s="345" t="s">
        <v>2648</v>
      </c>
      <c r="B981" s="805"/>
      <c r="C981" s="802"/>
      <c r="D981" s="802"/>
      <c r="E981" s="803"/>
      <c r="F981" s="805">
        <v>9.5</v>
      </c>
      <c r="G981" s="803"/>
      <c r="H981" s="345">
        <v>2322.9</v>
      </c>
      <c r="I981" s="345">
        <v>0</v>
      </c>
      <c r="J981" s="345">
        <v>8.5</v>
      </c>
      <c r="K981" s="345">
        <v>2550.1</v>
      </c>
      <c r="L981" s="346"/>
      <c r="M981" s="346"/>
      <c r="N981" s="346"/>
      <c r="O981" s="345"/>
      <c r="P981" s="345"/>
      <c r="Q981" s="345"/>
      <c r="R981" s="345">
        <v>0.4</v>
      </c>
      <c r="S981" s="345">
        <v>9</v>
      </c>
      <c r="T981" s="345">
        <v>1368.9</v>
      </c>
      <c r="U981" s="345">
        <v>0</v>
      </c>
      <c r="V981" s="345">
        <v>9.5</v>
      </c>
      <c r="W981" s="345">
        <v>2275.5</v>
      </c>
      <c r="X981" s="345">
        <v>0</v>
      </c>
      <c r="Y981" s="345">
        <v>6.5</v>
      </c>
      <c r="Z981" s="345">
        <v>2069.1999999999998</v>
      </c>
      <c r="AA981">
        <f t="shared" si="15"/>
        <v>0</v>
      </c>
    </row>
    <row r="982" spans="1:27" ht="28.8" x14ac:dyDescent="0.3">
      <c r="A982" s="345" t="s">
        <v>2649</v>
      </c>
      <c r="B982" s="805"/>
      <c r="C982" s="802"/>
      <c r="D982" s="802"/>
      <c r="E982" s="803"/>
      <c r="F982" s="805">
        <v>15</v>
      </c>
      <c r="G982" s="803"/>
      <c r="H982" s="345">
        <v>2328.4</v>
      </c>
      <c r="I982" s="345">
        <v>4</v>
      </c>
      <c r="J982" s="345">
        <v>12.5</v>
      </c>
      <c r="K982" s="345">
        <v>2554.1</v>
      </c>
      <c r="L982" s="346"/>
      <c r="M982" s="346"/>
      <c r="N982" s="346"/>
      <c r="O982" s="345"/>
      <c r="P982" s="345"/>
      <c r="Q982" s="345"/>
      <c r="R982" s="345">
        <v>2.2000000000000002</v>
      </c>
      <c r="S982" s="345">
        <v>11.2</v>
      </c>
      <c r="T982" s="345">
        <v>1371.1</v>
      </c>
      <c r="U982" s="345">
        <v>2.5</v>
      </c>
      <c r="V982" s="345">
        <v>12</v>
      </c>
      <c r="W982" s="345">
        <v>2278</v>
      </c>
      <c r="X982" s="345">
        <v>1</v>
      </c>
      <c r="Y982" s="345">
        <v>7.5</v>
      </c>
      <c r="Z982" s="345">
        <v>2070.1999999999998</v>
      </c>
      <c r="AA982">
        <f t="shared" si="15"/>
        <v>4</v>
      </c>
    </row>
    <row r="983" spans="1:27" ht="28.8" x14ac:dyDescent="0.3">
      <c r="A983" s="345" t="s">
        <v>2650</v>
      </c>
      <c r="B983" s="805"/>
      <c r="C983" s="802"/>
      <c r="D983" s="802"/>
      <c r="E983" s="803"/>
      <c r="F983" s="805">
        <v>17</v>
      </c>
      <c r="G983" s="803"/>
      <c r="H983" s="345">
        <v>2330.4</v>
      </c>
      <c r="I983" s="345">
        <v>8</v>
      </c>
      <c r="J983" s="345">
        <v>20.5</v>
      </c>
      <c r="K983" s="345">
        <v>2562.1</v>
      </c>
      <c r="L983" s="346"/>
      <c r="M983" s="346"/>
      <c r="N983" s="346"/>
      <c r="O983" s="345"/>
      <c r="P983" s="345"/>
      <c r="Q983" s="345"/>
      <c r="R983" s="345">
        <v>1</v>
      </c>
      <c r="S983" s="345">
        <v>12.2</v>
      </c>
      <c r="T983" s="345">
        <v>1372.1</v>
      </c>
      <c r="U983" s="345">
        <v>1.5</v>
      </c>
      <c r="V983" s="345">
        <v>13.5</v>
      </c>
      <c r="W983" s="345">
        <v>2279.5</v>
      </c>
      <c r="X983" s="345">
        <v>1</v>
      </c>
      <c r="Y983" s="345">
        <v>8.5</v>
      </c>
      <c r="Z983" s="345">
        <v>2071.1999999999998</v>
      </c>
      <c r="AA983">
        <f t="shared" si="15"/>
        <v>8</v>
      </c>
    </row>
    <row r="984" spans="1:27" ht="28.8" x14ac:dyDescent="0.3">
      <c r="A984" s="345" t="s">
        <v>2651</v>
      </c>
      <c r="B984" s="805"/>
      <c r="C984" s="802"/>
      <c r="D984" s="802"/>
      <c r="E984" s="803"/>
      <c r="F984" s="805">
        <v>35.5</v>
      </c>
      <c r="G984" s="803"/>
      <c r="H984" s="345">
        <v>2348.9</v>
      </c>
      <c r="I984" s="345">
        <v>23</v>
      </c>
      <c r="J984" s="345">
        <v>43.5</v>
      </c>
      <c r="K984" s="345">
        <v>2585.1</v>
      </c>
      <c r="L984" s="346"/>
      <c r="M984" s="346"/>
      <c r="N984" s="346"/>
      <c r="O984" s="345"/>
      <c r="P984" s="345"/>
      <c r="Q984" s="345"/>
      <c r="R984" s="345">
        <v>16</v>
      </c>
      <c r="S984" s="345">
        <v>28.2</v>
      </c>
      <c r="T984" s="345">
        <v>1388.1</v>
      </c>
      <c r="U984" s="345">
        <v>18</v>
      </c>
      <c r="V984" s="345">
        <v>31.5</v>
      </c>
      <c r="W984" s="345">
        <v>2297.5</v>
      </c>
      <c r="X984" s="345">
        <v>17</v>
      </c>
      <c r="Y984" s="345">
        <v>25.5</v>
      </c>
      <c r="Z984" s="345">
        <v>2088.1999999999998</v>
      </c>
      <c r="AA984">
        <f t="shared" si="15"/>
        <v>23</v>
      </c>
    </row>
    <row r="985" spans="1:27" ht="28.8" x14ac:dyDescent="0.3">
      <c r="A985" s="345" t="s">
        <v>2652</v>
      </c>
      <c r="B985" s="805"/>
      <c r="C985" s="802"/>
      <c r="D985" s="802"/>
      <c r="E985" s="803"/>
      <c r="F985" s="805">
        <v>41.5</v>
      </c>
      <c r="G985" s="803"/>
      <c r="H985" s="345">
        <v>2354.9</v>
      </c>
      <c r="I985" s="345">
        <v>8</v>
      </c>
      <c r="J985" s="345">
        <v>51.5</v>
      </c>
      <c r="K985" s="345">
        <v>2593.1</v>
      </c>
      <c r="L985" s="346"/>
      <c r="M985" s="346"/>
      <c r="N985" s="346"/>
      <c r="O985" s="345"/>
      <c r="P985" s="345"/>
      <c r="Q985" s="345"/>
      <c r="R985" s="345">
        <v>2.2000000000000002</v>
      </c>
      <c r="S985" s="345">
        <v>30.4</v>
      </c>
      <c r="T985" s="345">
        <v>1390.3</v>
      </c>
      <c r="U985" s="345">
        <v>3.5</v>
      </c>
      <c r="V985" s="345">
        <v>35</v>
      </c>
      <c r="W985" s="345">
        <v>2301</v>
      </c>
      <c r="X985" s="345">
        <v>4.5</v>
      </c>
      <c r="Y985" s="345">
        <v>30</v>
      </c>
      <c r="Z985" s="345">
        <v>2092.6999999999998</v>
      </c>
      <c r="AA985">
        <f t="shared" si="15"/>
        <v>8</v>
      </c>
    </row>
    <row r="986" spans="1:27" ht="28.8" x14ac:dyDescent="0.3">
      <c r="A986" s="345" t="s">
        <v>2653</v>
      </c>
      <c r="B986" s="805"/>
      <c r="C986" s="802"/>
      <c r="D986" s="802"/>
      <c r="E986" s="803"/>
      <c r="F986" s="805">
        <v>43.5</v>
      </c>
      <c r="G986" s="803"/>
      <c r="H986" s="345">
        <v>2356.9</v>
      </c>
      <c r="I986" s="345">
        <v>1.5</v>
      </c>
      <c r="J986" s="345">
        <v>53</v>
      </c>
      <c r="K986" s="345">
        <v>2594.6</v>
      </c>
      <c r="L986" s="346"/>
      <c r="M986" s="346"/>
      <c r="N986" s="346"/>
      <c r="O986" s="345"/>
      <c r="P986" s="345"/>
      <c r="Q986" s="345"/>
      <c r="R986" s="345">
        <v>0.8</v>
      </c>
      <c r="S986" s="345">
        <v>31.2</v>
      </c>
      <c r="T986" s="345">
        <v>1391.1</v>
      </c>
      <c r="U986" s="345">
        <v>1</v>
      </c>
      <c r="V986" s="345">
        <v>36</v>
      </c>
      <c r="W986" s="345">
        <v>2302</v>
      </c>
      <c r="X986" s="345"/>
      <c r="Y986" s="345"/>
      <c r="Z986" s="345"/>
      <c r="AA986">
        <f t="shared" si="15"/>
        <v>1.5</v>
      </c>
    </row>
    <row r="987" spans="1:27" ht="28.8" x14ac:dyDescent="0.3">
      <c r="A987" s="345" t="s">
        <v>2654</v>
      </c>
      <c r="B987" s="805"/>
      <c r="C987" s="802"/>
      <c r="D987" s="802"/>
      <c r="E987" s="803"/>
      <c r="F987" s="805">
        <v>54</v>
      </c>
      <c r="G987" s="803"/>
      <c r="H987" s="345">
        <v>2367.4</v>
      </c>
      <c r="I987" s="345">
        <v>13</v>
      </c>
      <c r="J987" s="345">
        <v>66</v>
      </c>
      <c r="K987" s="345">
        <v>2607.6</v>
      </c>
      <c r="L987" s="346"/>
      <c r="M987" s="346"/>
      <c r="N987" s="346"/>
      <c r="O987" s="345"/>
      <c r="P987" s="345"/>
      <c r="Q987" s="345"/>
      <c r="R987" s="345">
        <v>11</v>
      </c>
      <c r="S987" s="345">
        <v>42.2</v>
      </c>
      <c r="T987" s="345">
        <v>1402.1</v>
      </c>
      <c r="U987" s="345">
        <v>12</v>
      </c>
      <c r="V987" s="345">
        <v>48</v>
      </c>
      <c r="W987" s="345">
        <v>2314</v>
      </c>
      <c r="X987" s="345">
        <v>10</v>
      </c>
      <c r="Y987" s="345">
        <v>40</v>
      </c>
      <c r="Z987" s="345">
        <v>2102.6999999999998</v>
      </c>
      <c r="AA987">
        <f t="shared" si="15"/>
        <v>13</v>
      </c>
    </row>
    <row r="988" spans="1:27" ht="28.8" x14ac:dyDescent="0.3">
      <c r="A988" s="345" t="s">
        <v>2655</v>
      </c>
      <c r="B988" s="805"/>
      <c r="C988" s="802"/>
      <c r="D988" s="802"/>
      <c r="E988" s="803"/>
      <c r="F988" s="805">
        <v>58.5</v>
      </c>
      <c r="G988" s="803"/>
      <c r="H988" s="345">
        <v>2371.9</v>
      </c>
      <c r="I988" s="345">
        <v>7</v>
      </c>
      <c r="J988" s="345">
        <v>73</v>
      </c>
      <c r="K988" s="345">
        <v>2614.6</v>
      </c>
      <c r="L988" s="346"/>
      <c r="M988" s="346"/>
      <c r="N988" s="346"/>
      <c r="O988" s="345"/>
      <c r="P988" s="345"/>
      <c r="Q988" s="345"/>
      <c r="R988" s="345">
        <v>5.2</v>
      </c>
      <c r="S988" s="345">
        <v>47.4</v>
      </c>
      <c r="T988" s="345">
        <v>1407.3</v>
      </c>
      <c r="U988" s="345">
        <v>6.5</v>
      </c>
      <c r="V988" s="345">
        <v>54.5</v>
      </c>
      <c r="W988" s="345">
        <v>2320.5</v>
      </c>
      <c r="X988" s="345">
        <v>4.5</v>
      </c>
      <c r="Y988" s="345">
        <v>44.5</v>
      </c>
      <c r="Z988" s="345">
        <v>2107.1999999999998</v>
      </c>
      <c r="AA988">
        <f t="shared" si="15"/>
        <v>7</v>
      </c>
    </row>
    <row r="989" spans="1:27" ht="28.8" x14ac:dyDescent="0.3">
      <c r="A989" s="345" t="s">
        <v>2656</v>
      </c>
      <c r="B989" s="805"/>
      <c r="C989" s="802"/>
      <c r="D989" s="802"/>
      <c r="E989" s="803"/>
      <c r="F989" s="805">
        <v>68</v>
      </c>
      <c r="G989" s="803"/>
      <c r="H989" s="345">
        <v>2381.4</v>
      </c>
      <c r="I989" s="345">
        <v>9</v>
      </c>
      <c r="J989" s="345">
        <v>82</v>
      </c>
      <c r="K989" s="345">
        <v>2623.6</v>
      </c>
      <c r="L989" s="346"/>
      <c r="M989" s="346"/>
      <c r="N989" s="346"/>
      <c r="O989" s="345"/>
      <c r="P989" s="345"/>
      <c r="Q989" s="345"/>
      <c r="R989" s="345">
        <v>9.4</v>
      </c>
      <c r="S989" s="345">
        <v>56.8</v>
      </c>
      <c r="T989" s="345">
        <v>1416.7</v>
      </c>
      <c r="U989" s="345">
        <v>10</v>
      </c>
      <c r="V989" s="345">
        <v>64.5</v>
      </c>
      <c r="W989" s="345">
        <v>2330.5</v>
      </c>
      <c r="X989" s="345">
        <v>8.5</v>
      </c>
      <c r="Y989" s="345">
        <v>53</v>
      </c>
      <c r="Z989" s="345">
        <v>2115.6999999999998</v>
      </c>
      <c r="AA989">
        <f t="shared" si="15"/>
        <v>9</v>
      </c>
    </row>
    <row r="990" spans="1:27" ht="28.8" x14ac:dyDescent="0.3">
      <c r="A990" s="345" t="s">
        <v>2657</v>
      </c>
      <c r="B990" s="805"/>
      <c r="C990" s="802"/>
      <c r="D990" s="802"/>
      <c r="E990" s="803"/>
      <c r="F990" s="805">
        <v>87.5</v>
      </c>
      <c r="G990" s="803"/>
      <c r="H990" s="345">
        <v>2400.9</v>
      </c>
      <c r="I990" s="345">
        <v>18.5</v>
      </c>
      <c r="J990" s="345">
        <v>100.5</v>
      </c>
      <c r="K990" s="345">
        <v>2642.1</v>
      </c>
      <c r="L990" s="346"/>
      <c r="M990" s="346"/>
      <c r="N990" s="346"/>
      <c r="O990" s="345"/>
      <c r="P990" s="345"/>
      <c r="Q990" s="345"/>
      <c r="R990" s="345">
        <v>13.8</v>
      </c>
      <c r="S990" s="345">
        <v>70.599999999999994</v>
      </c>
      <c r="T990" s="345">
        <v>1430.5</v>
      </c>
      <c r="U990" s="345">
        <v>16.5</v>
      </c>
      <c r="V990" s="345">
        <v>81</v>
      </c>
      <c r="W990" s="345">
        <v>2347</v>
      </c>
      <c r="X990" s="345">
        <v>17</v>
      </c>
      <c r="Y990" s="345">
        <v>70</v>
      </c>
      <c r="Z990" s="345">
        <v>2132.6999999999998</v>
      </c>
      <c r="AA990">
        <f t="shared" si="15"/>
        <v>18.5</v>
      </c>
    </row>
    <row r="991" spans="1:27" ht="28.8" x14ac:dyDescent="0.3">
      <c r="A991" s="345" t="s">
        <v>2658</v>
      </c>
      <c r="B991" s="805"/>
      <c r="C991" s="802"/>
      <c r="D991" s="802"/>
      <c r="E991" s="803"/>
      <c r="F991" s="805">
        <v>88.5</v>
      </c>
      <c r="G991" s="803"/>
      <c r="H991" s="345">
        <v>2401.9</v>
      </c>
      <c r="I991" s="345">
        <v>1</v>
      </c>
      <c r="J991" s="345">
        <v>101.5</v>
      </c>
      <c r="K991" s="345">
        <v>2643.1</v>
      </c>
      <c r="L991" s="346"/>
      <c r="M991" s="346"/>
      <c r="N991" s="346"/>
      <c r="O991" s="345"/>
      <c r="P991" s="345"/>
      <c r="Q991" s="345"/>
      <c r="R991" s="345">
        <v>0</v>
      </c>
      <c r="S991" s="345">
        <v>70.599999999999994</v>
      </c>
      <c r="T991" s="345">
        <v>1430.5</v>
      </c>
      <c r="U991" s="345">
        <v>0.5</v>
      </c>
      <c r="V991" s="345">
        <v>81.5</v>
      </c>
      <c r="W991" s="345">
        <v>2347.5</v>
      </c>
      <c r="X991" s="345">
        <v>1</v>
      </c>
      <c r="Y991" s="345">
        <v>71</v>
      </c>
      <c r="Z991" s="345">
        <v>2133.6999999999998</v>
      </c>
      <c r="AA991">
        <f t="shared" si="15"/>
        <v>1</v>
      </c>
    </row>
    <row r="992" spans="1:27" ht="28.8" x14ac:dyDescent="0.3">
      <c r="A992" s="345" t="s">
        <v>2659</v>
      </c>
      <c r="B992" s="805"/>
      <c r="C992" s="802"/>
      <c r="D992" s="802"/>
      <c r="E992" s="803"/>
      <c r="F992" s="805">
        <v>89</v>
      </c>
      <c r="G992" s="803"/>
      <c r="H992" s="345">
        <v>2402.4</v>
      </c>
      <c r="I992" s="345">
        <v>0</v>
      </c>
      <c r="J992" s="345">
        <v>101.5</v>
      </c>
      <c r="K992" s="345">
        <v>2643.1</v>
      </c>
      <c r="L992" s="346"/>
      <c r="M992" s="346"/>
      <c r="N992" s="346"/>
      <c r="O992" s="345"/>
      <c r="P992" s="345"/>
      <c r="Q992" s="345"/>
      <c r="R992" s="345">
        <v>0.4</v>
      </c>
      <c r="S992" s="345">
        <v>71</v>
      </c>
      <c r="T992" s="345">
        <v>1430.9</v>
      </c>
      <c r="U992" s="345">
        <v>0.5</v>
      </c>
      <c r="V992" s="345">
        <v>82</v>
      </c>
      <c r="W992" s="345">
        <v>2348</v>
      </c>
      <c r="X992" s="345">
        <v>0.4</v>
      </c>
      <c r="Y992" s="345">
        <v>71.400000000000006</v>
      </c>
      <c r="Z992" s="345">
        <v>2134.1</v>
      </c>
      <c r="AA992">
        <f t="shared" si="15"/>
        <v>0</v>
      </c>
    </row>
    <row r="993" spans="1:27" ht="28.8" x14ac:dyDescent="0.3">
      <c r="A993" s="345" t="s">
        <v>2660</v>
      </c>
      <c r="B993" s="805"/>
      <c r="C993" s="802"/>
      <c r="D993" s="802"/>
      <c r="E993" s="803"/>
      <c r="F993" s="805">
        <v>89</v>
      </c>
      <c r="G993" s="803"/>
      <c r="H993" s="345">
        <v>2402.4</v>
      </c>
      <c r="I993" s="345">
        <v>0</v>
      </c>
      <c r="J993" s="345">
        <v>101.5</v>
      </c>
      <c r="K993" s="345">
        <v>2643.1</v>
      </c>
      <c r="L993" s="346"/>
      <c r="M993" s="346"/>
      <c r="N993" s="346"/>
      <c r="O993" s="345"/>
      <c r="P993" s="345"/>
      <c r="Q993" s="345"/>
      <c r="R993" s="345">
        <v>2</v>
      </c>
      <c r="S993" s="345">
        <v>73</v>
      </c>
      <c r="T993" s="345">
        <v>1432.9</v>
      </c>
      <c r="U993" s="345">
        <v>0</v>
      </c>
      <c r="V993" s="345">
        <v>82</v>
      </c>
      <c r="W993" s="345">
        <v>2348</v>
      </c>
      <c r="X993" s="345">
        <v>0</v>
      </c>
      <c r="Y993" s="345">
        <v>71.400000000000006</v>
      </c>
      <c r="Z993" s="345">
        <v>2134.1</v>
      </c>
      <c r="AA993">
        <f t="shared" si="15"/>
        <v>0</v>
      </c>
    </row>
    <row r="994" spans="1:27" ht="28.8" x14ac:dyDescent="0.3">
      <c r="A994" s="345" t="s">
        <v>2661</v>
      </c>
      <c r="B994" s="805"/>
      <c r="C994" s="802"/>
      <c r="D994" s="802"/>
      <c r="E994" s="803"/>
      <c r="F994" s="805">
        <v>92.5</v>
      </c>
      <c r="G994" s="803"/>
      <c r="H994" s="345">
        <v>2405.9</v>
      </c>
      <c r="I994" s="345">
        <v>4</v>
      </c>
      <c r="J994" s="345">
        <v>105.5</v>
      </c>
      <c r="K994" s="345">
        <v>2647.1</v>
      </c>
      <c r="L994" s="346"/>
      <c r="M994" s="346"/>
      <c r="N994" s="346"/>
      <c r="O994" s="345"/>
      <c r="P994" s="345"/>
      <c r="Q994" s="345"/>
      <c r="R994" s="345">
        <v>2</v>
      </c>
      <c r="S994" s="345">
        <v>75</v>
      </c>
      <c r="T994" s="345">
        <v>1434.9</v>
      </c>
      <c r="U994" s="345">
        <v>4.5</v>
      </c>
      <c r="V994" s="345">
        <v>86.5</v>
      </c>
      <c r="W994" s="345">
        <v>2352.5</v>
      </c>
      <c r="X994" s="345">
        <v>4</v>
      </c>
      <c r="Y994" s="345">
        <v>75.400000000000006</v>
      </c>
      <c r="Z994" s="345">
        <v>2138.1</v>
      </c>
      <c r="AA994">
        <f t="shared" si="15"/>
        <v>4</v>
      </c>
    </row>
    <row r="995" spans="1:27" ht="28.8" x14ac:dyDescent="0.3">
      <c r="A995" s="345" t="s">
        <v>2662</v>
      </c>
      <c r="B995" s="805"/>
      <c r="C995" s="802"/>
      <c r="D995" s="802"/>
      <c r="E995" s="803"/>
      <c r="F995" s="805">
        <v>92.5</v>
      </c>
      <c r="G995" s="803"/>
      <c r="H995" s="345">
        <v>2405.9</v>
      </c>
      <c r="I995" s="345">
        <v>0</v>
      </c>
      <c r="J995" s="345">
        <v>105.5</v>
      </c>
      <c r="K995" s="345">
        <v>2647.1</v>
      </c>
      <c r="L995" s="346"/>
      <c r="M995" s="346"/>
      <c r="N995" s="346"/>
      <c r="O995" s="345"/>
      <c r="P995" s="345"/>
      <c r="Q995" s="345"/>
      <c r="R995" s="345">
        <v>1.2</v>
      </c>
      <c r="S995" s="345">
        <v>76.2</v>
      </c>
      <c r="T995" s="345">
        <v>1436.1</v>
      </c>
      <c r="U995" s="345">
        <v>1</v>
      </c>
      <c r="V995" s="345">
        <v>87.5</v>
      </c>
      <c r="W995" s="345">
        <v>2353.5</v>
      </c>
      <c r="X995" s="345">
        <v>0.5</v>
      </c>
      <c r="Y995" s="345">
        <v>75.900000000000006</v>
      </c>
      <c r="Z995" s="345">
        <v>2138.6</v>
      </c>
      <c r="AA995">
        <f t="shared" si="15"/>
        <v>0</v>
      </c>
    </row>
    <row r="996" spans="1:27" ht="28.8" x14ac:dyDescent="0.3">
      <c r="A996" s="345" t="s">
        <v>2663</v>
      </c>
      <c r="B996" s="805"/>
      <c r="C996" s="802"/>
      <c r="D996" s="802"/>
      <c r="E996" s="803"/>
      <c r="F996" s="805">
        <v>92.5</v>
      </c>
      <c r="G996" s="803"/>
      <c r="H996" s="345">
        <v>2405.9</v>
      </c>
      <c r="I996" s="345">
        <v>0</v>
      </c>
      <c r="J996" s="345">
        <v>105.5</v>
      </c>
      <c r="K996" s="345">
        <v>2647.1</v>
      </c>
      <c r="L996" s="346"/>
      <c r="M996" s="346"/>
      <c r="N996" s="346"/>
      <c r="O996" s="345"/>
      <c r="P996" s="345"/>
      <c r="Q996" s="345"/>
      <c r="R996" s="345">
        <v>0.2</v>
      </c>
      <c r="S996" s="345">
        <v>76.400000000000006</v>
      </c>
      <c r="T996" s="345">
        <v>1436.3</v>
      </c>
      <c r="U996" s="345">
        <v>0</v>
      </c>
      <c r="V996" s="345">
        <v>87.5</v>
      </c>
      <c r="W996" s="345">
        <v>2353.5</v>
      </c>
      <c r="X996" s="345">
        <v>0</v>
      </c>
      <c r="Y996" s="345">
        <v>75.900000000000006</v>
      </c>
      <c r="Z996" s="345">
        <v>2138.6</v>
      </c>
      <c r="AA996">
        <f t="shared" si="15"/>
        <v>0</v>
      </c>
    </row>
    <row r="997" spans="1:27" ht="28.8" x14ac:dyDescent="0.3">
      <c r="A997" s="345" t="s">
        <v>2664</v>
      </c>
      <c r="B997" s="805"/>
      <c r="C997" s="802"/>
      <c r="D997" s="802"/>
      <c r="E997" s="803"/>
      <c r="F997" s="805">
        <v>92.5</v>
      </c>
      <c r="G997" s="803"/>
      <c r="H997" s="345">
        <v>2405.9</v>
      </c>
      <c r="I997" s="345">
        <v>0</v>
      </c>
      <c r="J997" s="345">
        <v>105.5</v>
      </c>
      <c r="K997" s="345">
        <v>2647.1</v>
      </c>
      <c r="L997" s="346"/>
      <c r="M997" s="346"/>
      <c r="N997" s="346"/>
      <c r="O997" s="345"/>
      <c r="P997" s="345"/>
      <c r="Q997" s="345"/>
      <c r="R997" s="345">
        <v>0</v>
      </c>
      <c r="S997" s="345">
        <v>76.400000000000006</v>
      </c>
      <c r="T997" s="345">
        <v>1436.3</v>
      </c>
      <c r="U997" s="345">
        <v>0</v>
      </c>
      <c r="V997" s="345">
        <v>87.5</v>
      </c>
      <c r="W997" s="345">
        <v>2353.5</v>
      </c>
      <c r="X997" s="345">
        <v>0</v>
      </c>
      <c r="Y997" s="345">
        <v>75.900000000000006</v>
      </c>
      <c r="Z997" s="345">
        <v>2138.6</v>
      </c>
      <c r="AA997">
        <f t="shared" si="15"/>
        <v>0</v>
      </c>
    </row>
    <row r="998" spans="1:27" ht="28.8" x14ac:dyDescent="0.3">
      <c r="A998" s="345" t="s">
        <v>2665</v>
      </c>
      <c r="B998" s="805"/>
      <c r="C998" s="802"/>
      <c r="D998" s="802"/>
      <c r="E998" s="803"/>
      <c r="F998" s="805">
        <v>92.5</v>
      </c>
      <c r="G998" s="803"/>
      <c r="H998" s="345">
        <v>2405.9</v>
      </c>
      <c r="I998" s="345">
        <v>0</v>
      </c>
      <c r="J998" s="345">
        <v>105.5</v>
      </c>
      <c r="K998" s="345">
        <v>2647.1</v>
      </c>
      <c r="L998" s="346"/>
      <c r="M998" s="346"/>
      <c r="N998" s="346"/>
      <c r="O998" s="345"/>
      <c r="P998" s="345"/>
      <c r="Q998" s="345"/>
      <c r="R998" s="345">
        <v>0</v>
      </c>
      <c r="S998" s="345">
        <v>76.400000000000006</v>
      </c>
      <c r="T998" s="345">
        <v>1436.3</v>
      </c>
      <c r="U998" s="345">
        <v>0</v>
      </c>
      <c r="V998" s="345">
        <v>87.5</v>
      </c>
      <c r="W998" s="345">
        <v>2353.5</v>
      </c>
      <c r="X998" s="345">
        <v>0</v>
      </c>
      <c r="Y998" s="345">
        <v>75.900000000000006</v>
      </c>
      <c r="Z998" s="345">
        <v>2138.6</v>
      </c>
      <c r="AA998">
        <f t="shared" si="15"/>
        <v>0</v>
      </c>
    </row>
    <row r="999" spans="1:27" ht="28.8" x14ac:dyDescent="0.3">
      <c r="A999" s="345" t="s">
        <v>2666</v>
      </c>
      <c r="B999" s="805"/>
      <c r="C999" s="802"/>
      <c r="D999" s="802"/>
      <c r="E999" s="803"/>
      <c r="F999" s="805">
        <v>108.5</v>
      </c>
      <c r="G999" s="803"/>
      <c r="H999" s="345">
        <v>2421.9</v>
      </c>
      <c r="I999" s="345">
        <v>42</v>
      </c>
      <c r="J999" s="345">
        <v>147.5</v>
      </c>
      <c r="K999" s="345">
        <v>2689.1</v>
      </c>
      <c r="L999" s="346"/>
      <c r="M999" s="346"/>
      <c r="N999" s="346"/>
      <c r="O999" s="345"/>
      <c r="P999" s="345"/>
      <c r="Q999" s="345"/>
      <c r="R999" s="345">
        <v>4.8</v>
      </c>
      <c r="S999" s="345">
        <v>81.2</v>
      </c>
      <c r="T999" s="345">
        <v>1441.1</v>
      </c>
      <c r="U999" s="345">
        <v>5.5</v>
      </c>
      <c r="V999" s="345">
        <v>93</v>
      </c>
      <c r="W999" s="345">
        <v>2359</v>
      </c>
      <c r="X999" s="345">
        <v>3</v>
      </c>
      <c r="Y999" s="345">
        <v>78.900000000000006</v>
      </c>
      <c r="Z999" s="345">
        <v>2141.6</v>
      </c>
      <c r="AA999">
        <f t="shared" si="15"/>
        <v>42</v>
      </c>
    </row>
    <row r="1000" spans="1:27" ht="28.8" x14ac:dyDescent="0.3">
      <c r="A1000" s="345" t="s">
        <v>2667</v>
      </c>
      <c r="B1000" s="805"/>
      <c r="C1000" s="802"/>
      <c r="D1000" s="802"/>
      <c r="E1000" s="803"/>
      <c r="F1000" s="805">
        <v>110.5</v>
      </c>
      <c r="G1000" s="803"/>
      <c r="H1000" s="345">
        <v>2423.9</v>
      </c>
      <c r="I1000" s="345">
        <v>3</v>
      </c>
      <c r="J1000" s="345">
        <v>150.5</v>
      </c>
      <c r="K1000" s="345">
        <v>2692.1</v>
      </c>
      <c r="L1000" s="346"/>
      <c r="M1000" s="346"/>
      <c r="N1000" s="346"/>
      <c r="O1000" s="345"/>
      <c r="P1000" s="345"/>
      <c r="Q1000" s="345"/>
      <c r="R1000" s="345">
        <v>1.4</v>
      </c>
      <c r="S1000" s="345">
        <v>82.6</v>
      </c>
      <c r="T1000" s="345">
        <v>1442.5</v>
      </c>
      <c r="U1000" s="345">
        <v>2</v>
      </c>
      <c r="V1000" s="345">
        <v>95</v>
      </c>
      <c r="W1000" s="345">
        <v>2361</v>
      </c>
      <c r="X1000" s="345">
        <v>1.5</v>
      </c>
      <c r="Y1000" s="345">
        <v>80.400000000000006</v>
      </c>
      <c r="Z1000" s="345">
        <v>2143.1</v>
      </c>
      <c r="AA1000">
        <f t="shared" si="15"/>
        <v>3</v>
      </c>
    </row>
    <row r="1001" spans="1:27" ht="28.8" x14ac:dyDescent="0.3">
      <c r="A1001" s="345" t="s">
        <v>2668</v>
      </c>
      <c r="B1001" s="805"/>
      <c r="C1001" s="802"/>
      <c r="D1001" s="802"/>
      <c r="E1001" s="803"/>
      <c r="F1001" s="805">
        <v>127</v>
      </c>
      <c r="G1001" s="803"/>
      <c r="H1001" s="345">
        <v>2440.4</v>
      </c>
      <c r="I1001" s="345">
        <v>18.5</v>
      </c>
      <c r="J1001" s="345">
        <v>169</v>
      </c>
      <c r="K1001" s="345">
        <v>2710.6</v>
      </c>
      <c r="L1001" s="346"/>
      <c r="M1001" s="346"/>
      <c r="N1001" s="346"/>
      <c r="O1001" s="345"/>
      <c r="P1001" s="345"/>
      <c r="Q1001" s="345"/>
      <c r="R1001" s="345">
        <v>16.2</v>
      </c>
      <c r="S1001" s="345">
        <v>98.8</v>
      </c>
      <c r="T1001" s="345">
        <v>1458.7</v>
      </c>
      <c r="U1001" s="345">
        <v>17.5</v>
      </c>
      <c r="V1001" s="345">
        <v>112.5</v>
      </c>
      <c r="W1001" s="345">
        <v>2378.5</v>
      </c>
      <c r="X1001" s="345">
        <v>10.5</v>
      </c>
      <c r="Y1001" s="345">
        <v>90.9</v>
      </c>
      <c r="Z1001" s="345">
        <v>2153.6</v>
      </c>
      <c r="AA1001">
        <f t="shared" si="15"/>
        <v>18.5</v>
      </c>
    </row>
    <row r="1002" spans="1:27" ht="28.8" x14ac:dyDescent="0.3">
      <c r="A1002" s="345" t="s">
        <v>2669</v>
      </c>
      <c r="B1002" s="805"/>
      <c r="C1002" s="802"/>
      <c r="D1002" s="802"/>
      <c r="E1002" s="803"/>
      <c r="F1002" s="805">
        <v>129.5</v>
      </c>
      <c r="G1002" s="803"/>
      <c r="H1002" s="345">
        <v>2442.9</v>
      </c>
      <c r="I1002" s="345">
        <v>2.5</v>
      </c>
      <c r="J1002" s="345">
        <v>171.5</v>
      </c>
      <c r="K1002" s="345">
        <v>2713.1</v>
      </c>
      <c r="L1002" s="346"/>
      <c r="M1002" s="346"/>
      <c r="N1002" s="346"/>
      <c r="O1002" s="345"/>
      <c r="P1002" s="345"/>
      <c r="Q1002" s="345"/>
      <c r="R1002" s="345">
        <v>1.6</v>
      </c>
      <c r="S1002" s="345">
        <v>100.4</v>
      </c>
      <c r="T1002" s="345">
        <v>1460.3</v>
      </c>
      <c r="U1002" s="345">
        <v>2</v>
      </c>
      <c r="V1002" s="345">
        <v>114.5</v>
      </c>
      <c r="W1002" s="345">
        <v>2380.5</v>
      </c>
      <c r="X1002" s="345">
        <v>1</v>
      </c>
      <c r="Y1002" s="345">
        <v>91.9</v>
      </c>
      <c r="Z1002" s="345">
        <v>2154.6</v>
      </c>
      <c r="AA1002">
        <f t="shared" si="15"/>
        <v>2.5</v>
      </c>
    </row>
    <row r="1003" spans="1:27" ht="28.8" x14ac:dyDescent="0.3">
      <c r="A1003" s="345" t="s">
        <v>2670</v>
      </c>
      <c r="B1003" s="805"/>
      <c r="C1003" s="802"/>
      <c r="D1003" s="802"/>
      <c r="E1003" s="803"/>
      <c r="F1003" s="805">
        <v>129.5</v>
      </c>
      <c r="G1003" s="803"/>
      <c r="H1003" s="345">
        <v>2442.9</v>
      </c>
      <c r="I1003" s="345">
        <v>0</v>
      </c>
      <c r="J1003" s="345">
        <v>171.5</v>
      </c>
      <c r="K1003" s="345">
        <v>2713.1</v>
      </c>
      <c r="L1003" s="346"/>
      <c r="M1003" s="346"/>
      <c r="N1003" s="346"/>
      <c r="O1003" s="345"/>
      <c r="P1003" s="345"/>
      <c r="Q1003" s="345"/>
      <c r="R1003" s="345">
        <v>0.4</v>
      </c>
      <c r="S1003" s="345">
        <v>100.8</v>
      </c>
      <c r="T1003" s="345">
        <v>1460.7</v>
      </c>
      <c r="U1003" s="345">
        <v>0</v>
      </c>
      <c r="V1003" s="345">
        <v>114.5</v>
      </c>
      <c r="W1003" s="345">
        <v>2380.5</v>
      </c>
      <c r="X1003" s="345">
        <v>0</v>
      </c>
      <c r="Y1003" s="345">
        <v>91.9</v>
      </c>
      <c r="Z1003" s="345">
        <v>2154.6</v>
      </c>
      <c r="AA1003">
        <f t="shared" si="15"/>
        <v>0</v>
      </c>
    </row>
    <row r="1004" spans="1:27" ht="28.8" x14ac:dyDescent="0.3">
      <c r="A1004" s="345" t="s">
        <v>2671</v>
      </c>
      <c r="B1004" s="805"/>
      <c r="C1004" s="802"/>
      <c r="D1004" s="802"/>
      <c r="E1004" s="803"/>
      <c r="F1004" s="805">
        <v>131.5</v>
      </c>
      <c r="G1004" s="803"/>
      <c r="H1004" s="345">
        <v>2444.9</v>
      </c>
      <c r="I1004" s="345">
        <v>2</v>
      </c>
      <c r="J1004" s="345">
        <v>173.5</v>
      </c>
      <c r="K1004" s="345">
        <v>2715.1</v>
      </c>
      <c r="L1004" s="346"/>
      <c r="M1004" s="346"/>
      <c r="N1004" s="346"/>
      <c r="O1004" s="345"/>
      <c r="P1004" s="345"/>
      <c r="Q1004" s="345"/>
      <c r="R1004" s="345">
        <v>0.6</v>
      </c>
      <c r="S1004" s="345">
        <v>101.4</v>
      </c>
      <c r="T1004" s="345">
        <v>1461.3</v>
      </c>
      <c r="U1004" s="345">
        <v>1.5</v>
      </c>
      <c r="V1004" s="345">
        <v>116</v>
      </c>
      <c r="W1004" s="345">
        <v>2382</v>
      </c>
      <c r="X1004" s="345">
        <v>1</v>
      </c>
      <c r="Y1004" s="345">
        <v>92.9</v>
      </c>
      <c r="Z1004" s="345">
        <v>2155.6</v>
      </c>
      <c r="AA1004">
        <f t="shared" si="15"/>
        <v>2</v>
      </c>
    </row>
    <row r="1005" spans="1:27" ht="28.8" x14ac:dyDescent="0.3">
      <c r="A1005" s="345" t="s">
        <v>2672</v>
      </c>
      <c r="B1005" s="805"/>
      <c r="C1005" s="802"/>
      <c r="D1005" s="802"/>
      <c r="E1005" s="803"/>
      <c r="F1005" s="805">
        <v>149</v>
      </c>
      <c r="G1005" s="803"/>
      <c r="H1005" s="345">
        <v>2462.4</v>
      </c>
      <c r="I1005" s="345">
        <v>14.5</v>
      </c>
      <c r="J1005" s="345">
        <v>188</v>
      </c>
      <c r="K1005" s="345">
        <v>2729.6</v>
      </c>
      <c r="L1005" s="346"/>
      <c r="M1005" s="346"/>
      <c r="N1005" s="346"/>
      <c r="O1005" s="345"/>
      <c r="P1005" s="345"/>
      <c r="Q1005" s="345"/>
      <c r="R1005" s="345">
        <v>26</v>
      </c>
      <c r="S1005" s="345">
        <v>127.4</v>
      </c>
      <c r="T1005" s="345">
        <v>1487.3</v>
      </c>
      <c r="U1005" s="345">
        <v>25</v>
      </c>
      <c r="V1005" s="345">
        <v>141</v>
      </c>
      <c r="W1005" s="345">
        <v>2407</v>
      </c>
      <c r="X1005" s="345">
        <v>27</v>
      </c>
      <c r="Y1005" s="345">
        <v>119.9</v>
      </c>
      <c r="Z1005" s="345">
        <v>2182.6</v>
      </c>
      <c r="AA1005">
        <f t="shared" si="15"/>
        <v>14.5</v>
      </c>
    </row>
    <row r="1006" spans="1:27" s="362" customFormat="1" ht="28.8" x14ac:dyDescent="0.3">
      <c r="A1006" s="359" t="s">
        <v>2673</v>
      </c>
      <c r="B1006" s="811"/>
      <c r="C1006" s="812"/>
      <c r="D1006" s="812"/>
      <c r="E1006" s="813"/>
      <c r="F1006" s="811">
        <v>151.5</v>
      </c>
      <c r="G1006" s="813"/>
      <c r="H1006" s="359">
        <v>2464.9</v>
      </c>
      <c r="I1006" s="359">
        <v>1.5</v>
      </c>
      <c r="J1006" s="359">
        <v>189.5</v>
      </c>
      <c r="K1006" s="359">
        <v>2731.1</v>
      </c>
      <c r="L1006" s="359"/>
      <c r="M1006" s="359"/>
      <c r="N1006" s="359"/>
      <c r="O1006" s="359"/>
      <c r="P1006" s="359"/>
      <c r="Q1006" s="359"/>
      <c r="R1006" s="359">
        <v>1</v>
      </c>
      <c r="S1006" s="359">
        <v>128.4</v>
      </c>
      <c r="T1006" s="359">
        <v>1488.3</v>
      </c>
      <c r="U1006" s="359">
        <v>1</v>
      </c>
      <c r="V1006" s="359">
        <v>142</v>
      </c>
      <c r="W1006" s="359">
        <v>2408</v>
      </c>
      <c r="X1006" s="359">
        <v>1.5</v>
      </c>
      <c r="Y1006" s="359">
        <v>121.4</v>
      </c>
      <c r="Z1006" s="359">
        <v>2184.1</v>
      </c>
      <c r="AA1006" s="362">
        <f t="shared" si="15"/>
        <v>1.5</v>
      </c>
    </row>
    <row r="1007" spans="1:27" ht="28.8" x14ac:dyDescent="0.3">
      <c r="A1007" s="345" t="s">
        <v>2674</v>
      </c>
      <c r="B1007" s="805"/>
      <c r="C1007" s="802"/>
      <c r="D1007" s="802"/>
      <c r="E1007" s="803"/>
      <c r="F1007" s="805">
        <v>15.5</v>
      </c>
      <c r="G1007" s="803"/>
      <c r="H1007" s="345">
        <v>2480.4</v>
      </c>
      <c r="I1007" s="345">
        <v>27.5</v>
      </c>
      <c r="J1007" s="345">
        <v>27.5</v>
      </c>
      <c r="K1007" s="345">
        <v>2758.6</v>
      </c>
      <c r="L1007" s="346"/>
      <c r="M1007" s="346"/>
      <c r="N1007" s="346"/>
      <c r="O1007" s="345"/>
      <c r="P1007" s="345"/>
      <c r="Q1007" s="345"/>
      <c r="R1007" s="345">
        <v>22.2</v>
      </c>
      <c r="S1007" s="345">
        <v>22.2</v>
      </c>
      <c r="T1007" s="345">
        <v>1510.5</v>
      </c>
      <c r="U1007" s="345">
        <v>27</v>
      </c>
      <c r="V1007" s="345">
        <v>27</v>
      </c>
      <c r="W1007" s="345">
        <v>2435</v>
      </c>
      <c r="X1007" s="345">
        <v>10</v>
      </c>
      <c r="Y1007" s="345">
        <v>10</v>
      </c>
      <c r="Z1007" s="345">
        <v>2194.1</v>
      </c>
      <c r="AA1007">
        <f t="shared" si="15"/>
        <v>27.5</v>
      </c>
    </row>
    <row r="1008" spans="1:27" ht="28.8" x14ac:dyDescent="0.3">
      <c r="A1008" s="345" t="s">
        <v>2675</v>
      </c>
      <c r="B1008" s="805"/>
      <c r="C1008" s="802"/>
      <c r="D1008" s="802"/>
      <c r="E1008" s="803"/>
      <c r="F1008" s="805">
        <v>21.5</v>
      </c>
      <c r="G1008" s="803"/>
      <c r="H1008" s="345">
        <v>2486.4</v>
      </c>
      <c r="I1008" s="345">
        <v>7</v>
      </c>
      <c r="J1008" s="345">
        <v>34.5</v>
      </c>
      <c r="K1008" s="345">
        <v>2765.6</v>
      </c>
      <c r="L1008" s="346"/>
      <c r="M1008" s="346"/>
      <c r="N1008" s="346"/>
      <c r="O1008" s="345"/>
      <c r="P1008" s="345"/>
      <c r="Q1008" s="345"/>
      <c r="R1008" s="345">
        <v>6</v>
      </c>
      <c r="S1008" s="345">
        <v>28.2</v>
      </c>
      <c r="T1008" s="345">
        <v>1516.5</v>
      </c>
      <c r="U1008" s="345">
        <v>4.5</v>
      </c>
      <c r="V1008" s="345">
        <v>31.5</v>
      </c>
      <c r="W1008" s="345">
        <v>2439.5</v>
      </c>
      <c r="X1008" s="345">
        <v>5.5</v>
      </c>
      <c r="Y1008" s="345">
        <v>15.5</v>
      </c>
      <c r="Z1008" s="345">
        <v>2199.6</v>
      </c>
      <c r="AA1008">
        <f t="shared" si="15"/>
        <v>7</v>
      </c>
    </row>
    <row r="1009" spans="1:27" ht="28.8" x14ac:dyDescent="0.3">
      <c r="A1009" s="345" t="s">
        <v>2676</v>
      </c>
      <c r="B1009" s="805"/>
      <c r="C1009" s="802"/>
      <c r="D1009" s="802"/>
      <c r="E1009" s="803"/>
      <c r="F1009" s="805">
        <v>22.5</v>
      </c>
      <c r="G1009" s="803"/>
      <c r="H1009" s="345">
        <v>2487.4</v>
      </c>
      <c r="I1009" s="345">
        <v>1</v>
      </c>
      <c r="J1009" s="345">
        <v>35.5</v>
      </c>
      <c r="K1009" s="345">
        <v>2766.6</v>
      </c>
      <c r="L1009" s="346"/>
      <c r="M1009" s="346"/>
      <c r="N1009" s="346"/>
      <c r="O1009" s="345"/>
      <c r="P1009" s="345"/>
      <c r="Q1009" s="345"/>
      <c r="R1009" s="345">
        <v>1.2</v>
      </c>
      <c r="S1009" s="345">
        <v>29.4</v>
      </c>
      <c r="T1009" s="345">
        <v>1517.7</v>
      </c>
      <c r="U1009" s="345">
        <v>1.5</v>
      </c>
      <c r="V1009" s="345">
        <v>33</v>
      </c>
      <c r="W1009" s="345">
        <v>2441</v>
      </c>
      <c r="X1009" s="345">
        <v>1</v>
      </c>
      <c r="Y1009" s="345">
        <v>16.5</v>
      </c>
      <c r="Z1009" s="345">
        <v>2200.6</v>
      </c>
      <c r="AA1009">
        <f t="shared" si="15"/>
        <v>1</v>
      </c>
    </row>
    <row r="1010" spans="1:27" ht="28.8" x14ac:dyDescent="0.3">
      <c r="A1010" s="345" t="s">
        <v>2677</v>
      </c>
      <c r="B1010" s="805"/>
      <c r="C1010" s="802"/>
      <c r="D1010" s="802"/>
      <c r="E1010" s="803"/>
      <c r="F1010" s="805">
        <v>82.5</v>
      </c>
      <c r="G1010" s="803"/>
      <c r="H1010" s="345">
        <v>2547.4</v>
      </c>
      <c r="I1010" s="345">
        <v>79</v>
      </c>
      <c r="J1010" s="345">
        <v>114.5</v>
      </c>
      <c r="K1010" s="345">
        <v>2845.6</v>
      </c>
      <c r="L1010" s="346"/>
      <c r="M1010" s="346"/>
      <c r="N1010" s="346"/>
      <c r="O1010" s="345"/>
      <c r="P1010" s="345"/>
      <c r="Q1010" s="345"/>
      <c r="R1010" s="345">
        <v>49.2</v>
      </c>
      <c r="S1010" s="345">
        <v>78.599999999999994</v>
      </c>
      <c r="T1010" s="345">
        <v>1566.9</v>
      </c>
      <c r="U1010" s="345">
        <v>55</v>
      </c>
      <c r="V1010" s="345">
        <v>88</v>
      </c>
      <c r="W1010" s="345">
        <v>2496</v>
      </c>
      <c r="X1010" s="345">
        <v>44</v>
      </c>
      <c r="Y1010" s="345">
        <v>60.5</v>
      </c>
      <c r="Z1010" s="345">
        <v>2244.6</v>
      </c>
      <c r="AA1010">
        <f t="shared" si="15"/>
        <v>79</v>
      </c>
    </row>
    <row r="1011" spans="1:27" ht="28.8" x14ac:dyDescent="0.3">
      <c r="A1011" s="345" t="s">
        <v>2678</v>
      </c>
      <c r="B1011" s="805"/>
      <c r="C1011" s="802"/>
      <c r="D1011" s="802"/>
      <c r="E1011" s="803"/>
      <c r="F1011" s="805">
        <v>83</v>
      </c>
      <c r="G1011" s="803"/>
      <c r="H1011" s="345">
        <v>2547.9</v>
      </c>
      <c r="I1011" s="345">
        <v>0.5</v>
      </c>
      <c r="J1011" s="345">
        <v>115</v>
      </c>
      <c r="K1011" s="345">
        <v>2846.1</v>
      </c>
      <c r="L1011" s="346"/>
      <c r="M1011" s="346"/>
      <c r="N1011" s="346"/>
      <c r="O1011" s="345"/>
      <c r="P1011" s="345"/>
      <c r="Q1011" s="345"/>
      <c r="R1011" s="345">
        <v>0.4</v>
      </c>
      <c r="S1011" s="345">
        <v>79</v>
      </c>
      <c r="T1011" s="345">
        <v>1567.3</v>
      </c>
      <c r="U1011" s="345">
        <v>0.5</v>
      </c>
      <c r="V1011" s="345">
        <v>88.5</v>
      </c>
      <c r="W1011" s="345">
        <v>2496.5</v>
      </c>
      <c r="X1011" s="345">
        <v>0.5</v>
      </c>
      <c r="Y1011" s="345">
        <v>61</v>
      </c>
      <c r="Z1011" s="345">
        <v>2245.1</v>
      </c>
      <c r="AA1011">
        <f t="shared" si="15"/>
        <v>0.5</v>
      </c>
    </row>
    <row r="1012" spans="1:27" ht="28.8" x14ac:dyDescent="0.3">
      <c r="A1012" s="345" t="s">
        <v>2679</v>
      </c>
      <c r="B1012" s="805"/>
      <c r="C1012" s="802"/>
      <c r="D1012" s="802"/>
      <c r="E1012" s="803"/>
      <c r="F1012" s="805">
        <v>88.5</v>
      </c>
      <c r="G1012" s="803"/>
      <c r="H1012" s="345">
        <v>2553.4</v>
      </c>
      <c r="I1012" s="345">
        <v>8</v>
      </c>
      <c r="J1012" s="345">
        <v>123</v>
      </c>
      <c r="K1012" s="345">
        <v>2854.1</v>
      </c>
      <c r="L1012" s="346"/>
      <c r="M1012" s="346"/>
      <c r="N1012" s="346"/>
      <c r="O1012" s="345"/>
      <c r="P1012" s="345"/>
      <c r="Q1012" s="345"/>
      <c r="R1012" s="345">
        <v>6.8</v>
      </c>
      <c r="S1012" s="345">
        <v>85.8</v>
      </c>
      <c r="T1012" s="345">
        <v>1574.1</v>
      </c>
      <c r="U1012" s="345">
        <v>7.5</v>
      </c>
      <c r="V1012" s="345">
        <v>96</v>
      </c>
      <c r="W1012" s="345">
        <v>2504</v>
      </c>
      <c r="X1012" s="345">
        <v>6.5</v>
      </c>
      <c r="Y1012" s="345">
        <v>67.5</v>
      </c>
      <c r="Z1012" s="345">
        <v>2251.6</v>
      </c>
      <c r="AA1012">
        <f t="shared" si="15"/>
        <v>8</v>
      </c>
    </row>
    <row r="1013" spans="1:27" ht="28.8" x14ac:dyDescent="0.3">
      <c r="A1013" s="345" t="s">
        <v>2680</v>
      </c>
      <c r="B1013" s="805"/>
      <c r="C1013" s="802"/>
      <c r="D1013" s="802"/>
      <c r="E1013" s="803"/>
      <c r="F1013" s="805">
        <v>88.5</v>
      </c>
      <c r="G1013" s="803"/>
      <c r="H1013" s="345">
        <v>2553.4</v>
      </c>
      <c r="I1013" s="345">
        <v>0</v>
      </c>
      <c r="J1013" s="345">
        <v>123</v>
      </c>
      <c r="K1013" s="345">
        <v>2854.1</v>
      </c>
      <c r="L1013" s="346"/>
      <c r="M1013" s="346"/>
      <c r="N1013" s="346"/>
      <c r="O1013" s="345"/>
      <c r="P1013" s="345"/>
      <c r="Q1013" s="345"/>
      <c r="R1013" s="345">
        <v>0</v>
      </c>
      <c r="S1013" s="345">
        <v>85.8</v>
      </c>
      <c r="T1013" s="345">
        <v>1574.1</v>
      </c>
      <c r="U1013" s="345">
        <v>0</v>
      </c>
      <c r="V1013" s="345">
        <v>96</v>
      </c>
      <c r="W1013" s="345">
        <v>2504</v>
      </c>
      <c r="X1013" s="345">
        <v>0</v>
      </c>
      <c r="Y1013" s="345">
        <v>67.5</v>
      </c>
      <c r="Z1013" s="345">
        <v>2251.6</v>
      </c>
      <c r="AA1013">
        <f t="shared" si="15"/>
        <v>0</v>
      </c>
    </row>
    <row r="1014" spans="1:27" ht="28.8" x14ac:dyDescent="0.3">
      <c r="A1014" s="345" t="s">
        <v>2681</v>
      </c>
      <c r="B1014" s="805"/>
      <c r="C1014" s="802"/>
      <c r="D1014" s="802"/>
      <c r="E1014" s="803"/>
      <c r="F1014" s="805">
        <v>90.5</v>
      </c>
      <c r="G1014" s="803"/>
      <c r="H1014" s="345">
        <v>2555.4</v>
      </c>
      <c r="I1014" s="345">
        <v>2</v>
      </c>
      <c r="J1014" s="345">
        <v>125</v>
      </c>
      <c r="K1014" s="345">
        <v>2856.1</v>
      </c>
      <c r="L1014" s="346"/>
      <c r="M1014" s="346"/>
      <c r="N1014" s="346"/>
      <c r="O1014" s="345"/>
      <c r="P1014" s="345"/>
      <c r="Q1014" s="345"/>
      <c r="R1014" s="345">
        <v>1.6</v>
      </c>
      <c r="S1014" s="345">
        <v>87.4</v>
      </c>
      <c r="T1014" s="345">
        <v>1575.7</v>
      </c>
      <c r="U1014" s="345">
        <v>2</v>
      </c>
      <c r="V1014" s="345">
        <v>98</v>
      </c>
      <c r="W1014" s="345">
        <v>2506</v>
      </c>
      <c r="X1014" s="345">
        <v>1</v>
      </c>
      <c r="Y1014" s="345">
        <v>68.5</v>
      </c>
      <c r="Z1014" s="345">
        <v>2252.6</v>
      </c>
      <c r="AA1014">
        <f t="shared" si="15"/>
        <v>2</v>
      </c>
    </row>
    <row r="1015" spans="1:27" ht="28.8" x14ac:dyDescent="0.3">
      <c r="A1015" s="345" t="s">
        <v>2682</v>
      </c>
      <c r="B1015" s="805"/>
      <c r="C1015" s="802"/>
      <c r="D1015" s="802"/>
      <c r="E1015" s="803"/>
      <c r="F1015" s="805">
        <v>92.5</v>
      </c>
      <c r="G1015" s="803"/>
      <c r="H1015" s="345">
        <v>2557.4</v>
      </c>
      <c r="I1015" s="345">
        <v>3</v>
      </c>
      <c r="J1015" s="345">
        <v>128</v>
      </c>
      <c r="K1015" s="345">
        <v>2859.1</v>
      </c>
      <c r="L1015" s="346"/>
      <c r="M1015" s="346"/>
      <c r="N1015" s="346"/>
      <c r="O1015" s="345"/>
      <c r="P1015" s="345"/>
      <c r="Q1015" s="345"/>
      <c r="R1015" s="345">
        <v>1</v>
      </c>
      <c r="S1015" s="345">
        <v>88.4</v>
      </c>
      <c r="T1015" s="345">
        <v>1576.7</v>
      </c>
      <c r="U1015" s="345">
        <v>1.5</v>
      </c>
      <c r="V1015" s="345">
        <v>99.5</v>
      </c>
      <c r="W1015" s="345">
        <v>2507.5</v>
      </c>
      <c r="X1015" s="345">
        <v>1</v>
      </c>
      <c r="Y1015" s="345">
        <v>69.5</v>
      </c>
      <c r="Z1015" s="345">
        <v>2253.6</v>
      </c>
      <c r="AA1015">
        <f t="shared" si="15"/>
        <v>3</v>
      </c>
    </row>
    <row r="1016" spans="1:27" ht="28.8" x14ac:dyDescent="0.3">
      <c r="A1016" s="345" t="s">
        <v>2683</v>
      </c>
      <c r="B1016" s="805"/>
      <c r="C1016" s="802"/>
      <c r="D1016" s="802"/>
      <c r="E1016" s="803"/>
      <c r="F1016" s="805">
        <v>94.5</v>
      </c>
      <c r="G1016" s="803"/>
      <c r="H1016" s="345">
        <v>2559.4</v>
      </c>
      <c r="I1016" s="345">
        <v>1</v>
      </c>
      <c r="J1016" s="345">
        <v>129</v>
      </c>
      <c r="K1016" s="345">
        <v>2860.1</v>
      </c>
      <c r="L1016" s="346"/>
      <c r="M1016" s="346"/>
      <c r="N1016" s="346"/>
      <c r="O1016" s="345"/>
      <c r="P1016" s="345"/>
      <c r="Q1016" s="345"/>
      <c r="R1016" s="345">
        <v>0.6</v>
      </c>
      <c r="S1016" s="345">
        <v>89</v>
      </c>
      <c r="T1016" s="345">
        <v>1577.3</v>
      </c>
      <c r="U1016" s="345">
        <v>0.5</v>
      </c>
      <c r="V1016" s="345">
        <v>100</v>
      </c>
      <c r="W1016" s="345">
        <v>2508</v>
      </c>
      <c r="X1016" s="345">
        <v>0.5</v>
      </c>
      <c r="Y1016" s="345">
        <v>70</v>
      </c>
      <c r="Z1016" s="345">
        <v>2254.1</v>
      </c>
      <c r="AA1016">
        <f t="shared" si="15"/>
        <v>1</v>
      </c>
    </row>
    <row r="1017" spans="1:27" ht="28.8" x14ac:dyDescent="0.3">
      <c r="A1017" s="345" t="s">
        <v>2684</v>
      </c>
      <c r="B1017" s="805"/>
      <c r="C1017" s="802"/>
      <c r="D1017" s="802"/>
      <c r="E1017" s="803"/>
      <c r="F1017" s="805">
        <v>95.5</v>
      </c>
      <c r="G1017" s="803"/>
      <c r="H1017" s="345">
        <v>2560.4</v>
      </c>
      <c r="I1017" s="345">
        <v>0.5</v>
      </c>
      <c r="J1017" s="345">
        <v>129.5</v>
      </c>
      <c r="K1017" s="345">
        <v>2860.6</v>
      </c>
      <c r="L1017" s="346"/>
      <c r="M1017" s="346"/>
      <c r="N1017" s="346"/>
      <c r="O1017" s="345"/>
      <c r="P1017" s="345"/>
      <c r="Q1017" s="345"/>
      <c r="R1017" s="345">
        <v>0.2</v>
      </c>
      <c r="S1017" s="345">
        <v>89.2</v>
      </c>
      <c r="T1017" s="345">
        <v>1577.5</v>
      </c>
      <c r="U1017" s="345">
        <v>0.5</v>
      </c>
      <c r="V1017" s="345">
        <v>100.5</v>
      </c>
      <c r="W1017" s="345">
        <v>2508.5</v>
      </c>
      <c r="X1017" s="345">
        <v>0.5</v>
      </c>
      <c r="Y1017" s="345">
        <v>70.5</v>
      </c>
      <c r="Z1017" s="345">
        <v>2254.6</v>
      </c>
      <c r="AA1017">
        <f t="shared" si="15"/>
        <v>0.5</v>
      </c>
    </row>
    <row r="1018" spans="1:27" ht="28.8" x14ac:dyDescent="0.3">
      <c r="A1018" s="345" t="s">
        <v>2685</v>
      </c>
      <c r="B1018" s="805"/>
      <c r="C1018" s="802"/>
      <c r="D1018" s="802"/>
      <c r="E1018" s="803"/>
      <c r="F1018" s="805">
        <v>95.5</v>
      </c>
      <c r="G1018" s="803"/>
      <c r="H1018" s="345">
        <v>2560.4</v>
      </c>
      <c r="I1018" s="345">
        <v>0</v>
      </c>
      <c r="J1018" s="345">
        <v>129.5</v>
      </c>
      <c r="K1018" s="345">
        <v>2860.6</v>
      </c>
      <c r="L1018" s="346"/>
      <c r="M1018" s="346"/>
      <c r="N1018" s="346"/>
      <c r="O1018" s="345"/>
      <c r="P1018" s="345"/>
      <c r="Q1018" s="345"/>
      <c r="R1018" s="345">
        <v>0</v>
      </c>
      <c r="S1018" s="345">
        <v>89.2</v>
      </c>
      <c r="T1018" s="345">
        <v>1577.5</v>
      </c>
      <c r="U1018" s="345">
        <v>0</v>
      </c>
      <c r="V1018" s="345">
        <v>100.5</v>
      </c>
      <c r="W1018" s="345">
        <v>2508.5</v>
      </c>
      <c r="X1018" s="345">
        <v>0</v>
      </c>
      <c r="Y1018" s="345">
        <v>70.5</v>
      </c>
      <c r="Z1018" s="345">
        <v>2254.6</v>
      </c>
      <c r="AA1018">
        <f t="shared" si="15"/>
        <v>0</v>
      </c>
    </row>
    <row r="1019" spans="1:27" ht="28.8" x14ac:dyDescent="0.3">
      <c r="A1019" s="345" t="s">
        <v>2686</v>
      </c>
      <c r="B1019" s="805"/>
      <c r="C1019" s="802"/>
      <c r="D1019" s="802"/>
      <c r="E1019" s="803"/>
      <c r="F1019" s="805">
        <v>98</v>
      </c>
      <c r="G1019" s="803"/>
      <c r="H1019" s="345">
        <v>2562.9</v>
      </c>
      <c r="I1019" s="345">
        <v>4</v>
      </c>
      <c r="J1019" s="345">
        <v>133.5</v>
      </c>
      <c r="K1019" s="345">
        <v>2864.6</v>
      </c>
      <c r="L1019" s="346"/>
      <c r="M1019" s="346"/>
      <c r="N1019" s="346"/>
      <c r="O1019" s="345"/>
      <c r="P1019" s="345"/>
      <c r="Q1019" s="345"/>
      <c r="R1019" s="345">
        <v>3</v>
      </c>
      <c r="S1019" s="345">
        <v>92.2</v>
      </c>
      <c r="T1019" s="345">
        <v>1580.5</v>
      </c>
      <c r="U1019" s="345">
        <v>3</v>
      </c>
      <c r="V1019" s="345">
        <v>103.5</v>
      </c>
      <c r="W1019" s="345">
        <v>2511.5</v>
      </c>
      <c r="X1019" s="345">
        <v>2</v>
      </c>
      <c r="Y1019" s="345">
        <v>72.5</v>
      </c>
      <c r="Z1019" s="345">
        <v>2256.6</v>
      </c>
      <c r="AA1019">
        <f t="shared" si="15"/>
        <v>4</v>
      </c>
    </row>
    <row r="1020" spans="1:27" ht="28.8" x14ac:dyDescent="0.3">
      <c r="A1020" s="345" t="s">
        <v>2687</v>
      </c>
      <c r="B1020" s="805"/>
      <c r="C1020" s="802"/>
      <c r="D1020" s="802"/>
      <c r="E1020" s="803"/>
      <c r="F1020" s="805">
        <v>101</v>
      </c>
      <c r="G1020" s="803"/>
      <c r="H1020" s="345">
        <v>2565.9</v>
      </c>
      <c r="I1020" s="345">
        <v>2.5</v>
      </c>
      <c r="J1020" s="345">
        <v>136</v>
      </c>
      <c r="K1020" s="345">
        <v>2867.1</v>
      </c>
      <c r="L1020" s="346"/>
      <c r="M1020" s="346"/>
      <c r="N1020" s="346"/>
      <c r="O1020" s="345"/>
      <c r="P1020" s="345"/>
      <c r="Q1020" s="345"/>
      <c r="R1020" s="345">
        <v>2</v>
      </c>
      <c r="S1020" s="345">
        <v>94.2</v>
      </c>
      <c r="T1020" s="345">
        <v>1582.5</v>
      </c>
      <c r="U1020" s="345">
        <v>2.5</v>
      </c>
      <c r="V1020" s="345">
        <v>106</v>
      </c>
      <c r="W1020" s="345">
        <v>2514</v>
      </c>
      <c r="X1020" s="345">
        <v>3</v>
      </c>
      <c r="Y1020" s="345">
        <v>75.5</v>
      </c>
      <c r="Z1020" s="345">
        <v>2259.6</v>
      </c>
      <c r="AA1020">
        <f t="shared" si="15"/>
        <v>2.5</v>
      </c>
    </row>
    <row r="1021" spans="1:27" ht="28.8" x14ac:dyDescent="0.3">
      <c r="A1021" s="345" t="s">
        <v>2688</v>
      </c>
      <c r="B1021" s="805"/>
      <c r="C1021" s="802"/>
      <c r="D1021" s="802"/>
      <c r="E1021" s="803"/>
      <c r="F1021" s="805">
        <v>113.5</v>
      </c>
      <c r="G1021" s="803"/>
      <c r="H1021" s="345">
        <v>2578.4</v>
      </c>
      <c r="I1021" s="345">
        <v>2.5</v>
      </c>
      <c r="J1021" s="345">
        <v>138.5</v>
      </c>
      <c r="K1021" s="345">
        <v>2869.6</v>
      </c>
      <c r="L1021" s="346"/>
      <c r="M1021" s="346"/>
      <c r="N1021" s="346"/>
      <c r="O1021" s="345"/>
      <c r="P1021" s="345"/>
      <c r="Q1021" s="345"/>
      <c r="R1021" s="345">
        <v>26.8</v>
      </c>
      <c r="S1021" s="345">
        <v>121</v>
      </c>
      <c r="T1021" s="345">
        <v>1609.3</v>
      </c>
      <c r="U1021" s="345">
        <v>33</v>
      </c>
      <c r="V1021" s="345">
        <v>139</v>
      </c>
      <c r="W1021" s="345">
        <v>2547</v>
      </c>
      <c r="X1021" s="345">
        <v>16</v>
      </c>
      <c r="Y1021" s="345">
        <v>91.5</v>
      </c>
      <c r="Z1021" s="345">
        <v>2275.6</v>
      </c>
      <c r="AA1021">
        <f t="shared" si="15"/>
        <v>2.5</v>
      </c>
    </row>
    <row r="1022" spans="1:27" ht="28.8" x14ac:dyDescent="0.3">
      <c r="A1022" s="345" t="s">
        <v>2689</v>
      </c>
      <c r="B1022" s="805"/>
      <c r="C1022" s="802"/>
      <c r="D1022" s="802"/>
      <c r="E1022" s="803"/>
      <c r="F1022" s="805">
        <v>131</v>
      </c>
      <c r="G1022" s="803"/>
      <c r="H1022" s="345">
        <v>2595.9</v>
      </c>
      <c r="I1022" s="345">
        <v>15</v>
      </c>
      <c r="J1022" s="345">
        <v>153.5</v>
      </c>
      <c r="K1022" s="345">
        <v>2884.6</v>
      </c>
      <c r="L1022" s="346"/>
      <c r="M1022" s="346"/>
      <c r="N1022" s="346"/>
      <c r="O1022" s="345"/>
      <c r="P1022" s="345"/>
      <c r="Q1022" s="345"/>
      <c r="R1022" s="345">
        <v>13.8</v>
      </c>
      <c r="S1022" s="345">
        <v>134.80000000000001</v>
      </c>
      <c r="T1022" s="345">
        <v>1623.1</v>
      </c>
      <c r="U1022" s="345">
        <v>16.5</v>
      </c>
      <c r="V1022" s="345">
        <v>155.5</v>
      </c>
      <c r="W1022" s="345">
        <v>2563.5</v>
      </c>
      <c r="X1022" s="345">
        <v>12.5</v>
      </c>
      <c r="Y1022" s="345">
        <v>104</v>
      </c>
      <c r="Z1022" s="345">
        <v>2288.1</v>
      </c>
      <c r="AA1022">
        <f t="shared" si="15"/>
        <v>15</v>
      </c>
    </row>
    <row r="1023" spans="1:27" ht="28.8" x14ac:dyDescent="0.3">
      <c r="A1023" s="345" t="s">
        <v>2690</v>
      </c>
      <c r="B1023" s="805"/>
      <c r="C1023" s="802"/>
      <c r="D1023" s="802"/>
      <c r="E1023" s="803"/>
      <c r="F1023" s="805">
        <v>187.5</v>
      </c>
      <c r="G1023" s="803"/>
      <c r="H1023" s="345">
        <v>2652.4</v>
      </c>
      <c r="I1023" s="345">
        <v>50</v>
      </c>
      <c r="J1023" s="345">
        <v>203.5</v>
      </c>
      <c r="K1023" s="345">
        <v>2934.6</v>
      </c>
      <c r="L1023" s="346"/>
      <c r="M1023" s="346"/>
      <c r="N1023" s="346"/>
      <c r="O1023" s="345"/>
      <c r="P1023" s="345"/>
      <c r="Q1023" s="345"/>
      <c r="R1023" s="345">
        <v>38.799999999999997</v>
      </c>
      <c r="S1023" s="345">
        <v>173.6</v>
      </c>
      <c r="T1023" s="345">
        <v>1661.9</v>
      </c>
      <c r="U1023" s="345">
        <v>49</v>
      </c>
      <c r="V1023" s="345">
        <v>204.5</v>
      </c>
      <c r="W1023" s="345">
        <v>2612.5</v>
      </c>
      <c r="X1023" s="345">
        <v>45</v>
      </c>
      <c r="Y1023" s="345">
        <v>149</v>
      </c>
      <c r="Z1023" s="345">
        <v>2333.1</v>
      </c>
      <c r="AA1023">
        <f t="shared" si="15"/>
        <v>50</v>
      </c>
    </row>
    <row r="1024" spans="1:27" ht="28.8" x14ac:dyDescent="0.3">
      <c r="A1024" s="345" t="s">
        <v>2691</v>
      </c>
      <c r="B1024" s="805"/>
      <c r="C1024" s="802"/>
      <c r="D1024" s="802"/>
      <c r="E1024" s="803"/>
      <c r="F1024" s="805">
        <v>201.5</v>
      </c>
      <c r="G1024" s="803"/>
      <c r="H1024" s="345">
        <v>2666.4</v>
      </c>
      <c r="I1024" s="345">
        <v>14.5</v>
      </c>
      <c r="J1024" s="345">
        <v>218</v>
      </c>
      <c r="K1024" s="345">
        <v>2949.1</v>
      </c>
      <c r="L1024" s="346"/>
      <c r="M1024" s="346"/>
      <c r="N1024" s="346"/>
      <c r="O1024" s="345"/>
      <c r="P1024" s="345"/>
      <c r="Q1024" s="345"/>
      <c r="R1024" s="345">
        <v>13</v>
      </c>
      <c r="S1024" s="345">
        <v>186.6</v>
      </c>
      <c r="T1024" s="345">
        <v>1674.9</v>
      </c>
      <c r="U1024" s="345">
        <v>14</v>
      </c>
      <c r="V1024" s="345">
        <v>218.5</v>
      </c>
      <c r="W1024" s="345">
        <v>2626.5</v>
      </c>
      <c r="X1024" s="345">
        <v>8.5</v>
      </c>
      <c r="Y1024" s="345">
        <v>157.5</v>
      </c>
      <c r="Z1024" s="345">
        <v>2341.6</v>
      </c>
      <c r="AA1024">
        <f t="shared" si="15"/>
        <v>14.5</v>
      </c>
    </row>
    <row r="1025" spans="1:27" ht="28.8" x14ac:dyDescent="0.3">
      <c r="A1025" s="345" t="s">
        <v>2692</v>
      </c>
      <c r="B1025" s="805"/>
      <c r="C1025" s="802"/>
      <c r="D1025" s="802"/>
      <c r="E1025" s="803"/>
      <c r="F1025" s="805">
        <v>201.5</v>
      </c>
      <c r="G1025" s="803"/>
      <c r="H1025" s="345">
        <v>2666.4</v>
      </c>
      <c r="I1025" s="345">
        <v>0.5</v>
      </c>
      <c r="J1025" s="345">
        <v>218.5</v>
      </c>
      <c r="K1025" s="345">
        <v>2949.6</v>
      </c>
      <c r="L1025" s="346"/>
      <c r="M1025" s="346"/>
      <c r="N1025" s="346"/>
      <c r="O1025" s="345"/>
      <c r="P1025" s="345"/>
      <c r="Q1025" s="345"/>
      <c r="R1025" s="345">
        <v>0.2</v>
      </c>
      <c r="S1025" s="345">
        <v>186.8</v>
      </c>
      <c r="T1025" s="345">
        <v>1675.1</v>
      </c>
      <c r="U1025" s="345">
        <v>0.5</v>
      </c>
      <c r="V1025" s="345">
        <v>219</v>
      </c>
      <c r="W1025" s="345">
        <v>2627</v>
      </c>
      <c r="X1025" s="345">
        <v>0</v>
      </c>
      <c r="Y1025" s="345">
        <v>157.5</v>
      </c>
      <c r="Z1025" s="345">
        <v>2341.6</v>
      </c>
      <c r="AA1025">
        <f t="shared" si="15"/>
        <v>0.5</v>
      </c>
    </row>
    <row r="1026" spans="1:27" ht="28.8" x14ac:dyDescent="0.3">
      <c r="A1026" s="345" t="s">
        <v>2693</v>
      </c>
      <c r="B1026" s="805"/>
      <c r="C1026" s="802"/>
      <c r="D1026" s="802"/>
      <c r="E1026" s="803"/>
      <c r="F1026" s="805">
        <v>201.5</v>
      </c>
      <c r="G1026" s="803"/>
      <c r="H1026" s="345">
        <v>2666.4</v>
      </c>
      <c r="I1026" s="345">
        <v>0</v>
      </c>
      <c r="J1026" s="345">
        <v>218.5</v>
      </c>
      <c r="K1026" s="345">
        <v>2949.6</v>
      </c>
      <c r="L1026" s="346"/>
      <c r="M1026" s="346"/>
      <c r="N1026" s="346"/>
      <c r="O1026" s="345"/>
      <c r="P1026" s="345"/>
      <c r="Q1026" s="345"/>
      <c r="R1026" s="345">
        <v>0</v>
      </c>
      <c r="S1026" s="345">
        <v>186.8</v>
      </c>
      <c r="T1026" s="345">
        <v>1675.1</v>
      </c>
      <c r="U1026" s="345">
        <v>0</v>
      </c>
      <c r="V1026" s="345">
        <v>219</v>
      </c>
      <c r="W1026" s="345">
        <v>2627</v>
      </c>
      <c r="X1026" s="345">
        <v>0</v>
      </c>
      <c r="Y1026" s="345">
        <v>157.5</v>
      </c>
      <c r="Z1026" s="345">
        <v>2341.6</v>
      </c>
      <c r="AA1026">
        <f t="shared" si="15"/>
        <v>0</v>
      </c>
    </row>
    <row r="1027" spans="1:27" ht="28.8" x14ac:dyDescent="0.3">
      <c r="A1027" s="345" t="s">
        <v>2694</v>
      </c>
      <c r="B1027" s="805"/>
      <c r="C1027" s="802"/>
      <c r="D1027" s="802"/>
      <c r="E1027" s="803"/>
      <c r="F1027" s="805">
        <v>201.5</v>
      </c>
      <c r="G1027" s="803"/>
      <c r="H1027" s="345">
        <v>2666.4</v>
      </c>
      <c r="I1027" s="345">
        <v>0</v>
      </c>
      <c r="J1027" s="345">
        <v>218.5</v>
      </c>
      <c r="K1027" s="345">
        <v>2949.6</v>
      </c>
      <c r="L1027" s="346"/>
      <c r="M1027" s="346"/>
      <c r="N1027" s="346"/>
      <c r="O1027" s="345"/>
      <c r="P1027" s="345"/>
      <c r="Q1027" s="345"/>
      <c r="R1027" s="345">
        <v>0</v>
      </c>
      <c r="S1027" s="345">
        <v>186.8</v>
      </c>
      <c r="T1027" s="345">
        <v>1675.1</v>
      </c>
      <c r="U1027" s="345">
        <v>0</v>
      </c>
      <c r="V1027" s="345">
        <v>219</v>
      </c>
      <c r="W1027" s="345">
        <v>2627</v>
      </c>
      <c r="X1027" s="345">
        <v>0</v>
      </c>
      <c r="Y1027" s="345">
        <v>157.5</v>
      </c>
      <c r="Z1027" s="345">
        <v>2341.6</v>
      </c>
      <c r="AA1027">
        <f t="shared" si="15"/>
        <v>0</v>
      </c>
    </row>
    <row r="1028" spans="1:27" ht="28.8" x14ac:dyDescent="0.3">
      <c r="A1028" s="345" t="s">
        <v>2695</v>
      </c>
      <c r="B1028" s="805"/>
      <c r="C1028" s="802"/>
      <c r="D1028" s="802"/>
      <c r="E1028" s="803"/>
      <c r="F1028" s="805">
        <v>201.5</v>
      </c>
      <c r="G1028" s="803"/>
      <c r="H1028" s="345">
        <v>2666.4</v>
      </c>
      <c r="I1028" s="345">
        <v>0</v>
      </c>
      <c r="J1028" s="345">
        <v>218.5</v>
      </c>
      <c r="K1028" s="345">
        <v>2949.6</v>
      </c>
      <c r="L1028" s="346"/>
      <c r="M1028" s="346"/>
      <c r="N1028" s="346"/>
      <c r="O1028" s="345"/>
      <c r="P1028" s="345"/>
      <c r="Q1028" s="345"/>
      <c r="R1028" s="345">
        <v>0</v>
      </c>
      <c r="S1028" s="345">
        <v>186.8</v>
      </c>
      <c r="T1028" s="345">
        <v>1675.1</v>
      </c>
      <c r="U1028" s="345">
        <v>0</v>
      </c>
      <c r="V1028" s="345">
        <v>219</v>
      </c>
      <c r="W1028" s="345">
        <v>2627</v>
      </c>
      <c r="X1028" s="345">
        <v>0</v>
      </c>
      <c r="Y1028" s="345">
        <v>157.5</v>
      </c>
      <c r="Z1028" s="345">
        <v>2341.6</v>
      </c>
      <c r="AA1028">
        <f t="shared" si="15"/>
        <v>0</v>
      </c>
    </row>
    <row r="1029" spans="1:27" ht="28.8" x14ac:dyDescent="0.3">
      <c r="A1029" s="345" t="s">
        <v>2696</v>
      </c>
      <c r="B1029" s="805"/>
      <c r="C1029" s="802"/>
      <c r="D1029" s="802"/>
      <c r="E1029" s="803"/>
      <c r="F1029" s="805">
        <v>201.5</v>
      </c>
      <c r="G1029" s="803"/>
      <c r="H1029" s="345">
        <v>2666.4</v>
      </c>
      <c r="I1029" s="345">
        <v>0</v>
      </c>
      <c r="J1029" s="345">
        <v>218.5</v>
      </c>
      <c r="K1029" s="345">
        <v>2949.6</v>
      </c>
      <c r="L1029" s="346"/>
      <c r="M1029" s="346"/>
      <c r="N1029" s="346"/>
      <c r="O1029" s="345"/>
      <c r="P1029" s="345"/>
      <c r="Q1029" s="345"/>
      <c r="R1029" s="345">
        <v>0</v>
      </c>
      <c r="S1029" s="345">
        <v>186.8</v>
      </c>
      <c r="T1029" s="345">
        <v>1675.1</v>
      </c>
      <c r="U1029" s="345">
        <v>0</v>
      </c>
      <c r="V1029" s="345">
        <v>219</v>
      </c>
      <c r="W1029" s="345">
        <v>2627</v>
      </c>
      <c r="X1029" s="345">
        <v>0</v>
      </c>
      <c r="Y1029" s="345">
        <v>157.5</v>
      </c>
      <c r="Z1029" s="345">
        <v>2341.6</v>
      </c>
      <c r="AA1029">
        <f t="shared" si="15"/>
        <v>0</v>
      </c>
    </row>
    <row r="1030" spans="1:27" ht="28.8" x14ac:dyDescent="0.3">
      <c r="A1030" s="345" t="s">
        <v>2697</v>
      </c>
      <c r="B1030" s="805"/>
      <c r="C1030" s="802"/>
      <c r="D1030" s="802"/>
      <c r="E1030" s="803"/>
      <c r="F1030" s="805">
        <v>228.5</v>
      </c>
      <c r="G1030" s="803"/>
      <c r="H1030" s="345">
        <v>2693.4</v>
      </c>
      <c r="I1030" s="345">
        <v>29</v>
      </c>
      <c r="J1030" s="345">
        <v>247.5</v>
      </c>
      <c r="K1030" s="345">
        <v>2978.6</v>
      </c>
      <c r="L1030" s="346"/>
      <c r="M1030" s="346"/>
      <c r="N1030" s="346"/>
      <c r="O1030" s="345"/>
      <c r="P1030" s="345"/>
      <c r="Q1030" s="345"/>
      <c r="R1030" s="345">
        <v>34</v>
      </c>
      <c r="S1030" s="345">
        <v>220.8</v>
      </c>
      <c r="T1030" s="345">
        <v>1709.1</v>
      </c>
      <c r="U1030" s="345">
        <v>41.5</v>
      </c>
      <c r="V1030" s="345">
        <v>260.5</v>
      </c>
      <c r="W1030" s="345">
        <v>2668.5</v>
      </c>
      <c r="X1030" s="345">
        <v>34.5</v>
      </c>
      <c r="Y1030" s="345">
        <v>192</v>
      </c>
      <c r="Z1030" s="345">
        <v>2376.1</v>
      </c>
      <c r="AA1030">
        <f t="shared" si="15"/>
        <v>29</v>
      </c>
    </row>
    <row r="1031" spans="1:27" ht="28.8" x14ac:dyDescent="0.3">
      <c r="A1031" s="345" t="s">
        <v>2698</v>
      </c>
      <c r="B1031" s="805"/>
      <c r="C1031" s="802"/>
      <c r="D1031" s="802"/>
      <c r="E1031" s="803"/>
      <c r="F1031" s="805">
        <v>228.5</v>
      </c>
      <c r="G1031" s="803"/>
      <c r="H1031" s="345">
        <v>2693.4</v>
      </c>
      <c r="I1031" s="345">
        <v>0</v>
      </c>
      <c r="J1031" s="345">
        <v>247.5</v>
      </c>
      <c r="K1031" s="345">
        <v>2978.6</v>
      </c>
      <c r="L1031" s="346"/>
      <c r="M1031" s="346"/>
      <c r="N1031" s="346"/>
      <c r="O1031" s="345"/>
      <c r="P1031" s="345"/>
      <c r="Q1031" s="345"/>
      <c r="R1031" s="345">
        <v>0</v>
      </c>
      <c r="S1031" s="345">
        <v>220.8</v>
      </c>
      <c r="T1031" s="345">
        <v>1709.1</v>
      </c>
      <c r="U1031" s="345">
        <v>0</v>
      </c>
      <c r="V1031" s="345">
        <v>260.5</v>
      </c>
      <c r="W1031" s="345">
        <v>2668.5</v>
      </c>
      <c r="X1031" s="345">
        <v>0</v>
      </c>
      <c r="Y1031" s="345">
        <v>192</v>
      </c>
      <c r="Z1031" s="345">
        <v>2376.1</v>
      </c>
      <c r="AA1031">
        <f t="shared" si="15"/>
        <v>0</v>
      </c>
    </row>
    <row r="1032" spans="1:27" ht="28.8" x14ac:dyDescent="0.3">
      <c r="A1032" s="345" t="s">
        <v>2699</v>
      </c>
      <c r="B1032" s="805"/>
      <c r="C1032" s="802"/>
      <c r="D1032" s="802"/>
      <c r="E1032" s="803"/>
      <c r="F1032" s="805">
        <v>228.5</v>
      </c>
      <c r="G1032" s="803"/>
      <c r="H1032" s="345">
        <v>2693.4</v>
      </c>
      <c r="I1032" s="345">
        <v>0</v>
      </c>
      <c r="J1032" s="345">
        <v>247.5</v>
      </c>
      <c r="K1032" s="345">
        <v>2978.6</v>
      </c>
      <c r="L1032" s="346"/>
      <c r="M1032" s="346"/>
      <c r="N1032" s="346"/>
      <c r="O1032" s="345"/>
      <c r="P1032" s="345"/>
      <c r="Q1032" s="345"/>
      <c r="R1032" s="345">
        <v>0</v>
      </c>
      <c r="S1032" s="345">
        <v>220.8</v>
      </c>
      <c r="T1032" s="345">
        <v>1709.1</v>
      </c>
      <c r="U1032" s="345">
        <v>0</v>
      </c>
      <c r="V1032" s="345">
        <v>260.5</v>
      </c>
      <c r="W1032" s="345">
        <v>2668.5</v>
      </c>
      <c r="X1032" s="345">
        <v>0</v>
      </c>
      <c r="Y1032" s="345">
        <v>192</v>
      </c>
      <c r="Z1032" s="345">
        <v>2376.1</v>
      </c>
      <c r="AA1032">
        <f t="shared" si="15"/>
        <v>0</v>
      </c>
    </row>
    <row r="1033" spans="1:27" ht="28.8" x14ac:dyDescent="0.3">
      <c r="A1033" s="345" t="s">
        <v>2700</v>
      </c>
      <c r="B1033" s="805"/>
      <c r="C1033" s="802"/>
      <c r="D1033" s="802"/>
      <c r="E1033" s="803"/>
      <c r="F1033" s="805">
        <v>228.5</v>
      </c>
      <c r="G1033" s="803"/>
      <c r="H1033" s="345">
        <v>2693.4</v>
      </c>
      <c r="I1033" s="345">
        <v>0</v>
      </c>
      <c r="J1033" s="345">
        <v>247.5</v>
      </c>
      <c r="K1033" s="345">
        <v>2978.6</v>
      </c>
      <c r="L1033" s="346"/>
      <c r="M1033" s="346"/>
      <c r="N1033" s="346"/>
      <c r="O1033" s="345"/>
      <c r="P1033" s="345"/>
      <c r="Q1033" s="345"/>
      <c r="R1033" s="345">
        <v>0.2</v>
      </c>
      <c r="S1033" s="345">
        <v>221</v>
      </c>
      <c r="T1033" s="345">
        <v>1709.3</v>
      </c>
      <c r="U1033" s="345">
        <v>0</v>
      </c>
      <c r="V1033" s="345">
        <v>260.5</v>
      </c>
      <c r="W1033" s="345">
        <v>2668.5</v>
      </c>
      <c r="X1033" s="345">
        <v>0</v>
      </c>
      <c r="Y1033" s="345">
        <v>192</v>
      </c>
      <c r="Z1033" s="345">
        <v>2376.1</v>
      </c>
      <c r="AA1033">
        <f t="shared" si="15"/>
        <v>0</v>
      </c>
    </row>
    <row r="1034" spans="1:27" ht="28.8" x14ac:dyDescent="0.3">
      <c r="A1034" s="345" t="s">
        <v>2701</v>
      </c>
      <c r="B1034" s="805"/>
      <c r="C1034" s="802"/>
      <c r="D1034" s="802"/>
      <c r="E1034" s="803"/>
      <c r="F1034" s="805">
        <v>229.5</v>
      </c>
      <c r="G1034" s="803"/>
      <c r="H1034" s="345">
        <v>2694.4</v>
      </c>
      <c r="I1034" s="345">
        <v>1</v>
      </c>
      <c r="J1034" s="345">
        <v>248.5</v>
      </c>
      <c r="K1034" s="345">
        <v>2979.6</v>
      </c>
      <c r="L1034" s="346"/>
      <c r="M1034" s="346"/>
      <c r="N1034" s="346"/>
      <c r="O1034" s="345"/>
      <c r="P1034" s="345"/>
      <c r="Q1034" s="345"/>
      <c r="R1034" s="345">
        <v>0.2</v>
      </c>
      <c r="S1034" s="345">
        <v>221.2</v>
      </c>
      <c r="T1034" s="345">
        <v>1709.5</v>
      </c>
      <c r="U1034" s="345">
        <v>0.5</v>
      </c>
      <c r="V1034" s="345">
        <v>261</v>
      </c>
      <c r="W1034" s="345">
        <v>2669</v>
      </c>
      <c r="X1034" s="345">
        <v>0.5</v>
      </c>
      <c r="Y1034" s="345">
        <v>192.5</v>
      </c>
      <c r="Z1034" s="345">
        <v>2376.6</v>
      </c>
      <c r="AA1034">
        <f t="shared" si="15"/>
        <v>1</v>
      </c>
    </row>
    <row r="1035" spans="1:27" ht="28.8" x14ac:dyDescent="0.3">
      <c r="A1035" s="345" t="s">
        <v>2702</v>
      </c>
      <c r="B1035" s="805"/>
      <c r="C1035" s="802"/>
      <c r="D1035" s="802"/>
      <c r="E1035" s="803"/>
      <c r="F1035" s="805">
        <v>235.5</v>
      </c>
      <c r="G1035" s="803"/>
      <c r="H1035" s="345">
        <v>2700.4</v>
      </c>
      <c r="I1035" s="345">
        <v>7.5</v>
      </c>
      <c r="J1035" s="345">
        <v>256</v>
      </c>
      <c r="K1035" s="345">
        <v>2987.1</v>
      </c>
      <c r="L1035" s="346"/>
      <c r="M1035" s="346"/>
      <c r="N1035" s="346"/>
      <c r="O1035" s="345"/>
      <c r="P1035" s="345"/>
      <c r="Q1035" s="345"/>
      <c r="R1035" s="345">
        <v>5.8</v>
      </c>
      <c r="S1035" s="345">
        <v>227</v>
      </c>
      <c r="T1035" s="345">
        <v>1715.3</v>
      </c>
      <c r="U1035" s="345">
        <v>6.5</v>
      </c>
      <c r="V1035" s="345">
        <v>267.5</v>
      </c>
      <c r="W1035" s="345">
        <v>2675.5</v>
      </c>
      <c r="X1035" s="345">
        <v>6</v>
      </c>
      <c r="Y1035" s="345">
        <v>198.5</v>
      </c>
      <c r="Z1035" s="345">
        <v>2382.6</v>
      </c>
      <c r="AA1035">
        <f t="shared" si="15"/>
        <v>7.5</v>
      </c>
    </row>
    <row r="1036" spans="1:27" ht="28.8" x14ac:dyDescent="0.3">
      <c r="A1036" s="345" t="s">
        <v>2703</v>
      </c>
      <c r="B1036" s="805"/>
      <c r="C1036" s="802"/>
      <c r="D1036" s="802"/>
      <c r="E1036" s="803"/>
      <c r="F1036" s="805">
        <v>255.5</v>
      </c>
      <c r="G1036" s="803"/>
      <c r="H1036" s="345">
        <v>2720.4</v>
      </c>
      <c r="I1036" s="345">
        <v>24</v>
      </c>
      <c r="J1036" s="345">
        <v>280</v>
      </c>
      <c r="K1036" s="345">
        <v>3011.1</v>
      </c>
      <c r="L1036" s="346"/>
      <c r="M1036" s="346"/>
      <c r="N1036" s="346"/>
      <c r="O1036" s="345"/>
      <c r="P1036" s="345"/>
      <c r="Q1036" s="345"/>
      <c r="R1036" s="345">
        <v>15.8</v>
      </c>
      <c r="S1036" s="345">
        <v>242.8</v>
      </c>
      <c r="T1036" s="345">
        <v>1731.1</v>
      </c>
      <c r="U1036" s="345">
        <v>16.5</v>
      </c>
      <c r="V1036" s="345">
        <v>284</v>
      </c>
      <c r="W1036" s="345">
        <v>2692</v>
      </c>
      <c r="X1036" s="345">
        <v>15.5</v>
      </c>
      <c r="Y1036" s="345">
        <v>214</v>
      </c>
      <c r="Z1036" s="345">
        <v>2398.1</v>
      </c>
      <c r="AA1036">
        <f t="shared" ref="AA1036:AA1099" si="16">MAX(B1036+I1036+L1036+O1036)</f>
        <v>24</v>
      </c>
    </row>
    <row r="1037" spans="1:27" s="362" customFormat="1" ht="28.8" x14ac:dyDescent="0.3">
      <c r="A1037" s="359" t="s">
        <v>2704</v>
      </c>
      <c r="B1037" s="811"/>
      <c r="C1037" s="812"/>
      <c r="D1037" s="812"/>
      <c r="E1037" s="813"/>
      <c r="F1037" s="811">
        <v>261.5</v>
      </c>
      <c r="G1037" s="813"/>
      <c r="H1037" s="359">
        <v>2726.4</v>
      </c>
      <c r="I1037" s="359">
        <v>6.5</v>
      </c>
      <c r="J1037" s="359">
        <v>286.5</v>
      </c>
      <c r="K1037" s="359">
        <v>3017.6</v>
      </c>
      <c r="L1037" s="359"/>
      <c r="M1037" s="359"/>
      <c r="N1037" s="359"/>
      <c r="O1037" s="359"/>
      <c r="P1037" s="359"/>
      <c r="Q1037" s="359"/>
      <c r="R1037" s="359">
        <v>5.4</v>
      </c>
      <c r="S1037" s="359">
        <v>248.2</v>
      </c>
      <c r="T1037" s="359">
        <v>1736.5</v>
      </c>
      <c r="U1037" s="359">
        <v>5.5</v>
      </c>
      <c r="V1037" s="359">
        <v>289.5</v>
      </c>
      <c r="W1037" s="359">
        <v>2697.5</v>
      </c>
      <c r="X1037" s="359">
        <v>4</v>
      </c>
      <c r="Y1037" s="359">
        <v>218</v>
      </c>
      <c r="Z1037" s="359">
        <v>2402.1</v>
      </c>
      <c r="AA1037" s="362">
        <f t="shared" si="16"/>
        <v>6.5</v>
      </c>
    </row>
    <row r="1038" spans="1:27" ht="28.8" x14ac:dyDescent="0.3">
      <c r="A1038" s="345" t="s">
        <v>2705</v>
      </c>
      <c r="B1038" s="805"/>
      <c r="C1038" s="802"/>
      <c r="D1038" s="802"/>
      <c r="E1038" s="803"/>
      <c r="F1038" s="805">
        <v>0</v>
      </c>
      <c r="G1038" s="803"/>
      <c r="H1038" s="345">
        <v>2726.4</v>
      </c>
      <c r="I1038" s="345">
        <v>0</v>
      </c>
      <c r="J1038" s="345">
        <v>0</v>
      </c>
      <c r="K1038" s="345">
        <v>3017.6</v>
      </c>
      <c r="L1038" s="346"/>
      <c r="M1038" s="346"/>
      <c r="N1038" s="346"/>
      <c r="O1038" s="345"/>
      <c r="P1038" s="345"/>
      <c r="Q1038" s="345"/>
      <c r="R1038" s="345">
        <v>0</v>
      </c>
      <c r="S1038" s="345">
        <v>0</v>
      </c>
      <c r="T1038" s="345">
        <v>1736.5</v>
      </c>
      <c r="U1038" s="345">
        <v>0</v>
      </c>
      <c r="V1038" s="345">
        <v>0</v>
      </c>
      <c r="W1038" s="345">
        <v>2697.5</v>
      </c>
      <c r="X1038" s="345">
        <v>0</v>
      </c>
      <c r="Y1038" s="345">
        <v>0</v>
      </c>
      <c r="Z1038" s="345">
        <v>2402.1</v>
      </c>
      <c r="AA1038">
        <f t="shared" si="16"/>
        <v>0</v>
      </c>
    </row>
    <row r="1039" spans="1:27" ht="28.8" x14ac:dyDescent="0.3">
      <c r="A1039" s="345" t="s">
        <v>2706</v>
      </c>
      <c r="B1039" s="805"/>
      <c r="C1039" s="802"/>
      <c r="D1039" s="802"/>
      <c r="E1039" s="803"/>
      <c r="F1039" s="805">
        <v>2</v>
      </c>
      <c r="G1039" s="803"/>
      <c r="H1039" s="345">
        <v>2728.4</v>
      </c>
      <c r="I1039" s="345">
        <v>1.5</v>
      </c>
      <c r="J1039" s="345">
        <v>1.5</v>
      </c>
      <c r="K1039" s="345">
        <v>3019.1</v>
      </c>
      <c r="L1039" s="346"/>
      <c r="M1039" s="346"/>
      <c r="N1039" s="346"/>
      <c r="O1039" s="345"/>
      <c r="P1039" s="345"/>
      <c r="Q1039" s="345"/>
      <c r="R1039" s="345">
        <v>1.2</v>
      </c>
      <c r="S1039" s="345">
        <v>1.2</v>
      </c>
      <c r="T1039" s="345">
        <v>1737.7</v>
      </c>
      <c r="U1039" s="345">
        <v>1.5</v>
      </c>
      <c r="V1039" s="345">
        <v>1.5</v>
      </c>
      <c r="W1039" s="345">
        <v>2699</v>
      </c>
      <c r="X1039" s="345">
        <v>1</v>
      </c>
      <c r="Y1039" s="345">
        <v>1</v>
      </c>
      <c r="Z1039" s="345">
        <v>2403.1</v>
      </c>
      <c r="AA1039">
        <f t="shared" si="16"/>
        <v>1.5</v>
      </c>
    </row>
    <row r="1040" spans="1:27" ht="28.8" x14ac:dyDescent="0.3">
      <c r="A1040" s="345" t="s">
        <v>2707</v>
      </c>
      <c r="B1040" s="805"/>
      <c r="C1040" s="802"/>
      <c r="D1040" s="802"/>
      <c r="E1040" s="803"/>
      <c r="F1040" s="805">
        <v>6.5</v>
      </c>
      <c r="G1040" s="803"/>
      <c r="H1040" s="345">
        <v>2732.9</v>
      </c>
      <c r="I1040" s="345">
        <v>5</v>
      </c>
      <c r="J1040" s="345">
        <v>6.5</v>
      </c>
      <c r="K1040" s="345">
        <v>3024.1</v>
      </c>
      <c r="L1040" s="346"/>
      <c r="M1040" s="346"/>
      <c r="N1040" s="346"/>
      <c r="O1040" s="345"/>
      <c r="P1040" s="345"/>
      <c r="Q1040" s="345"/>
      <c r="R1040" s="345">
        <v>2.2000000000000002</v>
      </c>
      <c r="S1040" s="345">
        <v>3.4</v>
      </c>
      <c r="T1040" s="345">
        <v>1739.9</v>
      </c>
      <c r="U1040" s="345">
        <v>3.5</v>
      </c>
      <c r="V1040" s="345">
        <v>5</v>
      </c>
      <c r="W1040" s="345">
        <v>2702.5</v>
      </c>
      <c r="X1040" s="345">
        <v>3</v>
      </c>
      <c r="Y1040" s="345">
        <v>4</v>
      </c>
      <c r="Z1040" s="345">
        <v>2406.1</v>
      </c>
      <c r="AA1040">
        <f t="shared" si="16"/>
        <v>5</v>
      </c>
    </row>
    <row r="1041" spans="1:27" ht="28.8" x14ac:dyDescent="0.3">
      <c r="A1041" s="345" t="s">
        <v>2708</v>
      </c>
      <c r="B1041" s="805"/>
      <c r="C1041" s="802"/>
      <c r="D1041" s="802"/>
      <c r="E1041" s="803"/>
      <c r="F1041" s="805">
        <v>11.5</v>
      </c>
      <c r="G1041" s="803"/>
      <c r="H1041" s="345">
        <v>2737.9</v>
      </c>
      <c r="I1041" s="345">
        <v>20</v>
      </c>
      <c r="J1041" s="345">
        <v>26.5</v>
      </c>
      <c r="K1041" s="345">
        <v>3044.1</v>
      </c>
      <c r="L1041" s="346"/>
      <c r="M1041" s="346"/>
      <c r="N1041" s="346"/>
      <c r="O1041" s="345"/>
      <c r="P1041" s="345"/>
      <c r="Q1041" s="345"/>
      <c r="R1041" s="345">
        <v>9.6</v>
      </c>
      <c r="S1041" s="345">
        <v>13</v>
      </c>
      <c r="T1041" s="345">
        <v>1749.5</v>
      </c>
      <c r="U1041" s="345">
        <v>10</v>
      </c>
      <c r="V1041" s="345">
        <v>15</v>
      </c>
      <c r="W1041" s="345">
        <v>2712.5</v>
      </c>
      <c r="X1041" s="345">
        <v>6</v>
      </c>
      <c r="Y1041" s="345">
        <v>10</v>
      </c>
      <c r="Z1041" s="345">
        <v>2412.1</v>
      </c>
      <c r="AA1041">
        <f t="shared" si="16"/>
        <v>20</v>
      </c>
    </row>
    <row r="1042" spans="1:27" ht="28.8" x14ac:dyDescent="0.3">
      <c r="A1042" s="345" t="s">
        <v>2709</v>
      </c>
      <c r="B1042" s="805"/>
      <c r="C1042" s="802"/>
      <c r="D1042" s="802"/>
      <c r="E1042" s="803"/>
      <c r="F1042" s="805">
        <v>24.5</v>
      </c>
      <c r="G1042" s="803"/>
      <c r="H1042" s="345">
        <v>2750.9</v>
      </c>
      <c r="I1042" s="345">
        <v>9</v>
      </c>
      <c r="J1042" s="345">
        <v>35.5</v>
      </c>
      <c r="K1042" s="345">
        <v>3053.1</v>
      </c>
      <c r="L1042" s="346"/>
      <c r="M1042" s="346"/>
      <c r="N1042" s="346"/>
      <c r="O1042" s="345"/>
      <c r="P1042" s="345"/>
      <c r="Q1042" s="345"/>
      <c r="R1042" s="345">
        <v>11.6</v>
      </c>
      <c r="S1042" s="345">
        <v>24.6</v>
      </c>
      <c r="T1042" s="345">
        <v>1761.1</v>
      </c>
      <c r="U1042" s="345">
        <v>13</v>
      </c>
      <c r="V1042" s="345">
        <v>28</v>
      </c>
      <c r="W1042" s="345">
        <v>2725.5</v>
      </c>
      <c r="X1042" s="345">
        <v>13</v>
      </c>
      <c r="Y1042" s="345">
        <v>23</v>
      </c>
      <c r="Z1042" s="345">
        <v>2425.1</v>
      </c>
      <c r="AA1042">
        <f t="shared" si="16"/>
        <v>9</v>
      </c>
    </row>
    <row r="1043" spans="1:27" ht="28.8" x14ac:dyDescent="0.3">
      <c r="A1043" s="345" t="s">
        <v>2710</v>
      </c>
      <c r="B1043" s="805"/>
      <c r="C1043" s="802"/>
      <c r="D1043" s="802"/>
      <c r="E1043" s="803"/>
      <c r="F1043" s="805">
        <v>25</v>
      </c>
      <c r="G1043" s="803"/>
      <c r="H1043" s="345">
        <v>2751.4</v>
      </c>
      <c r="I1043" s="345">
        <v>0.5</v>
      </c>
      <c r="J1043" s="345">
        <v>36</v>
      </c>
      <c r="K1043" s="345">
        <v>3053.6</v>
      </c>
      <c r="L1043" s="346"/>
      <c r="M1043" s="346"/>
      <c r="N1043" s="346"/>
      <c r="O1043" s="345"/>
      <c r="P1043" s="345"/>
      <c r="Q1043" s="345"/>
      <c r="R1043" s="345">
        <v>0.2</v>
      </c>
      <c r="S1043" s="345">
        <v>24.8</v>
      </c>
      <c r="T1043" s="345">
        <v>1761.3</v>
      </c>
      <c r="U1043" s="345">
        <v>0.5</v>
      </c>
      <c r="V1043" s="345">
        <v>28.5</v>
      </c>
      <c r="W1043" s="345">
        <v>2726</v>
      </c>
      <c r="X1043" s="345">
        <v>0.5</v>
      </c>
      <c r="Y1043" s="345">
        <v>23.5</v>
      </c>
      <c r="Z1043" s="345">
        <v>2425.6</v>
      </c>
      <c r="AA1043">
        <f t="shared" si="16"/>
        <v>0.5</v>
      </c>
    </row>
    <row r="1044" spans="1:27" ht="28.8" x14ac:dyDescent="0.3">
      <c r="A1044" s="345" t="s">
        <v>2711</v>
      </c>
      <c r="B1044" s="805"/>
      <c r="C1044" s="802"/>
      <c r="D1044" s="802"/>
      <c r="E1044" s="803"/>
      <c r="F1044" s="805">
        <v>62</v>
      </c>
      <c r="G1044" s="803"/>
      <c r="H1044" s="345">
        <v>2788.4</v>
      </c>
      <c r="I1044" s="345">
        <v>25</v>
      </c>
      <c r="J1044" s="345">
        <v>61</v>
      </c>
      <c r="K1044" s="345">
        <v>3078.6</v>
      </c>
      <c r="L1044" s="346"/>
      <c r="M1044" s="346"/>
      <c r="N1044" s="346"/>
      <c r="O1044" s="345"/>
      <c r="P1044" s="345"/>
      <c r="Q1044" s="345"/>
      <c r="R1044" s="345">
        <v>21.6</v>
      </c>
      <c r="S1044" s="345">
        <v>46.4</v>
      </c>
      <c r="T1044" s="345">
        <v>1782.9</v>
      </c>
      <c r="U1044" s="345">
        <v>26</v>
      </c>
      <c r="V1044" s="345">
        <v>54.5</v>
      </c>
      <c r="W1044" s="345">
        <v>2752</v>
      </c>
      <c r="X1044" s="345">
        <v>25.5</v>
      </c>
      <c r="Y1044" s="345">
        <v>49</v>
      </c>
      <c r="Z1044" s="345">
        <v>2451.1</v>
      </c>
      <c r="AA1044">
        <f t="shared" si="16"/>
        <v>25</v>
      </c>
    </row>
    <row r="1045" spans="1:27" ht="28.8" x14ac:dyDescent="0.3">
      <c r="A1045" s="345" t="s">
        <v>2712</v>
      </c>
      <c r="B1045" s="805"/>
      <c r="C1045" s="802"/>
      <c r="D1045" s="802"/>
      <c r="E1045" s="803"/>
      <c r="F1045" s="805">
        <v>62</v>
      </c>
      <c r="G1045" s="803"/>
      <c r="H1045" s="345">
        <v>2788.4</v>
      </c>
      <c r="I1045" s="345">
        <v>0</v>
      </c>
      <c r="J1045" s="345">
        <v>61</v>
      </c>
      <c r="K1045" s="345">
        <v>3078.6</v>
      </c>
      <c r="L1045" s="346"/>
      <c r="M1045" s="346"/>
      <c r="N1045" s="346"/>
      <c r="O1045" s="345"/>
      <c r="P1045" s="345"/>
      <c r="Q1045" s="345"/>
      <c r="R1045" s="345">
        <v>0</v>
      </c>
      <c r="S1045" s="345">
        <v>46.4</v>
      </c>
      <c r="T1045" s="345">
        <v>1782.9</v>
      </c>
      <c r="U1045" s="345">
        <v>0</v>
      </c>
      <c r="V1045" s="345">
        <v>54.5</v>
      </c>
      <c r="W1045" s="345">
        <v>2752</v>
      </c>
      <c r="X1045" s="345">
        <v>0</v>
      </c>
      <c r="Y1045" s="345">
        <v>49</v>
      </c>
      <c r="Z1045" s="345">
        <v>2451.1</v>
      </c>
      <c r="AA1045">
        <f t="shared" si="16"/>
        <v>0</v>
      </c>
    </row>
    <row r="1046" spans="1:27" ht="28.8" x14ac:dyDescent="0.3">
      <c r="A1046" s="345" t="s">
        <v>2713</v>
      </c>
      <c r="B1046" s="805"/>
      <c r="C1046" s="802"/>
      <c r="D1046" s="802"/>
      <c r="E1046" s="803"/>
      <c r="F1046" s="805">
        <v>62</v>
      </c>
      <c r="G1046" s="803"/>
      <c r="H1046" s="345">
        <v>2788.4</v>
      </c>
      <c r="I1046" s="345">
        <v>0</v>
      </c>
      <c r="J1046" s="345">
        <v>61</v>
      </c>
      <c r="K1046" s="345">
        <v>3078.6</v>
      </c>
      <c r="L1046" s="346"/>
      <c r="M1046" s="346"/>
      <c r="N1046" s="346"/>
      <c r="O1046" s="345"/>
      <c r="P1046" s="345"/>
      <c r="Q1046" s="345"/>
      <c r="R1046" s="345">
        <v>0</v>
      </c>
      <c r="S1046" s="345">
        <v>46.4</v>
      </c>
      <c r="T1046" s="345">
        <v>1782.9</v>
      </c>
      <c r="U1046" s="345">
        <v>0</v>
      </c>
      <c r="V1046" s="345">
        <v>54.5</v>
      </c>
      <c r="W1046" s="345">
        <v>2752</v>
      </c>
      <c r="X1046" s="345">
        <v>0</v>
      </c>
      <c r="Y1046" s="345">
        <v>49</v>
      </c>
      <c r="Z1046" s="345">
        <v>2451.1</v>
      </c>
      <c r="AA1046">
        <f t="shared" si="16"/>
        <v>0</v>
      </c>
    </row>
    <row r="1047" spans="1:27" ht="28.8" x14ac:dyDescent="0.3">
      <c r="A1047" s="345" t="s">
        <v>2714</v>
      </c>
      <c r="B1047" s="805"/>
      <c r="C1047" s="802"/>
      <c r="D1047" s="802"/>
      <c r="E1047" s="803"/>
      <c r="F1047" s="805">
        <v>62</v>
      </c>
      <c r="G1047" s="803"/>
      <c r="H1047" s="345">
        <v>2788.4</v>
      </c>
      <c r="I1047" s="345">
        <v>0</v>
      </c>
      <c r="J1047" s="345">
        <v>61</v>
      </c>
      <c r="K1047" s="345">
        <v>3078.6</v>
      </c>
      <c r="L1047" s="346"/>
      <c r="M1047" s="346"/>
      <c r="N1047" s="346"/>
      <c r="O1047" s="345"/>
      <c r="P1047" s="345"/>
      <c r="Q1047" s="345"/>
      <c r="R1047" s="345">
        <v>0</v>
      </c>
      <c r="S1047" s="345">
        <v>46.4</v>
      </c>
      <c r="T1047" s="345">
        <v>1782.9</v>
      </c>
      <c r="U1047" s="345">
        <v>0</v>
      </c>
      <c r="V1047" s="345">
        <v>54.5</v>
      </c>
      <c r="W1047" s="345">
        <v>2752</v>
      </c>
      <c r="X1047" s="345">
        <v>0</v>
      </c>
      <c r="Y1047" s="345">
        <v>49</v>
      </c>
      <c r="Z1047" s="345">
        <v>2451.1</v>
      </c>
      <c r="AA1047">
        <f t="shared" si="16"/>
        <v>0</v>
      </c>
    </row>
    <row r="1048" spans="1:27" ht="28.8" x14ac:dyDescent="0.3">
      <c r="A1048" s="345" t="s">
        <v>2715</v>
      </c>
      <c r="B1048" s="805"/>
      <c r="C1048" s="802"/>
      <c r="D1048" s="802"/>
      <c r="E1048" s="803"/>
      <c r="F1048" s="805">
        <v>63.5</v>
      </c>
      <c r="G1048" s="803"/>
      <c r="H1048" s="345">
        <v>2789.9</v>
      </c>
      <c r="I1048" s="345">
        <v>1</v>
      </c>
      <c r="J1048" s="345">
        <v>62</v>
      </c>
      <c r="K1048" s="345">
        <v>3079.6</v>
      </c>
      <c r="L1048" s="346"/>
      <c r="M1048" s="346"/>
      <c r="N1048" s="346"/>
      <c r="O1048" s="345"/>
      <c r="P1048" s="345"/>
      <c r="Q1048" s="345"/>
      <c r="R1048" s="345">
        <v>2.2000000000000002</v>
      </c>
      <c r="S1048" s="345">
        <v>48.6</v>
      </c>
      <c r="T1048" s="345">
        <v>1785.1</v>
      </c>
      <c r="U1048" s="345">
        <v>2.5</v>
      </c>
      <c r="V1048" s="345">
        <v>57</v>
      </c>
      <c r="W1048" s="345">
        <v>2754.5</v>
      </c>
      <c r="X1048" s="345">
        <v>0</v>
      </c>
      <c r="Y1048" s="345">
        <v>49</v>
      </c>
      <c r="Z1048" s="345">
        <v>2451.1</v>
      </c>
      <c r="AA1048">
        <f t="shared" si="16"/>
        <v>1</v>
      </c>
    </row>
    <row r="1049" spans="1:27" ht="28.8" x14ac:dyDescent="0.3">
      <c r="A1049" s="345" t="s">
        <v>2716</v>
      </c>
      <c r="B1049" s="805"/>
      <c r="C1049" s="802"/>
      <c r="D1049" s="802"/>
      <c r="E1049" s="803"/>
      <c r="F1049" s="805">
        <v>63.5</v>
      </c>
      <c r="G1049" s="803"/>
      <c r="H1049" s="345">
        <v>2789.9</v>
      </c>
      <c r="I1049" s="345">
        <v>0</v>
      </c>
      <c r="J1049" s="345">
        <v>62</v>
      </c>
      <c r="K1049" s="345">
        <v>3079.6</v>
      </c>
      <c r="L1049" s="346"/>
      <c r="M1049" s="346"/>
      <c r="N1049" s="346"/>
      <c r="O1049" s="345"/>
      <c r="P1049" s="345"/>
      <c r="Q1049" s="345"/>
      <c r="R1049" s="345">
        <v>0</v>
      </c>
      <c r="S1049" s="345">
        <v>48.6</v>
      </c>
      <c r="T1049" s="345">
        <v>1785.1</v>
      </c>
      <c r="U1049" s="345">
        <v>0</v>
      </c>
      <c r="V1049" s="345">
        <v>57</v>
      </c>
      <c r="W1049" s="345">
        <v>2754.5</v>
      </c>
      <c r="X1049" s="345">
        <v>0</v>
      </c>
      <c r="Y1049" s="345">
        <v>49</v>
      </c>
      <c r="Z1049" s="345">
        <v>2451.1</v>
      </c>
      <c r="AA1049">
        <f t="shared" si="16"/>
        <v>0</v>
      </c>
    </row>
    <row r="1050" spans="1:27" ht="28.8" x14ac:dyDescent="0.3">
      <c r="A1050" s="345" t="s">
        <v>2717</v>
      </c>
      <c r="B1050" s="805"/>
      <c r="C1050" s="802"/>
      <c r="D1050" s="802"/>
      <c r="E1050" s="803"/>
      <c r="F1050" s="805">
        <v>83</v>
      </c>
      <c r="G1050" s="803"/>
      <c r="H1050" s="345">
        <v>2809.4</v>
      </c>
      <c r="I1050" s="345">
        <v>19</v>
      </c>
      <c r="J1050" s="345">
        <v>81</v>
      </c>
      <c r="K1050" s="345">
        <v>3098.6</v>
      </c>
      <c r="L1050" s="346"/>
      <c r="M1050" s="346"/>
      <c r="N1050" s="346"/>
      <c r="O1050" s="345"/>
      <c r="P1050" s="345"/>
      <c r="Q1050" s="345"/>
      <c r="R1050" s="345">
        <v>32.4</v>
      </c>
      <c r="S1050" s="345">
        <v>81</v>
      </c>
      <c r="T1050" s="345">
        <v>1817.5</v>
      </c>
      <c r="U1050" s="345">
        <v>36</v>
      </c>
      <c r="V1050" s="345">
        <v>93</v>
      </c>
      <c r="W1050" s="345">
        <v>2790.5</v>
      </c>
      <c r="X1050" s="345">
        <v>27.5</v>
      </c>
      <c r="Y1050" s="345">
        <v>76.5</v>
      </c>
      <c r="Z1050" s="345">
        <v>2478.6</v>
      </c>
      <c r="AA1050">
        <f t="shared" si="16"/>
        <v>19</v>
      </c>
    </row>
    <row r="1051" spans="1:27" ht="28.8" x14ac:dyDescent="0.3">
      <c r="A1051" s="345" t="s">
        <v>2718</v>
      </c>
      <c r="B1051" s="805"/>
      <c r="C1051" s="802"/>
      <c r="D1051" s="802"/>
      <c r="E1051" s="803"/>
      <c r="F1051" s="805">
        <v>85</v>
      </c>
      <c r="G1051" s="803"/>
      <c r="H1051" s="345">
        <v>2811.4</v>
      </c>
      <c r="I1051" s="345">
        <v>3</v>
      </c>
      <c r="J1051" s="345">
        <v>84</v>
      </c>
      <c r="K1051" s="345">
        <v>3101.6</v>
      </c>
      <c r="L1051" s="346"/>
      <c r="M1051" s="346"/>
      <c r="N1051" s="346"/>
      <c r="O1051" s="345"/>
      <c r="P1051" s="345"/>
      <c r="Q1051" s="345"/>
      <c r="R1051" s="345">
        <v>1</v>
      </c>
      <c r="S1051" s="345">
        <v>82</v>
      </c>
      <c r="T1051" s="345">
        <v>1818.5</v>
      </c>
      <c r="U1051" s="345">
        <v>1.5</v>
      </c>
      <c r="V1051" s="345">
        <v>94.5</v>
      </c>
      <c r="W1051" s="345">
        <v>2792</v>
      </c>
      <c r="X1051" s="345">
        <v>1</v>
      </c>
      <c r="Y1051" s="345">
        <v>77.5</v>
      </c>
      <c r="Z1051" s="345">
        <v>2479.6</v>
      </c>
      <c r="AA1051">
        <f t="shared" si="16"/>
        <v>3</v>
      </c>
    </row>
    <row r="1052" spans="1:27" ht="28.8" x14ac:dyDescent="0.3">
      <c r="A1052" s="345" t="s">
        <v>2719</v>
      </c>
      <c r="B1052" s="805"/>
      <c r="C1052" s="802"/>
      <c r="D1052" s="802"/>
      <c r="E1052" s="803"/>
      <c r="F1052" s="805">
        <v>85</v>
      </c>
      <c r="G1052" s="803"/>
      <c r="H1052" s="345">
        <v>2811.4</v>
      </c>
      <c r="I1052" s="345">
        <v>0</v>
      </c>
      <c r="J1052" s="345">
        <v>84</v>
      </c>
      <c r="K1052" s="345">
        <v>3101.6</v>
      </c>
      <c r="L1052" s="346"/>
      <c r="M1052" s="346"/>
      <c r="N1052" s="346"/>
      <c r="O1052" s="345"/>
      <c r="P1052" s="345"/>
      <c r="Q1052" s="345"/>
      <c r="R1052" s="345">
        <v>0</v>
      </c>
      <c r="S1052" s="345">
        <v>82</v>
      </c>
      <c r="T1052" s="345">
        <v>1818.5</v>
      </c>
      <c r="U1052" s="345">
        <v>0</v>
      </c>
      <c r="V1052" s="345">
        <v>94.5</v>
      </c>
      <c r="W1052" s="345">
        <v>2792</v>
      </c>
      <c r="X1052" s="345">
        <v>0</v>
      </c>
      <c r="Y1052" s="345">
        <v>77.5</v>
      </c>
      <c r="Z1052" s="345">
        <v>2479.6</v>
      </c>
      <c r="AA1052">
        <f t="shared" si="16"/>
        <v>0</v>
      </c>
    </row>
    <row r="1053" spans="1:27" ht="28.8" x14ac:dyDescent="0.3">
      <c r="A1053" s="345" t="s">
        <v>2720</v>
      </c>
      <c r="B1053" s="805"/>
      <c r="C1053" s="802"/>
      <c r="D1053" s="802"/>
      <c r="E1053" s="803"/>
      <c r="F1053" s="805">
        <v>86.5</v>
      </c>
      <c r="G1053" s="803"/>
      <c r="H1053" s="345">
        <v>2812.9</v>
      </c>
      <c r="I1053" s="345">
        <v>2.5</v>
      </c>
      <c r="J1053" s="345">
        <v>86.5</v>
      </c>
      <c r="K1053" s="345">
        <v>3104.1</v>
      </c>
      <c r="L1053" s="346"/>
      <c r="M1053" s="346"/>
      <c r="N1053" s="346"/>
      <c r="O1053" s="345"/>
      <c r="P1053" s="345"/>
      <c r="Q1053" s="345"/>
      <c r="R1053" s="345">
        <v>0.6</v>
      </c>
      <c r="S1053" s="345">
        <v>82.6</v>
      </c>
      <c r="T1053" s="345">
        <v>1819.1</v>
      </c>
      <c r="U1053" s="345">
        <v>1</v>
      </c>
      <c r="V1053" s="345">
        <v>95.5</v>
      </c>
      <c r="W1053" s="345">
        <v>2793</v>
      </c>
      <c r="X1053" s="345">
        <v>1</v>
      </c>
      <c r="Y1053" s="345">
        <v>78.5</v>
      </c>
      <c r="Z1053" s="345">
        <v>2480.6</v>
      </c>
      <c r="AA1053">
        <f t="shared" si="16"/>
        <v>2.5</v>
      </c>
    </row>
    <row r="1054" spans="1:27" ht="28.8" x14ac:dyDescent="0.3">
      <c r="A1054" s="345" t="s">
        <v>2721</v>
      </c>
      <c r="B1054" s="805"/>
      <c r="C1054" s="802"/>
      <c r="D1054" s="802"/>
      <c r="E1054" s="803"/>
      <c r="F1054" s="805">
        <v>89.5</v>
      </c>
      <c r="G1054" s="803"/>
      <c r="H1054" s="345">
        <v>2815.9</v>
      </c>
      <c r="I1054" s="345">
        <v>17</v>
      </c>
      <c r="J1054" s="345">
        <v>103.5</v>
      </c>
      <c r="K1054" s="345">
        <v>3121.1</v>
      </c>
      <c r="L1054" s="346"/>
      <c r="M1054" s="346"/>
      <c r="N1054" s="346"/>
      <c r="O1054" s="345"/>
      <c r="P1054" s="345"/>
      <c r="Q1054" s="345"/>
      <c r="R1054" s="345">
        <v>2.6</v>
      </c>
      <c r="S1054" s="345">
        <v>85.2</v>
      </c>
      <c r="T1054" s="345">
        <v>1821.7</v>
      </c>
      <c r="U1054" s="345">
        <v>3</v>
      </c>
      <c r="V1054" s="345">
        <v>98.5</v>
      </c>
      <c r="W1054" s="345">
        <v>2796</v>
      </c>
      <c r="X1054" s="345">
        <v>2</v>
      </c>
      <c r="Y1054" s="345">
        <v>80.5</v>
      </c>
      <c r="Z1054" s="345">
        <v>2482.6</v>
      </c>
      <c r="AA1054">
        <f t="shared" si="16"/>
        <v>17</v>
      </c>
    </row>
    <row r="1055" spans="1:27" ht="28.8" x14ac:dyDescent="0.3">
      <c r="A1055" s="345" t="s">
        <v>2722</v>
      </c>
      <c r="B1055" s="805"/>
      <c r="C1055" s="802"/>
      <c r="D1055" s="802"/>
      <c r="E1055" s="803"/>
      <c r="F1055" s="805">
        <v>89.5</v>
      </c>
      <c r="G1055" s="803"/>
      <c r="H1055" s="345">
        <v>2815.9</v>
      </c>
      <c r="I1055" s="345">
        <v>0</v>
      </c>
      <c r="J1055" s="345">
        <v>103.5</v>
      </c>
      <c r="K1055" s="345">
        <v>3121.1</v>
      </c>
      <c r="L1055" s="346"/>
      <c r="M1055" s="346"/>
      <c r="N1055" s="346"/>
      <c r="O1055" s="345"/>
      <c r="P1055" s="345"/>
      <c r="Q1055" s="345"/>
      <c r="R1055" s="345">
        <v>0</v>
      </c>
      <c r="S1055" s="345">
        <v>85.2</v>
      </c>
      <c r="T1055" s="345">
        <v>1821.7</v>
      </c>
      <c r="U1055" s="345">
        <v>0</v>
      </c>
      <c r="V1055" s="345">
        <v>98.5</v>
      </c>
      <c r="W1055" s="345">
        <v>2796</v>
      </c>
      <c r="X1055" s="345">
        <v>0</v>
      </c>
      <c r="Y1055" s="345">
        <v>80.5</v>
      </c>
      <c r="Z1055" s="345">
        <v>2482.6</v>
      </c>
      <c r="AA1055">
        <f t="shared" si="16"/>
        <v>0</v>
      </c>
    </row>
    <row r="1056" spans="1:27" ht="28.8" x14ac:dyDescent="0.3">
      <c r="A1056" s="345" t="s">
        <v>2723</v>
      </c>
      <c r="B1056" s="805"/>
      <c r="C1056" s="802"/>
      <c r="D1056" s="802"/>
      <c r="E1056" s="803"/>
      <c r="F1056" s="805">
        <v>89.5</v>
      </c>
      <c r="G1056" s="803"/>
      <c r="H1056" s="345">
        <v>2815.9</v>
      </c>
      <c r="I1056" s="345">
        <v>0</v>
      </c>
      <c r="J1056" s="345">
        <v>103.5</v>
      </c>
      <c r="K1056" s="345">
        <v>3121.1</v>
      </c>
      <c r="L1056" s="346"/>
      <c r="M1056" s="346"/>
      <c r="N1056" s="346"/>
      <c r="O1056" s="345"/>
      <c r="P1056" s="345"/>
      <c r="Q1056" s="345"/>
      <c r="R1056" s="345">
        <v>0</v>
      </c>
      <c r="S1056" s="345">
        <v>85.2</v>
      </c>
      <c r="T1056" s="345">
        <v>1821.7</v>
      </c>
      <c r="U1056" s="345">
        <v>0</v>
      </c>
      <c r="V1056" s="345">
        <v>98.5</v>
      </c>
      <c r="W1056" s="345">
        <v>2796</v>
      </c>
      <c r="X1056" s="345">
        <v>0</v>
      </c>
      <c r="Y1056" s="345">
        <v>80.5</v>
      </c>
      <c r="Z1056" s="345">
        <v>2482.6</v>
      </c>
      <c r="AA1056">
        <f t="shared" si="16"/>
        <v>0</v>
      </c>
    </row>
    <row r="1057" spans="1:27" ht="28.8" x14ac:dyDescent="0.3">
      <c r="A1057" s="345" t="s">
        <v>2724</v>
      </c>
      <c r="B1057" s="805"/>
      <c r="C1057" s="802"/>
      <c r="D1057" s="802"/>
      <c r="E1057" s="803"/>
      <c r="F1057" s="805">
        <v>90.5</v>
      </c>
      <c r="G1057" s="803"/>
      <c r="H1057" s="345">
        <v>2816.9</v>
      </c>
      <c r="I1057" s="345">
        <v>0.5</v>
      </c>
      <c r="J1057" s="345">
        <v>104</v>
      </c>
      <c r="K1057" s="345">
        <v>3121.6</v>
      </c>
      <c r="L1057" s="346"/>
      <c r="M1057" s="346"/>
      <c r="N1057" s="346"/>
      <c r="O1057" s="345"/>
      <c r="P1057" s="345"/>
      <c r="Q1057" s="345"/>
      <c r="R1057" s="345">
        <v>0.2</v>
      </c>
      <c r="S1057" s="345">
        <v>85.4</v>
      </c>
      <c r="T1057" s="345">
        <v>1821.9</v>
      </c>
      <c r="U1057" s="345">
        <v>0.5</v>
      </c>
      <c r="V1057" s="345">
        <v>99</v>
      </c>
      <c r="W1057" s="345">
        <v>2796.5</v>
      </c>
      <c r="X1057" s="345">
        <v>0.5</v>
      </c>
      <c r="Y1057" s="345">
        <v>81</v>
      </c>
      <c r="Z1057" s="345">
        <v>2483.1</v>
      </c>
      <c r="AA1057">
        <f t="shared" si="16"/>
        <v>0.5</v>
      </c>
    </row>
    <row r="1058" spans="1:27" ht="28.8" x14ac:dyDescent="0.3">
      <c r="A1058" s="345" t="s">
        <v>2725</v>
      </c>
      <c r="B1058" s="805"/>
      <c r="C1058" s="802"/>
      <c r="D1058" s="802"/>
      <c r="E1058" s="803"/>
      <c r="F1058" s="805">
        <v>115.5</v>
      </c>
      <c r="G1058" s="803"/>
      <c r="H1058" s="345">
        <v>2841.9</v>
      </c>
      <c r="I1058" s="345">
        <v>32</v>
      </c>
      <c r="J1058" s="345">
        <v>136</v>
      </c>
      <c r="K1058" s="345">
        <v>3153.6</v>
      </c>
      <c r="L1058" s="346"/>
      <c r="M1058" s="346"/>
      <c r="N1058" s="346"/>
      <c r="O1058" s="345"/>
      <c r="P1058" s="345"/>
      <c r="Q1058" s="345"/>
      <c r="R1058" s="345">
        <v>23.8</v>
      </c>
      <c r="S1058" s="345">
        <v>109.2</v>
      </c>
      <c r="T1058" s="345">
        <v>1845.7</v>
      </c>
      <c r="U1058" s="345">
        <v>25</v>
      </c>
      <c r="V1058" s="345">
        <v>124</v>
      </c>
      <c r="W1058" s="345">
        <v>2821.5</v>
      </c>
      <c r="X1058" s="345">
        <v>13</v>
      </c>
      <c r="Y1058" s="345">
        <v>94</v>
      </c>
      <c r="Z1058" s="345">
        <v>2496.1</v>
      </c>
      <c r="AA1058">
        <f t="shared" si="16"/>
        <v>32</v>
      </c>
    </row>
    <row r="1059" spans="1:27" ht="28.8" x14ac:dyDescent="0.3">
      <c r="A1059" s="345" t="s">
        <v>2726</v>
      </c>
      <c r="B1059" s="805"/>
      <c r="C1059" s="802"/>
      <c r="D1059" s="802"/>
      <c r="E1059" s="803"/>
      <c r="F1059" s="805">
        <v>138.5</v>
      </c>
      <c r="G1059" s="803"/>
      <c r="H1059" s="345">
        <v>2864.9</v>
      </c>
      <c r="I1059" s="345">
        <v>26</v>
      </c>
      <c r="J1059" s="345">
        <v>162</v>
      </c>
      <c r="K1059" s="345">
        <v>3179.6</v>
      </c>
      <c r="L1059" s="346"/>
      <c r="M1059" s="346"/>
      <c r="N1059" s="346"/>
      <c r="O1059" s="345"/>
      <c r="P1059" s="345"/>
      <c r="Q1059" s="345"/>
      <c r="R1059" s="345">
        <v>4</v>
      </c>
      <c r="S1059" s="345">
        <v>113.2</v>
      </c>
      <c r="T1059" s="345">
        <v>1849.7</v>
      </c>
      <c r="U1059" s="345">
        <v>4.5</v>
      </c>
      <c r="V1059" s="345">
        <v>128.5</v>
      </c>
      <c r="W1059" s="345">
        <v>2826</v>
      </c>
      <c r="X1059" s="345">
        <v>3.5</v>
      </c>
      <c r="Y1059" s="345">
        <v>97.5</v>
      </c>
      <c r="Z1059" s="345">
        <v>2499.6</v>
      </c>
      <c r="AA1059">
        <f t="shared" si="16"/>
        <v>26</v>
      </c>
    </row>
    <row r="1060" spans="1:27" ht="28.8" x14ac:dyDescent="0.3">
      <c r="A1060" s="345" t="s">
        <v>2727</v>
      </c>
      <c r="B1060" s="805"/>
      <c r="C1060" s="802"/>
      <c r="D1060" s="802"/>
      <c r="E1060" s="803"/>
      <c r="F1060" s="805">
        <v>168.5</v>
      </c>
      <c r="G1060" s="803"/>
      <c r="H1060" s="345">
        <v>2894.9</v>
      </c>
      <c r="I1060" s="345">
        <v>34</v>
      </c>
      <c r="J1060" s="345">
        <v>196</v>
      </c>
      <c r="K1060" s="345">
        <v>3213.6</v>
      </c>
      <c r="L1060" s="346"/>
      <c r="M1060" s="346"/>
      <c r="N1060" s="346"/>
      <c r="O1060" s="345"/>
      <c r="P1060" s="345"/>
      <c r="Q1060" s="345"/>
      <c r="R1060" s="345">
        <v>21.2</v>
      </c>
      <c r="S1060" s="345">
        <v>134.4</v>
      </c>
      <c r="T1060" s="345">
        <v>1870.9</v>
      </c>
      <c r="U1060" s="345">
        <v>23.5</v>
      </c>
      <c r="V1060" s="345">
        <v>152</v>
      </c>
      <c r="W1060" s="345">
        <v>2849.5</v>
      </c>
      <c r="X1060" s="345">
        <v>9</v>
      </c>
      <c r="Y1060" s="345">
        <v>106.5</v>
      </c>
      <c r="Z1060" s="345">
        <v>2508.6</v>
      </c>
      <c r="AA1060">
        <f t="shared" si="16"/>
        <v>34</v>
      </c>
    </row>
    <row r="1061" spans="1:27" ht="28.8" x14ac:dyDescent="0.3">
      <c r="A1061" s="345" t="s">
        <v>2728</v>
      </c>
      <c r="B1061" s="805"/>
      <c r="C1061" s="802"/>
      <c r="D1061" s="802"/>
      <c r="E1061" s="803"/>
      <c r="F1061" s="805">
        <v>171.5</v>
      </c>
      <c r="G1061" s="803"/>
      <c r="H1061" s="345">
        <v>2897.9</v>
      </c>
      <c r="I1061" s="345">
        <v>3</v>
      </c>
      <c r="J1061" s="345">
        <v>199</v>
      </c>
      <c r="K1061" s="345">
        <v>3216.6</v>
      </c>
      <c r="L1061" s="346"/>
      <c r="M1061" s="346"/>
      <c r="N1061" s="346"/>
      <c r="O1061" s="345"/>
      <c r="P1061" s="345"/>
      <c r="Q1061" s="345"/>
      <c r="R1061" s="345"/>
      <c r="S1061" s="345"/>
      <c r="T1061" s="345"/>
      <c r="U1061" s="345">
        <v>4</v>
      </c>
      <c r="V1061" s="345">
        <v>156</v>
      </c>
      <c r="W1061" s="345">
        <v>2853.5</v>
      </c>
      <c r="X1061" s="345">
        <v>3.5</v>
      </c>
      <c r="Y1061" s="345">
        <v>110</v>
      </c>
      <c r="Z1061" s="345">
        <v>2512.1</v>
      </c>
      <c r="AA1061">
        <f t="shared" si="16"/>
        <v>3</v>
      </c>
    </row>
    <row r="1062" spans="1:27" ht="28.8" x14ac:dyDescent="0.3">
      <c r="A1062" s="345" t="s">
        <v>2729</v>
      </c>
      <c r="B1062" s="805"/>
      <c r="C1062" s="802"/>
      <c r="D1062" s="802"/>
      <c r="E1062" s="803"/>
      <c r="F1062" s="805">
        <v>231.5</v>
      </c>
      <c r="G1062" s="803"/>
      <c r="H1062" s="345">
        <v>2957.9</v>
      </c>
      <c r="I1062" s="345">
        <v>43</v>
      </c>
      <c r="J1062" s="345">
        <v>242</v>
      </c>
      <c r="K1062" s="345">
        <v>3259.6</v>
      </c>
      <c r="L1062" s="346"/>
      <c r="M1062" s="346"/>
      <c r="N1062" s="346"/>
      <c r="O1062" s="345"/>
      <c r="P1062" s="345"/>
      <c r="Q1062" s="345"/>
      <c r="R1062" s="345">
        <v>50.6</v>
      </c>
      <c r="S1062" s="345">
        <v>185</v>
      </c>
      <c r="T1062" s="345">
        <v>1921.5</v>
      </c>
      <c r="U1062" s="345">
        <v>60</v>
      </c>
      <c r="V1062" s="345">
        <v>216</v>
      </c>
      <c r="W1062" s="345">
        <v>2913.5</v>
      </c>
      <c r="X1062" s="345">
        <v>58</v>
      </c>
      <c r="Y1062" s="345">
        <v>168</v>
      </c>
      <c r="Z1062" s="345">
        <v>2570.1</v>
      </c>
      <c r="AA1062">
        <f t="shared" si="16"/>
        <v>43</v>
      </c>
    </row>
    <row r="1063" spans="1:27" ht="28.8" x14ac:dyDescent="0.3">
      <c r="A1063" s="345" t="s">
        <v>2730</v>
      </c>
      <c r="B1063" s="805"/>
      <c r="C1063" s="802"/>
      <c r="D1063" s="802"/>
      <c r="E1063" s="803"/>
      <c r="F1063" s="805">
        <v>232</v>
      </c>
      <c r="G1063" s="803"/>
      <c r="H1063" s="345">
        <v>2958.4</v>
      </c>
      <c r="I1063" s="345">
        <v>0.5</v>
      </c>
      <c r="J1063" s="345">
        <v>242.5</v>
      </c>
      <c r="K1063" s="345">
        <v>3260.1</v>
      </c>
      <c r="L1063" s="346"/>
      <c r="M1063" s="346"/>
      <c r="N1063" s="346"/>
      <c r="O1063" s="345"/>
      <c r="P1063" s="345"/>
      <c r="Q1063" s="345"/>
      <c r="R1063" s="345">
        <v>0.2</v>
      </c>
      <c r="S1063" s="345">
        <v>185.2</v>
      </c>
      <c r="T1063" s="345">
        <v>1921.7</v>
      </c>
      <c r="U1063" s="345">
        <v>0.5</v>
      </c>
      <c r="V1063" s="345">
        <v>216.5</v>
      </c>
      <c r="W1063" s="345">
        <v>2914</v>
      </c>
      <c r="X1063" s="345">
        <v>0.5</v>
      </c>
      <c r="Y1063" s="345">
        <v>168.5</v>
      </c>
      <c r="Z1063" s="345">
        <v>2570.6</v>
      </c>
      <c r="AA1063">
        <f t="shared" si="16"/>
        <v>0.5</v>
      </c>
    </row>
    <row r="1064" spans="1:27" ht="28.8" x14ac:dyDescent="0.3">
      <c r="A1064" s="345" t="s">
        <v>2731</v>
      </c>
      <c r="B1064" s="805"/>
      <c r="C1064" s="802"/>
      <c r="D1064" s="802"/>
      <c r="E1064" s="803"/>
      <c r="F1064" s="805">
        <v>255</v>
      </c>
      <c r="G1064" s="803"/>
      <c r="H1064" s="345">
        <v>2981.4</v>
      </c>
      <c r="I1064" s="345">
        <v>26</v>
      </c>
      <c r="J1064" s="345">
        <v>268.5</v>
      </c>
      <c r="K1064" s="345">
        <v>3286.1</v>
      </c>
      <c r="L1064" s="346"/>
      <c r="M1064" s="346"/>
      <c r="N1064" s="346"/>
      <c r="O1064" s="345"/>
      <c r="P1064" s="345"/>
      <c r="Q1064" s="345"/>
      <c r="R1064" s="345">
        <v>23</v>
      </c>
      <c r="S1064" s="345">
        <v>208.2</v>
      </c>
      <c r="T1064" s="345">
        <v>1944.7</v>
      </c>
      <c r="U1064" s="345">
        <v>27</v>
      </c>
      <c r="V1064" s="345">
        <v>243.5</v>
      </c>
      <c r="W1064" s="345">
        <v>2941</v>
      </c>
      <c r="X1064" s="345">
        <v>16</v>
      </c>
      <c r="Y1064" s="345">
        <v>184.5</v>
      </c>
      <c r="Z1064" s="345">
        <v>2586.6</v>
      </c>
      <c r="AA1064">
        <f t="shared" si="16"/>
        <v>26</v>
      </c>
    </row>
    <row r="1065" spans="1:27" ht="28.8" x14ac:dyDescent="0.3">
      <c r="A1065" s="345" t="s">
        <v>2732</v>
      </c>
      <c r="B1065" s="805"/>
      <c r="C1065" s="802"/>
      <c r="D1065" s="802"/>
      <c r="E1065" s="803"/>
      <c r="F1065" s="805">
        <v>284.5</v>
      </c>
      <c r="G1065" s="803"/>
      <c r="H1065" s="345">
        <v>3010.9</v>
      </c>
      <c r="I1065" s="345">
        <v>29.5</v>
      </c>
      <c r="J1065" s="345">
        <v>298</v>
      </c>
      <c r="K1065" s="345">
        <v>3315.6</v>
      </c>
      <c r="L1065" s="346"/>
      <c r="M1065" s="346"/>
      <c r="N1065" s="346"/>
      <c r="O1065" s="345"/>
      <c r="P1065" s="345"/>
      <c r="Q1065" s="345"/>
      <c r="R1065" s="345">
        <v>24.6</v>
      </c>
      <c r="S1065" s="345">
        <v>232.8</v>
      </c>
      <c r="T1065" s="345">
        <v>1969.3</v>
      </c>
      <c r="U1065" s="345">
        <v>20.5</v>
      </c>
      <c r="V1065" s="345">
        <v>264</v>
      </c>
      <c r="W1065" s="345">
        <v>2961.5</v>
      </c>
      <c r="X1065" s="345">
        <v>22.5</v>
      </c>
      <c r="Y1065" s="345">
        <v>207</v>
      </c>
      <c r="Z1065" s="345">
        <v>2609.1</v>
      </c>
      <c r="AA1065">
        <f t="shared" si="16"/>
        <v>29.5</v>
      </c>
    </row>
    <row r="1066" spans="1:27" ht="28.8" x14ac:dyDescent="0.3">
      <c r="A1066" s="345" t="s">
        <v>2733</v>
      </c>
      <c r="B1066" s="805"/>
      <c r="C1066" s="802"/>
      <c r="D1066" s="802"/>
      <c r="E1066" s="803"/>
      <c r="F1066" s="805">
        <v>304.5</v>
      </c>
      <c r="G1066" s="803"/>
      <c r="H1066" s="345">
        <v>3030.9</v>
      </c>
      <c r="I1066" s="345">
        <v>13.5</v>
      </c>
      <c r="J1066" s="345">
        <v>311.5</v>
      </c>
      <c r="K1066" s="345">
        <v>3329.1</v>
      </c>
      <c r="L1066" s="346"/>
      <c r="M1066" s="346"/>
      <c r="N1066" s="346"/>
      <c r="O1066" s="345"/>
      <c r="P1066" s="345"/>
      <c r="Q1066" s="345"/>
      <c r="R1066" s="345"/>
      <c r="S1066" s="345"/>
      <c r="T1066" s="345"/>
      <c r="U1066" s="345">
        <v>21</v>
      </c>
      <c r="V1066" s="345">
        <v>285</v>
      </c>
      <c r="W1066" s="345">
        <v>2982.5</v>
      </c>
      <c r="X1066" s="345">
        <v>21</v>
      </c>
      <c r="Y1066" s="345">
        <v>228</v>
      </c>
      <c r="Z1066" s="345">
        <v>2630.1</v>
      </c>
      <c r="AA1066">
        <f t="shared" si="16"/>
        <v>13.5</v>
      </c>
    </row>
    <row r="1067" spans="1:27" s="362" customFormat="1" ht="28.8" x14ac:dyDescent="0.3">
      <c r="A1067" s="359" t="s">
        <v>2734</v>
      </c>
      <c r="B1067" s="811"/>
      <c r="C1067" s="812"/>
      <c r="D1067" s="812"/>
      <c r="E1067" s="813"/>
      <c r="F1067" s="811">
        <v>339.5</v>
      </c>
      <c r="G1067" s="813"/>
      <c r="H1067" s="359">
        <v>3065.9</v>
      </c>
      <c r="I1067" s="359">
        <v>29.5</v>
      </c>
      <c r="J1067" s="359">
        <v>341</v>
      </c>
      <c r="K1067" s="359">
        <v>3358.6</v>
      </c>
      <c r="L1067" s="359"/>
      <c r="M1067" s="359"/>
      <c r="N1067" s="359"/>
      <c r="O1067" s="359"/>
      <c r="P1067" s="359"/>
      <c r="Q1067" s="359"/>
      <c r="R1067" s="359">
        <v>36.4</v>
      </c>
      <c r="S1067" s="359">
        <v>269.2</v>
      </c>
      <c r="T1067" s="359">
        <v>2005.7</v>
      </c>
      <c r="U1067" s="359">
        <v>43.5</v>
      </c>
      <c r="V1067" s="359">
        <v>328.5</v>
      </c>
      <c r="W1067" s="359">
        <v>3026</v>
      </c>
      <c r="X1067" s="359">
        <v>36</v>
      </c>
      <c r="Y1067" s="359">
        <v>264</v>
      </c>
      <c r="Z1067" s="359">
        <v>2666.1</v>
      </c>
      <c r="AA1067" s="362">
        <f t="shared" si="16"/>
        <v>29.5</v>
      </c>
    </row>
    <row r="1068" spans="1:27" ht="28.8" x14ac:dyDescent="0.3">
      <c r="A1068" s="345" t="s">
        <v>2735</v>
      </c>
      <c r="B1068" s="805"/>
      <c r="C1068" s="802"/>
      <c r="D1068" s="802"/>
      <c r="E1068" s="803"/>
      <c r="F1068" s="805">
        <v>0.5</v>
      </c>
      <c r="G1068" s="803"/>
      <c r="H1068" s="345">
        <v>3066.4</v>
      </c>
      <c r="I1068" s="345">
        <v>0.5</v>
      </c>
      <c r="J1068" s="345">
        <v>0.5</v>
      </c>
      <c r="K1068" s="345">
        <v>3359.1</v>
      </c>
      <c r="L1068" s="346"/>
      <c r="M1068" s="346"/>
      <c r="N1068" s="346"/>
      <c r="O1068" s="345"/>
      <c r="P1068" s="345"/>
      <c r="Q1068" s="345"/>
      <c r="R1068" s="345">
        <v>0.6</v>
      </c>
      <c r="S1068" s="345">
        <v>0.6</v>
      </c>
      <c r="T1068" s="345">
        <v>2006.3</v>
      </c>
      <c r="U1068" s="345">
        <v>0.5</v>
      </c>
      <c r="V1068" s="345">
        <v>0.5</v>
      </c>
      <c r="W1068" s="345">
        <v>3026.5</v>
      </c>
      <c r="X1068" s="345">
        <v>0.5</v>
      </c>
      <c r="Y1068" s="345">
        <v>0.5</v>
      </c>
      <c r="Z1068" s="345">
        <v>2666.6</v>
      </c>
      <c r="AA1068">
        <f t="shared" si="16"/>
        <v>0.5</v>
      </c>
    </row>
    <row r="1069" spans="1:27" ht="28.8" x14ac:dyDescent="0.3">
      <c r="A1069" s="345" t="s">
        <v>2736</v>
      </c>
      <c r="B1069" s="805"/>
      <c r="C1069" s="802"/>
      <c r="D1069" s="802"/>
      <c r="E1069" s="803"/>
      <c r="F1069" s="805">
        <v>14.5</v>
      </c>
      <c r="G1069" s="803"/>
      <c r="H1069" s="345">
        <v>3080.4</v>
      </c>
      <c r="I1069" s="345">
        <v>14</v>
      </c>
      <c r="J1069" s="345">
        <v>14.5</v>
      </c>
      <c r="K1069" s="345">
        <v>3373.1</v>
      </c>
      <c r="L1069" s="346"/>
      <c r="M1069" s="346"/>
      <c r="N1069" s="346"/>
      <c r="O1069" s="345"/>
      <c r="P1069" s="345"/>
      <c r="Q1069" s="345"/>
      <c r="R1069" s="345">
        <v>7.6</v>
      </c>
      <c r="S1069" s="345">
        <v>8.1999999999999993</v>
      </c>
      <c r="T1069" s="345">
        <v>2013.9</v>
      </c>
      <c r="U1069" s="345">
        <v>7.6</v>
      </c>
      <c r="V1069" s="345">
        <v>8.1</v>
      </c>
      <c r="W1069" s="345">
        <v>3034.1</v>
      </c>
      <c r="X1069" s="345">
        <v>8.5</v>
      </c>
      <c r="Y1069" s="345">
        <v>9</v>
      </c>
      <c r="Z1069" s="345">
        <v>2675.1</v>
      </c>
      <c r="AA1069">
        <f t="shared" si="16"/>
        <v>14</v>
      </c>
    </row>
    <row r="1070" spans="1:27" ht="28.8" x14ac:dyDescent="0.3">
      <c r="A1070" s="345" t="s">
        <v>2737</v>
      </c>
      <c r="B1070" s="805"/>
      <c r="C1070" s="802"/>
      <c r="D1070" s="802"/>
      <c r="E1070" s="803"/>
      <c r="F1070" s="805">
        <v>15</v>
      </c>
      <c r="G1070" s="803"/>
      <c r="H1070" s="345">
        <v>3080.9</v>
      </c>
      <c r="I1070" s="345">
        <v>1.5</v>
      </c>
      <c r="J1070" s="345">
        <v>16</v>
      </c>
      <c r="K1070" s="345">
        <v>3374.6</v>
      </c>
      <c r="L1070" s="346"/>
      <c r="M1070" s="346"/>
      <c r="N1070" s="346"/>
      <c r="O1070" s="345"/>
      <c r="P1070" s="345"/>
      <c r="Q1070" s="345"/>
      <c r="R1070" s="345">
        <v>0.2</v>
      </c>
      <c r="S1070" s="345">
        <v>8.4</v>
      </c>
      <c r="T1070" s="345">
        <v>2014.1</v>
      </c>
      <c r="U1070" s="345">
        <v>0.5</v>
      </c>
      <c r="V1070" s="345">
        <v>8.6</v>
      </c>
      <c r="W1070" s="345">
        <v>3034.6</v>
      </c>
      <c r="X1070" s="345">
        <v>0.5</v>
      </c>
      <c r="Y1070" s="345">
        <v>9.5</v>
      </c>
      <c r="Z1070" s="345">
        <v>2675.6</v>
      </c>
      <c r="AA1070">
        <f t="shared" si="16"/>
        <v>1.5</v>
      </c>
    </row>
    <row r="1071" spans="1:27" ht="28.8" x14ac:dyDescent="0.3">
      <c r="A1071" s="345" t="s">
        <v>2738</v>
      </c>
      <c r="B1071" s="805"/>
      <c r="C1071" s="802"/>
      <c r="D1071" s="802"/>
      <c r="E1071" s="803"/>
      <c r="F1071" s="805">
        <v>15</v>
      </c>
      <c r="G1071" s="803"/>
      <c r="H1071" s="345">
        <v>3080.9</v>
      </c>
      <c r="I1071" s="345">
        <v>0</v>
      </c>
      <c r="J1071" s="345">
        <v>16</v>
      </c>
      <c r="K1071" s="345">
        <v>3374.6</v>
      </c>
      <c r="L1071" s="346"/>
      <c r="M1071" s="346"/>
      <c r="N1071" s="346"/>
      <c r="O1071" s="345"/>
      <c r="P1071" s="345"/>
      <c r="Q1071" s="345"/>
      <c r="R1071" s="345">
        <v>0</v>
      </c>
      <c r="S1071" s="345">
        <v>8.4</v>
      </c>
      <c r="T1071" s="345">
        <v>2014.1</v>
      </c>
      <c r="U1071" s="345">
        <v>0.5</v>
      </c>
      <c r="V1071" s="345">
        <v>9.1</v>
      </c>
      <c r="W1071" s="345">
        <v>3035.1</v>
      </c>
      <c r="X1071" s="345">
        <v>0</v>
      </c>
      <c r="Y1071" s="345">
        <v>9.5</v>
      </c>
      <c r="Z1071" s="345">
        <v>2675.6</v>
      </c>
      <c r="AA1071">
        <f t="shared" si="16"/>
        <v>0</v>
      </c>
    </row>
    <row r="1072" spans="1:27" ht="28.8" x14ac:dyDescent="0.3">
      <c r="A1072" s="345" t="s">
        <v>2739</v>
      </c>
      <c r="B1072" s="805"/>
      <c r="C1072" s="802"/>
      <c r="D1072" s="802"/>
      <c r="E1072" s="803"/>
      <c r="F1072" s="805">
        <v>31</v>
      </c>
      <c r="G1072" s="803"/>
      <c r="H1072" s="345">
        <v>3096.9</v>
      </c>
      <c r="I1072" s="345">
        <v>25</v>
      </c>
      <c r="J1072" s="345">
        <v>41</v>
      </c>
      <c r="K1072" s="345">
        <v>3399.6</v>
      </c>
      <c r="L1072" s="346"/>
      <c r="M1072" s="346"/>
      <c r="N1072" s="346"/>
      <c r="O1072" s="345"/>
      <c r="P1072" s="345"/>
      <c r="Q1072" s="345"/>
      <c r="R1072" s="345">
        <v>4.8</v>
      </c>
      <c r="S1072" s="345">
        <v>13.2</v>
      </c>
      <c r="T1072" s="345">
        <v>2018.9</v>
      </c>
      <c r="U1072" s="345">
        <v>5</v>
      </c>
      <c r="V1072" s="345">
        <v>14.1</v>
      </c>
      <c r="W1072" s="345">
        <v>3040.1</v>
      </c>
      <c r="X1072" s="345">
        <v>5</v>
      </c>
      <c r="Y1072" s="345">
        <v>14.5</v>
      </c>
      <c r="Z1072" s="345">
        <v>2680.6</v>
      </c>
      <c r="AA1072">
        <f t="shared" si="16"/>
        <v>25</v>
      </c>
    </row>
    <row r="1073" spans="1:27" ht="28.8" x14ac:dyDescent="0.3">
      <c r="A1073" s="345" t="s">
        <v>2740</v>
      </c>
      <c r="B1073" s="805"/>
      <c r="C1073" s="802"/>
      <c r="D1073" s="802"/>
      <c r="E1073" s="803"/>
      <c r="F1073" s="805">
        <v>51</v>
      </c>
      <c r="G1073" s="803"/>
      <c r="H1073" s="345">
        <v>3116.9</v>
      </c>
      <c r="I1073" s="345">
        <v>0</v>
      </c>
      <c r="J1073" s="345">
        <v>41</v>
      </c>
      <c r="K1073" s="345">
        <v>3399.6</v>
      </c>
      <c r="L1073" s="346"/>
      <c r="M1073" s="346"/>
      <c r="N1073" s="346"/>
      <c r="O1073" s="345"/>
      <c r="P1073" s="345"/>
      <c r="Q1073" s="345"/>
      <c r="R1073" s="345">
        <v>20.399999999999999</v>
      </c>
      <c r="S1073" s="345">
        <v>33.6</v>
      </c>
      <c r="T1073" s="345">
        <v>2039.3</v>
      </c>
      <c r="U1073" s="345">
        <v>22</v>
      </c>
      <c r="V1073" s="345">
        <v>36.1</v>
      </c>
      <c r="W1073" s="345">
        <v>3062.1</v>
      </c>
      <c r="X1073" s="345">
        <v>20.5</v>
      </c>
      <c r="Y1073" s="345">
        <v>35</v>
      </c>
      <c r="Z1073" s="345">
        <v>2701.1</v>
      </c>
      <c r="AA1073">
        <f t="shared" si="16"/>
        <v>0</v>
      </c>
    </row>
    <row r="1074" spans="1:27" ht="28.8" x14ac:dyDescent="0.3">
      <c r="A1074" s="345" t="s">
        <v>2741</v>
      </c>
      <c r="B1074" s="805"/>
      <c r="C1074" s="802"/>
      <c r="D1074" s="802"/>
      <c r="E1074" s="803"/>
      <c r="F1074" s="805">
        <v>51</v>
      </c>
      <c r="G1074" s="803"/>
      <c r="H1074" s="345">
        <v>3116.9</v>
      </c>
      <c r="I1074" s="345">
        <v>0</v>
      </c>
      <c r="J1074" s="345">
        <v>41</v>
      </c>
      <c r="K1074" s="345">
        <v>3399.6</v>
      </c>
      <c r="L1074" s="346"/>
      <c r="M1074" s="346"/>
      <c r="N1074" s="346"/>
      <c r="O1074" s="345"/>
      <c r="P1074" s="345"/>
      <c r="Q1074" s="345"/>
      <c r="R1074" s="345">
        <v>0</v>
      </c>
      <c r="S1074" s="345">
        <v>33.6</v>
      </c>
      <c r="T1074" s="345">
        <v>2039.3</v>
      </c>
      <c r="U1074" s="345">
        <v>0</v>
      </c>
      <c r="V1074" s="345">
        <v>36.1</v>
      </c>
      <c r="W1074" s="345">
        <v>3062.1</v>
      </c>
      <c r="X1074" s="345">
        <v>0</v>
      </c>
      <c r="Y1074" s="345">
        <v>35</v>
      </c>
      <c r="Z1074" s="345">
        <v>2701.1</v>
      </c>
      <c r="AA1074">
        <f t="shared" si="16"/>
        <v>0</v>
      </c>
    </row>
    <row r="1075" spans="1:27" ht="28.8" x14ac:dyDescent="0.3">
      <c r="A1075" s="345" t="s">
        <v>2742</v>
      </c>
      <c r="B1075" s="805"/>
      <c r="C1075" s="802"/>
      <c r="D1075" s="802"/>
      <c r="E1075" s="803"/>
      <c r="F1075" s="805">
        <v>54</v>
      </c>
      <c r="G1075" s="803"/>
      <c r="H1075" s="345">
        <v>3119.9</v>
      </c>
      <c r="I1075" s="345">
        <v>3.5</v>
      </c>
      <c r="J1075" s="345">
        <v>44.5</v>
      </c>
      <c r="K1075" s="345">
        <v>3403.1</v>
      </c>
      <c r="L1075" s="346"/>
      <c r="M1075" s="346"/>
      <c r="N1075" s="346"/>
      <c r="O1075" s="345"/>
      <c r="P1075" s="345"/>
      <c r="Q1075" s="345"/>
      <c r="R1075" s="345">
        <v>5.2</v>
      </c>
      <c r="S1075" s="345">
        <v>38.799999999999997</v>
      </c>
      <c r="T1075" s="345">
        <v>2044.5</v>
      </c>
      <c r="U1075" s="345">
        <v>6</v>
      </c>
      <c r="V1075" s="345">
        <v>42.1</v>
      </c>
      <c r="W1075" s="345">
        <v>3068.1</v>
      </c>
      <c r="X1075" s="345">
        <v>4</v>
      </c>
      <c r="Y1075" s="345">
        <v>39</v>
      </c>
      <c r="Z1075" s="345">
        <v>2705.1</v>
      </c>
      <c r="AA1075">
        <f t="shared" si="16"/>
        <v>3.5</v>
      </c>
    </row>
    <row r="1076" spans="1:27" ht="28.8" x14ac:dyDescent="0.3">
      <c r="A1076" s="345" t="s">
        <v>2743</v>
      </c>
      <c r="B1076" s="805"/>
      <c r="C1076" s="802"/>
      <c r="D1076" s="802"/>
      <c r="E1076" s="803"/>
      <c r="F1076" s="805">
        <v>54</v>
      </c>
      <c r="G1076" s="803"/>
      <c r="H1076" s="345">
        <v>3119.9</v>
      </c>
      <c r="I1076" s="345">
        <v>0</v>
      </c>
      <c r="J1076" s="345">
        <v>44.5</v>
      </c>
      <c r="K1076" s="345">
        <v>3403.1</v>
      </c>
      <c r="L1076" s="346"/>
      <c r="M1076" s="346"/>
      <c r="N1076" s="346"/>
      <c r="O1076" s="345"/>
      <c r="P1076" s="345"/>
      <c r="Q1076" s="345"/>
      <c r="R1076" s="345">
        <v>0</v>
      </c>
      <c r="S1076" s="345">
        <v>38.799999999999997</v>
      </c>
      <c r="T1076" s="345">
        <v>2044.5</v>
      </c>
      <c r="U1076" s="345">
        <v>0</v>
      </c>
      <c r="V1076" s="345">
        <v>42.1</v>
      </c>
      <c r="W1076" s="345">
        <v>3068.1</v>
      </c>
      <c r="X1076" s="345">
        <v>0</v>
      </c>
      <c r="Y1076" s="345">
        <v>39</v>
      </c>
      <c r="Z1076" s="345">
        <v>2705.1</v>
      </c>
      <c r="AA1076">
        <f t="shared" si="16"/>
        <v>0</v>
      </c>
    </row>
    <row r="1077" spans="1:27" ht="28.8" x14ac:dyDescent="0.3">
      <c r="A1077" s="345" t="s">
        <v>2744</v>
      </c>
      <c r="B1077" s="805"/>
      <c r="C1077" s="802"/>
      <c r="D1077" s="802"/>
      <c r="E1077" s="803"/>
      <c r="F1077" s="805">
        <v>54</v>
      </c>
      <c r="G1077" s="803"/>
      <c r="H1077" s="345">
        <v>3119.9</v>
      </c>
      <c r="I1077" s="345">
        <v>0</v>
      </c>
      <c r="J1077" s="345">
        <v>44.5</v>
      </c>
      <c r="K1077" s="345">
        <v>3403.1</v>
      </c>
      <c r="L1077" s="346"/>
      <c r="M1077" s="346"/>
      <c r="N1077" s="346"/>
      <c r="O1077" s="345"/>
      <c r="P1077" s="345"/>
      <c r="Q1077" s="345"/>
      <c r="R1077" s="345">
        <v>0</v>
      </c>
      <c r="S1077" s="345">
        <v>38.799999999999997</v>
      </c>
      <c r="T1077" s="345">
        <v>2044.5</v>
      </c>
      <c r="U1077" s="345">
        <v>0</v>
      </c>
      <c r="V1077" s="345">
        <v>42.1</v>
      </c>
      <c r="W1077" s="345">
        <v>3068.1</v>
      </c>
      <c r="X1077" s="345">
        <v>0</v>
      </c>
      <c r="Y1077" s="345">
        <v>39</v>
      </c>
      <c r="Z1077" s="345">
        <v>2705.1</v>
      </c>
      <c r="AA1077">
        <f t="shared" si="16"/>
        <v>0</v>
      </c>
    </row>
    <row r="1078" spans="1:27" ht="28.8" x14ac:dyDescent="0.3">
      <c r="A1078" s="345" t="s">
        <v>2745</v>
      </c>
      <c r="B1078" s="805"/>
      <c r="C1078" s="802"/>
      <c r="D1078" s="802"/>
      <c r="E1078" s="803"/>
      <c r="F1078" s="805">
        <v>54.5</v>
      </c>
      <c r="G1078" s="803"/>
      <c r="H1078" s="345">
        <v>3120.4</v>
      </c>
      <c r="I1078" s="345">
        <v>1</v>
      </c>
      <c r="J1078" s="345">
        <v>45.5</v>
      </c>
      <c r="K1078" s="345">
        <v>3404.1</v>
      </c>
      <c r="L1078" s="346"/>
      <c r="M1078" s="346"/>
      <c r="N1078" s="346"/>
      <c r="O1078" s="345"/>
      <c r="P1078" s="345"/>
      <c r="Q1078" s="345"/>
      <c r="R1078" s="345">
        <v>1</v>
      </c>
      <c r="S1078" s="345">
        <v>39.799999999999997</v>
      </c>
      <c r="T1078" s="345">
        <v>2045.5</v>
      </c>
      <c r="U1078" s="345">
        <v>1</v>
      </c>
      <c r="V1078" s="345">
        <v>43.1</v>
      </c>
      <c r="W1078" s="345">
        <v>3069.1</v>
      </c>
      <c r="X1078" s="345">
        <v>1</v>
      </c>
      <c r="Y1078" s="345">
        <v>40</v>
      </c>
      <c r="Z1078" s="345">
        <v>2706.1</v>
      </c>
      <c r="AA1078">
        <f t="shared" si="16"/>
        <v>1</v>
      </c>
    </row>
    <row r="1079" spans="1:27" ht="28.8" x14ac:dyDescent="0.3">
      <c r="A1079" s="345" t="s">
        <v>2746</v>
      </c>
      <c r="B1079" s="805"/>
      <c r="C1079" s="802"/>
      <c r="D1079" s="802"/>
      <c r="E1079" s="803"/>
      <c r="F1079" s="805">
        <v>100.5</v>
      </c>
      <c r="G1079" s="803"/>
      <c r="H1079" s="345">
        <v>3166.4</v>
      </c>
      <c r="I1079" s="345">
        <v>43.5</v>
      </c>
      <c r="J1079" s="345">
        <v>89</v>
      </c>
      <c r="K1079" s="345">
        <v>3447.6</v>
      </c>
      <c r="L1079" s="346"/>
      <c r="M1079" s="346"/>
      <c r="N1079" s="346"/>
      <c r="O1079" s="345"/>
      <c r="P1079" s="345"/>
      <c r="Q1079" s="345"/>
      <c r="R1079" s="345">
        <v>39.6</v>
      </c>
      <c r="S1079" s="345">
        <v>79.400000000000006</v>
      </c>
      <c r="T1079" s="345">
        <v>2085.1</v>
      </c>
      <c r="U1079" s="345">
        <v>44.5</v>
      </c>
      <c r="V1079" s="345">
        <v>87.6</v>
      </c>
      <c r="W1079" s="345">
        <v>3113.6</v>
      </c>
      <c r="X1079" s="345">
        <v>34</v>
      </c>
      <c r="Y1079" s="345">
        <v>74</v>
      </c>
      <c r="Z1079" s="345">
        <v>2740.1</v>
      </c>
      <c r="AA1079">
        <f t="shared" si="16"/>
        <v>43.5</v>
      </c>
    </row>
    <row r="1080" spans="1:27" ht="28.8" x14ac:dyDescent="0.3">
      <c r="A1080" s="345" t="s">
        <v>2747</v>
      </c>
      <c r="B1080" s="805"/>
      <c r="C1080" s="802"/>
      <c r="D1080" s="802"/>
      <c r="E1080" s="803"/>
      <c r="F1080" s="805">
        <v>101.5</v>
      </c>
      <c r="G1080" s="803"/>
      <c r="H1080" s="345">
        <v>3167.4</v>
      </c>
      <c r="I1080" s="345">
        <v>1.5</v>
      </c>
      <c r="J1080" s="345">
        <v>90.5</v>
      </c>
      <c r="K1080" s="345">
        <v>3449.1</v>
      </c>
      <c r="L1080" s="346"/>
      <c r="M1080" s="346"/>
      <c r="N1080" s="346"/>
      <c r="O1080" s="345"/>
      <c r="P1080" s="345"/>
      <c r="Q1080" s="345"/>
      <c r="R1080" s="345">
        <v>2</v>
      </c>
      <c r="S1080" s="345">
        <v>81.400000000000006</v>
      </c>
      <c r="T1080" s="345">
        <v>2087.1</v>
      </c>
      <c r="U1080" s="345">
        <v>2</v>
      </c>
      <c r="V1080" s="345">
        <v>89.6</v>
      </c>
      <c r="W1080" s="345">
        <v>3115.6</v>
      </c>
      <c r="X1080" s="345">
        <v>2</v>
      </c>
      <c r="Y1080" s="345">
        <v>76</v>
      </c>
      <c r="Z1080" s="345">
        <v>2742.1</v>
      </c>
      <c r="AA1080">
        <f t="shared" si="16"/>
        <v>1.5</v>
      </c>
    </row>
    <row r="1081" spans="1:27" ht="28.8" x14ac:dyDescent="0.3">
      <c r="A1081" s="345" t="s">
        <v>2748</v>
      </c>
      <c r="B1081" s="805"/>
      <c r="C1081" s="802"/>
      <c r="D1081" s="802"/>
      <c r="E1081" s="803"/>
      <c r="F1081" s="805">
        <v>112</v>
      </c>
      <c r="G1081" s="803"/>
      <c r="H1081" s="345">
        <v>3177.9</v>
      </c>
      <c r="I1081" s="345">
        <v>15</v>
      </c>
      <c r="J1081" s="345">
        <v>105.5</v>
      </c>
      <c r="K1081" s="345">
        <v>3464.1</v>
      </c>
      <c r="L1081" s="346"/>
      <c r="M1081" s="346"/>
      <c r="N1081" s="346"/>
      <c r="O1081" s="345"/>
      <c r="P1081" s="345"/>
      <c r="Q1081" s="345"/>
      <c r="R1081" s="345">
        <v>7</v>
      </c>
      <c r="S1081" s="345">
        <v>88.4</v>
      </c>
      <c r="T1081" s="345">
        <v>2094.1</v>
      </c>
      <c r="U1081" s="345">
        <v>8.5</v>
      </c>
      <c r="V1081" s="345">
        <v>98.1</v>
      </c>
      <c r="W1081" s="345">
        <v>3124.1</v>
      </c>
      <c r="X1081" s="345">
        <v>10</v>
      </c>
      <c r="Y1081" s="345">
        <v>86</v>
      </c>
      <c r="Z1081" s="345">
        <v>2752.1</v>
      </c>
      <c r="AA1081">
        <f t="shared" si="16"/>
        <v>15</v>
      </c>
    </row>
    <row r="1082" spans="1:27" ht="28.8" x14ac:dyDescent="0.3">
      <c r="A1082" s="345" t="s">
        <v>2749</v>
      </c>
      <c r="B1082" s="805"/>
      <c r="C1082" s="802"/>
      <c r="D1082" s="802"/>
      <c r="E1082" s="803"/>
      <c r="F1082" s="805">
        <v>112.5</v>
      </c>
      <c r="G1082" s="803"/>
      <c r="H1082" s="345">
        <v>3178.4</v>
      </c>
      <c r="I1082" s="345">
        <v>0.5</v>
      </c>
      <c r="J1082" s="345">
        <v>106</v>
      </c>
      <c r="K1082" s="345">
        <v>3464.6</v>
      </c>
      <c r="L1082" s="346"/>
      <c r="M1082" s="346"/>
      <c r="N1082" s="346"/>
      <c r="O1082" s="345"/>
      <c r="P1082" s="345"/>
      <c r="Q1082" s="345"/>
      <c r="R1082" s="345">
        <v>0.2</v>
      </c>
      <c r="S1082" s="345">
        <v>88.6</v>
      </c>
      <c r="T1082" s="345">
        <v>2094.3000000000002</v>
      </c>
      <c r="U1082" s="345">
        <v>0.2</v>
      </c>
      <c r="V1082" s="345">
        <v>98.3</v>
      </c>
      <c r="W1082" s="345">
        <v>3124.3</v>
      </c>
      <c r="X1082" s="345">
        <v>0.3</v>
      </c>
      <c r="Y1082" s="345">
        <v>86.3</v>
      </c>
      <c r="Z1082" s="345">
        <v>2752.4</v>
      </c>
      <c r="AA1082">
        <f t="shared" si="16"/>
        <v>0.5</v>
      </c>
    </row>
    <row r="1083" spans="1:27" ht="28.8" x14ac:dyDescent="0.3">
      <c r="A1083" s="345" t="s">
        <v>2750</v>
      </c>
      <c r="B1083" s="805"/>
      <c r="C1083" s="802"/>
      <c r="D1083" s="802"/>
      <c r="E1083" s="803"/>
      <c r="F1083" s="805">
        <v>112.5</v>
      </c>
      <c r="G1083" s="803"/>
      <c r="H1083" s="345">
        <v>3178.4</v>
      </c>
      <c r="I1083" s="345">
        <v>0</v>
      </c>
      <c r="J1083" s="345">
        <v>106</v>
      </c>
      <c r="K1083" s="345">
        <v>3464.6</v>
      </c>
      <c r="L1083" s="346"/>
      <c r="M1083" s="346"/>
      <c r="N1083" s="346"/>
      <c r="O1083" s="345"/>
      <c r="P1083" s="345"/>
      <c r="Q1083" s="345"/>
      <c r="R1083" s="345">
        <v>0</v>
      </c>
      <c r="S1083" s="345">
        <v>88.6</v>
      </c>
      <c r="T1083" s="345">
        <v>2094.3000000000002</v>
      </c>
      <c r="U1083" s="345">
        <v>0</v>
      </c>
      <c r="V1083" s="345">
        <v>98.3</v>
      </c>
      <c r="W1083" s="345">
        <v>3124.3</v>
      </c>
      <c r="X1083" s="345">
        <v>0</v>
      </c>
      <c r="Y1083" s="345">
        <v>86.3</v>
      </c>
      <c r="Z1083" s="345">
        <v>2752.4</v>
      </c>
      <c r="AA1083">
        <f t="shared" si="16"/>
        <v>0</v>
      </c>
    </row>
    <row r="1084" spans="1:27" ht="28.8" x14ac:dyDescent="0.3">
      <c r="A1084" s="345" t="s">
        <v>2751</v>
      </c>
      <c r="B1084" s="805"/>
      <c r="C1084" s="802"/>
      <c r="D1084" s="802"/>
      <c r="E1084" s="803"/>
      <c r="F1084" s="805">
        <v>112.5</v>
      </c>
      <c r="G1084" s="803"/>
      <c r="H1084" s="345">
        <v>3178.4</v>
      </c>
      <c r="I1084" s="345">
        <v>0</v>
      </c>
      <c r="J1084" s="345">
        <v>106</v>
      </c>
      <c r="K1084" s="345">
        <v>3464.6</v>
      </c>
      <c r="L1084" s="346"/>
      <c r="M1084" s="346"/>
      <c r="N1084" s="346"/>
      <c r="O1084" s="345"/>
      <c r="P1084" s="345"/>
      <c r="Q1084" s="345"/>
      <c r="R1084" s="345">
        <v>0</v>
      </c>
      <c r="S1084" s="345">
        <v>88.6</v>
      </c>
      <c r="T1084" s="345">
        <v>2094.3000000000002</v>
      </c>
      <c r="U1084" s="345">
        <v>0</v>
      </c>
      <c r="V1084" s="345">
        <v>98.3</v>
      </c>
      <c r="W1084" s="345">
        <v>3124.3</v>
      </c>
      <c r="X1084" s="345">
        <v>0</v>
      </c>
      <c r="Y1084" s="345">
        <v>86.3</v>
      </c>
      <c r="Z1084" s="345">
        <v>2752.4</v>
      </c>
      <c r="AA1084">
        <f t="shared" si="16"/>
        <v>0</v>
      </c>
    </row>
    <row r="1085" spans="1:27" ht="28.8" x14ac:dyDescent="0.3">
      <c r="A1085" s="345" t="s">
        <v>2752</v>
      </c>
      <c r="B1085" s="805"/>
      <c r="C1085" s="802"/>
      <c r="D1085" s="802"/>
      <c r="E1085" s="803"/>
      <c r="F1085" s="805">
        <v>112.5</v>
      </c>
      <c r="G1085" s="803"/>
      <c r="H1085" s="345">
        <v>3178.4</v>
      </c>
      <c r="I1085" s="345">
        <v>0</v>
      </c>
      <c r="J1085" s="345">
        <v>106</v>
      </c>
      <c r="K1085" s="345">
        <v>3464.6</v>
      </c>
      <c r="L1085" s="346"/>
      <c r="M1085" s="346"/>
      <c r="N1085" s="346"/>
      <c r="O1085" s="345"/>
      <c r="P1085" s="345"/>
      <c r="Q1085" s="345"/>
      <c r="R1085" s="345">
        <v>0.2</v>
      </c>
      <c r="S1085" s="345">
        <v>88.8</v>
      </c>
      <c r="T1085" s="345">
        <v>2094.5</v>
      </c>
      <c r="U1085" s="345">
        <v>0</v>
      </c>
      <c r="V1085" s="345">
        <v>98.3</v>
      </c>
      <c r="W1085" s="345">
        <v>3124.3</v>
      </c>
      <c r="X1085" s="345">
        <v>0</v>
      </c>
      <c r="Y1085" s="345">
        <v>86.3</v>
      </c>
      <c r="Z1085" s="345">
        <v>2752.4</v>
      </c>
      <c r="AA1085">
        <f t="shared" si="16"/>
        <v>0</v>
      </c>
    </row>
    <row r="1086" spans="1:27" ht="28.8" x14ac:dyDescent="0.3">
      <c r="A1086" s="345" t="s">
        <v>2753</v>
      </c>
      <c r="B1086" s="805"/>
      <c r="C1086" s="802"/>
      <c r="D1086" s="802"/>
      <c r="E1086" s="803"/>
      <c r="F1086" s="805">
        <v>112.5</v>
      </c>
      <c r="G1086" s="803"/>
      <c r="H1086" s="345">
        <v>3178.4</v>
      </c>
      <c r="I1086" s="345">
        <v>0</v>
      </c>
      <c r="J1086" s="345">
        <v>106</v>
      </c>
      <c r="K1086" s="345">
        <v>3464.6</v>
      </c>
      <c r="L1086" s="346"/>
      <c r="M1086" s="346"/>
      <c r="N1086" s="346"/>
      <c r="O1086" s="345"/>
      <c r="P1086" s="345"/>
      <c r="Q1086" s="345"/>
      <c r="R1086" s="345">
        <v>0</v>
      </c>
      <c r="S1086" s="345">
        <v>88.8</v>
      </c>
      <c r="T1086" s="345">
        <v>2094.5</v>
      </c>
      <c r="U1086" s="345">
        <v>0</v>
      </c>
      <c r="V1086" s="345">
        <v>98.3</v>
      </c>
      <c r="W1086" s="345">
        <v>3124.3</v>
      </c>
      <c r="X1086" s="345">
        <v>0</v>
      </c>
      <c r="Y1086" s="345">
        <v>86.3</v>
      </c>
      <c r="Z1086" s="345">
        <v>2752.4</v>
      </c>
      <c r="AA1086">
        <f t="shared" si="16"/>
        <v>0</v>
      </c>
    </row>
    <row r="1087" spans="1:27" ht="28.8" x14ac:dyDescent="0.3">
      <c r="A1087" s="345" t="s">
        <v>2754</v>
      </c>
      <c r="B1087" s="805"/>
      <c r="C1087" s="802"/>
      <c r="D1087" s="802"/>
      <c r="E1087" s="803"/>
      <c r="F1087" s="805">
        <v>112.5</v>
      </c>
      <c r="G1087" s="803"/>
      <c r="H1087" s="345">
        <v>3178.4</v>
      </c>
      <c r="I1087" s="345">
        <v>0</v>
      </c>
      <c r="J1087" s="345">
        <v>106</v>
      </c>
      <c r="K1087" s="345">
        <v>3464.6</v>
      </c>
      <c r="L1087" s="346"/>
      <c r="M1087" s="346"/>
      <c r="N1087" s="346"/>
      <c r="O1087" s="345"/>
      <c r="P1087" s="345"/>
      <c r="Q1087" s="345"/>
      <c r="R1087" s="345">
        <v>0</v>
      </c>
      <c r="S1087" s="345">
        <v>88.8</v>
      </c>
      <c r="T1087" s="345">
        <v>2094.5</v>
      </c>
      <c r="U1087" s="345">
        <v>0</v>
      </c>
      <c r="V1087" s="345">
        <v>98.3</v>
      </c>
      <c r="W1087" s="345">
        <v>3124.3</v>
      </c>
      <c r="X1087" s="345">
        <v>0</v>
      </c>
      <c r="Y1087" s="345">
        <v>86.3</v>
      </c>
      <c r="Z1087" s="345">
        <v>2752.4</v>
      </c>
      <c r="AA1087">
        <f t="shared" si="16"/>
        <v>0</v>
      </c>
    </row>
    <row r="1088" spans="1:27" ht="28.8" x14ac:dyDescent="0.3">
      <c r="A1088" s="345" t="s">
        <v>2755</v>
      </c>
      <c r="B1088" s="805"/>
      <c r="C1088" s="802"/>
      <c r="D1088" s="802"/>
      <c r="E1088" s="803"/>
      <c r="F1088" s="805">
        <v>112.5</v>
      </c>
      <c r="G1088" s="803"/>
      <c r="H1088" s="345">
        <v>3178.4</v>
      </c>
      <c r="I1088" s="345">
        <v>0</v>
      </c>
      <c r="J1088" s="345">
        <v>106</v>
      </c>
      <c r="K1088" s="345">
        <v>3464.6</v>
      </c>
      <c r="L1088" s="346"/>
      <c r="M1088" s="346"/>
      <c r="N1088" s="346"/>
      <c r="O1088" s="345"/>
      <c r="P1088" s="345"/>
      <c r="Q1088" s="345"/>
      <c r="R1088" s="345">
        <v>0</v>
      </c>
      <c r="S1088" s="345">
        <v>88.8</v>
      </c>
      <c r="T1088" s="345">
        <v>2094.5</v>
      </c>
      <c r="U1088" s="345">
        <v>0</v>
      </c>
      <c r="V1088" s="345">
        <v>98.3</v>
      </c>
      <c r="W1088" s="345">
        <v>3124.3</v>
      </c>
      <c r="X1088" s="345">
        <v>0</v>
      </c>
      <c r="Y1088" s="345">
        <v>86.3</v>
      </c>
      <c r="Z1088" s="345">
        <v>2752.4</v>
      </c>
      <c r="AA1088">
        <f t="shared" si="16"/>
        <v>0</v>
      </c>
    </row>
    <row r="1089" spans="1:27" ht="28.8" x14ac:dyDescent="0.3">
      <c r="A1089" s="345" t="s">
        <v>2756</v>
      </c>
      <c r="B1089" s="805"/>
      <c r="C1089" s="802"/>
      <c r="D1089" s="802"/>
      <c r="E1089" s="803"/>
      <c r="F1089" s="805">
        <v>113.5</v>
      </c>
      <c r="G1089" s="803"/>
      <c r="H1089" s="345">
        <v>3179.4</v>
      </c>
      <c r="I1089" s="345">
        <v>2.5</v>
      </c>
      <c r="J1089" s="345">
        <v>108.5</v>
      </c>
      <c r="K1089" s="345">
        <v>3467.1</v>
      </c>
      <c r="L1089" s="346"/>
      <c r="M1089" s="346"/>
      <c r="N1089" s="346"/>
      <c r="O1089" s="345"/>
      <c r="P1089" s="345"/>
      <c r="Q1089" s="345"/>
      <c r="R1089" s="345"/>
      <c r="S1089" s="345"/>
      <c r="T1089" s="345"/>
      <c r="U1089" s="345">
        <v>1</v>
      </c>
      <c r="V1089" s="345">
        <v>99.3</v>
      </c>
      <c r="W1089" s="345">
        <v>3125.3</v>
      </c>
      <c r="X1089" s="345">
        <v>1</v>
      </c>
      <c r="Y1089" s="345">
        <v>87.3</v>
      </c>
      <c r="Z1089" s="345">
        <v>2753.4</v>
      </c>
      <c r="AA1089">
        <f t="shared" si="16"/>
        <v>2.5</v>
      </c>
    </row>
    <row r="1090" spans="1:27" ht="28.8" x14ac:dyDescent="0.3">
      <c r="A1090" s="345" t="s">
        <v>2757</v>
      </c>
      <c r="B1090" s="805"/>
      <c r="C1090" s="802"/>
      <c r="D1090" s="802"/>
      <c r="E1090" s="803"/>
      <c r="F1090" s="805">
        <v>133.5</v>
      </c>
      <c r="G1090" s="803"/>
      <c r="H1090" s="345">
        <v>3199.4</v>
      </c>
      <c r="I1090" s="345">
        <v>21</v>
      </c>
      <c r="J1090" s="345">
        <v>129.5</v>
      </c>
      <c r="K1090" s="345">
        <v>3488.1</v>
      </c>
      <c r="L1090" s="346"/>
      <c r="M1090" s="346"/>
      <c r="N1090" s="346"/>
      <c r="O1090" s="345"/>
      <c r="P1090" s="345"/>
      <c r="Q1090" s="345"/>
      <c r="R1090" s="345">
        <v>20</v>
      </c>
      <c r="S1090" s="345">
        <v>108.8</v>
      </c>
      <c r="T1090" s="345">
        <v>2114.5</v>
      </c>
      <c r="U1090" s="345">
        <v>21.5</v>
      </c>
      <c r="V1090" s="345">
        <v>120.8</v>
      </c>
      <c r="W1090" s="345">
        <v>3146.8</v>
      </c>
      <c r="X1090" s="345">
        <v>19</v>
      </c>
      <c r="Y1090" s="345">
        <v>106.3</v>
      </c>
      <c r="Z1090" s="345">
        <v>2772.4</v>
      </c>
      <c r="AA1090">
        <f t="shared" si="16"/>
        <v>21</v>
      </c>
    </row>
    <row r="1091" spans="1:27" ht="28.8" x14ac:dyDescent="0.3">
      <c r="A1091" s="345" t="s">
        <v>2758</v>
      </c>
      <c r="B1091" s="805"/>
      <c r="C1091" s="802"/>
      <c r="D1091" s="802"/>
      <c r="E1091" s="803"/>
      <c r="F1091" s="805">
        <v>133.5</v>
      </c>
      <c r="G1091" s="803"/>
      <c r="H1091" s="345">
        <v>3199.4</v>
      </c>
      <c r="I1091" s="345">
        <v>0</v>
      </c>
      <c r="J1091" s="345">
        <v>129.5</v>
      </c>
      <c r="K1091" s="345">
        <v>3488.1</v>
      </c>
      <c r="L1091" s="346"/>
      <c r="M1091" s="346"/>
      <c r="N1091" s="346"/>
      <c r="O1091" s="345"/>
      <c r="P1091" s="345"/>
      <c r="Q1091" s="345"/>
      <c r="R1091" s="345">
        <v>0</v>
      </c>
      <c r="S1091" s="345">
        <v>108.8</v>
      </c>
      <c r="T1091" s="345">
        <v>2114.5</v>
      </c>
      <c r="U1091" s="345">
        <v>0</v>
      </c>
      <c r="V1091" s="345">
        <v>120.8</v>
      </c>
      <c r="W1091" s="345">
        <v>3146.8</v>
      </c>
      <c r="X1091" s="345">
        <v>0</v>
      </c>
      <c r="Y1091" s="345">
        <v>106.3</v>
      </c>
      <c r="Z1091" s="345">
        <v>2772.4</v>
      </c>
      <c r="AA1091">
        <f t="shared" si="16"/>
        <v>0</v>
      </c>
    </row>
    <row r="1092" spans="1:27" ht="28.8" x14ac:dyDescent="0.3">
      <c r="A1092" s="345" t="s">
        <v>2759</v>
      </c>
      <c r="B1092" s="805"/>
      <c r="C1092" s="802"/>
      <c r="D1092" s="802"/>
      <c r="E1092" s="803"/>
      <c r="F1092" s="805">
        <v>156.5</v>
      </c>
      <c r="G1092" s="803"/>
      <c r="H1092" s="345">
        <v>3222.4</v>
      </c>
      <c r="I1092" s="345">
        <v>34.5</v>
      </c>
      <c r="J1092" s="345">
        <v>164</v>
      </c>
      <c r="K1092" s="345">
        <v>3522.6</v>
      </c>
      <c r="L1092" s="346"/>
      <c r="M1092" s="346"/>
      <c r="N1092" s="346"/>
      <c r="O1092" s="345"/>
      <c r="P1092" s="345"/>
      <c r="Q1092" s="345"/>
      <c r="R1092" s="345">
        <v>26.6</v>
      </c>
      <c r="S1092" s="345">
        <v>135.4</v>
      </c>
      <c r="T1092" s="345">
        <v>2141.1</v>
      </c>
      <c r="U1092" s="345">
        <v>21.5</v>
      </c>
      <c r="V1092" s="345">
        <v>142.30000000000001</v>
      </c>
      <c r="W1092" s="345">
        <v>3168.3</v>
      </c>
      <c r="X1092" s="345">
        <v>18.5</v>
      </c>
      <c r="Y1092" s="345">
        <v>124.8</v>
      </c>
      <c r="Z1092" s="345">
        <v>2790.9</v>
      </c>
      <c r="AA1092">
        <f t="shared" si="16"/>
        <v>34.5</v>
      </c>
    </row>
    <row r="1093" spans="1:27" ht="28.8" x14ac:dyDescent="0.3">
      <c r="A1093" s="345" t="s">
        <v>2760</v>
      </c>
      <c r="B1093" s="805"/>
      <c r="C1093" s="802"/>
      <c r="D1093" s="802"/>
      <c r="E1093" s="803"/>
      <c r="F1093" s="805">
        <v>166</v>
      </c>
      <c r="G1093" s="803"/>
      <c r="H1093" s="345">
        <v>3231.9</v>
      </c>
      <c r="I1093" s="345">
        <v>12</v>
      </c>
      <c r="J1093" s="345">
        <v>176</v>
      </c>
      <c r="K1093" s="345">
        <v>3534.6</v>
      </c>
      <c r="L1093" s="346"/>
      <c r="M1093" s="346"/>
      <c r="N1093" s="346"/>
      <c r="O1093" s="345"/>
      <c r="P1093" s="345"/>
      <c r="Q1093" s="345"/>
      <c r="R1093" s="345">
        <v>2</v>
      </c>
      <c r="S1093" s="345">
        <v>137.4</v>
      </c>
      <c r="T1093" s="345">
        <v>2143.1</v>
      </c>
      <c r="U1093" s="345">
        <v>9</v>
      </c>
      <c r="V1093" s="345">
        <v>151.30000000000001</v>
      </c>
      <c r="W1093" s="345">
        <v>3177.3</v>
      </c>
      <c r="X1093" s="345">
        <v>8.5</v>
      </c>
      <c r="Y1093" s="345">
        <v>133.30000000000001</v>
      </c>
      <c r="Z1093" s="345">
        <v>2799.4</v>
      </c>
      <c r="AA1093">
        <f t="shared" si="16"/>
        <v>12</v>
      </c>
    </row>
    <row r="1094" spans="1:27" ht="28.8" x14ac:dyDescent="0.3">
      <c r="A1094" s="345" t="s">
        <v>2761</v>
      </c>
      <c r="B1094" s="805"/>
      <c r="C1094" s="802"/>
      <c r="D1094" s="802"/>
      <c r="E1094" s="803"/>
      <c r="F1094" s="805">
        <v>188</v>
      </c>
      <c r="G1094" s="803"/>
      <c r="H1094" s="345">
        <v>3253.9</v>
      </c>
      <c r="I1094" s="345">
        <v>30</v>
      </c>
      <c r="J1094" s="345">
        <v>206</v>
      </c>
      <c r="K1094" s="345">
        <v>3564.6</v>
      </c>
      <c r="L1094" s="346"/>
      <c r="M1094" s="346"/>
      <c r="N1094" s="346"/>
      <c r="O1094" s="345"/>
      <c r="P1094" s="345"/>
      <c r="Q1094" s="345"/>
      <c r="R1094" s="345">
        <v>18.8</v>
      </c>
      <c r="S1094" s="345">
        <v>156.19999999999999</v>
      </c>
      <c r="T1094" s="345">
        <v>2161.9</v>
      </c>
      <c r="U1094" s="345">
        <v>20.5</v>
      </c>
      <c r="V1094" s="345">
        <v>171.8</v>
      </c>
      <c r="W1094" s="345">
        <v>3197.8</v>
      </c>
      <c r="X1094" s="345">
        <v>18</v>
      </c>
      <c r="Y1094" s="345">
        <v>151.30000000000001</v>
      </c>
      <c r="Z1094" s="345">
        <v>2817.4</v>
      </c>
      <c r="AA1094">
        <f t="shared" si="16"/>
        <v>30</v>
      </c>
    </row>
    <row r="1095" spans="1:27" ht="28.8" x14ac:dyDescent="0.3">
      <c r="A1095" s="345" t="s">
        <v>2762</v>
      </c>
      <c r="B1095" s="805"/>
      <c r="C1095" s="802"/>
      <c r="D1095" s="802"/>
      <c r="E1095" s="803"/>
      <c r="F1095" s="805">
        <v>191</v>
      </c>
      <c r="G1095" s="803"/>
      <c r="H1095" s="345">
        <v>3256.9</v>
      </c>
      <c r="I1095" s="345">
        <v>3</v>
      </c>
      <c r="J1095" s="345">
        <v>209</v>
      </c>
      <c r="K1095" s="345">
        <v>3567.6</v>
      </c>
      <c r="L1095" s="346"/>
      <c r="M1095" s="346"/>
      <c r="N1095" s="346"/>
      <c r="O1095" s="345"/>
      <c r="P1095" s="345"/>
      <c r="Q1095" s="345"/>
      <c r="R1095" s="345">
        <v>2.6</v>
      </c>
      <c r="S1095" s="345">
        <v>158.80000000000001</v>
      </c>
      <c r="T1095" s="345">
        <v>2164.5</v>
      </c>
      <c r="U1095" s="345">
        <v>2.5</v>
      </c>
      <c r="V1095" s="345">
        <v>174.3</v>
      </c>
      <c r="W1095" s="345">
        <v>3200.3</v>
      </c>
      <c r="X1095" s="345">
        <v>2.5</v>
      </c>
      <c r="Y1095" s="345">
        <v>153.80000000000001</v>
      </c>
      <c r="Z1095" s="345">
        <v>2819.9</v>
      </c>
      <c r="AA1095">
        <f t="shared" si="16"/>
        <v>3</v>
      </c>
    </row>
    <row r="1096" spans="1:27" ht="28.8" x14ac:dyDescent="0.3">
      <c r="A1096" s="345" t="s">
        <v>2763</v>
      </c>
      <c r="B1096" s="805"/>
      <c r="C1096" s="802"/>
      <c r="D1096" s="802"/>
      <c r="E1096" s="803"/>
      <c r="F1096" s="805">
        <v>191.5</v>
      </c>
      <c r="G1096" s="803"/>
      <c r="H1096" s="345">
        <v>3257.4</v>
      </c>
      <c r="I1096" s="345">
        <v>1</v>
      </c>
      <c r="J1096" s="345">
        <v>210</v>
      </c>
      <c r="K1096" s="345">
        <v>3568.6</v>
      </c>
      <c r="L1096" s="346"/>
      <c r="M1096" s="346"/>
      <c r="N1096" s="346"/>
      <c r="O1096" s="345"/>
      <c r="P1096" s="345"/>
      <c r="Q1096" s="345"/>
      <c r="R1096" s="345">
        <v>0.2</v>
      </c>
      <c r="S1096" s="345">
        <v>159</v>
      </c>
      <c r="T1096" s="345">
        <v>2164.6999999999998</v>
      </c>
      <c r="U1096" s="345">
        <v>1</v>
      </c>
      <c r="V1096" s="345">
        <v>175.3</v>
      </c>
      <c r="W1096" s="345">
        <v>3201.3</v>
      </c>
      <c r="X1096" s="345">
        <v>0.5</v>
      </c>
      <c r="Y1096" s="345">
        <v>154.30000000000001</v>
      </c>
      <c r="Z1096" s="345">
        <v>2820.4</v>
      </c>
      <c r="AA1096">
        <f t="shared" si="16"/>
        <v>1</v>
      </c>
    </row>
    <row r="1097" spans="1:27" ht="28.8" x14ac:dyDescent="0.3">
      <c r="A1097" s="345" t="s">
        <v>2764</v>
      </c>
      <c r="B1097" s="805"/>
      <c r="C1097" s="802"/>
      <c r="D1097" s="802"/>
      <c r="E1097" s="803"/>
      <c r="F1097" s="805">
        <v>193.5</v>
      </c>
      <c r="G1097" s="803"/>
      <c r="H1097" s="345">
        <v>3259.4</v>
      </c>
      <c r="I1097" s="345">
        <v>4</v>
      </c>
      <c r="J1097" s="345">
        <v>214</v>
      </c>
      <c r="K1097" s="345">
        <v>3572.6</v>
      </c>
      <c r="L1097" s="346"/>
      <c r="M1097" s="346"/>
      <c r="N1097" s="346"/>
      <c r="O1097" s="345"/>
      <c r="P1097" s="345"/>
      <c r="Q1097" s="345"/>
      <c r="R1097" s="345">
        <v>4.4000000000000004</v>
      </c>
      <c r="S1097" s="345">
        <v>163.4</v>
      </c>
      <c r="T1097" s="345">
        <v>2169.1</v>
      </c>
      <c r="U1097" s="345">
        <v>5</v>
      </c>
      <c r="V1097" s="345">
        <v>180.3</v>
      </c>
      <c r="W1097" s="345">
        <v>3206.3</v>
      </c>
      <c r="X1097" s="345">
        <v>4.5</v>
      </c>
      <c r="Y1097" s="345">
        <v>158.80000000000001</v>
      </c>
      <c r="Z1097" s="345">
        <v>2824.9</v>
      </c>
      <c r="AA1097">
        <f t="shared" si="16"/>
        <v>4</v>
      </c>
    </row>
    <row r="1098" spans="1:27" s="362" customFormat="1" ht="28.8" x14ac:dyDescent="0.3">
      <c r="A1098" s="359" t="s">
        <v>2765</v>
      </c>
      <c r="B1098" s="811"/>
      <c r="C1098" s="812"/>
      <c r="D1098" s="812"/>
      <c r="E1098" s="813"/>
      <c r="F1098" s="811">
        <v>193.5</v>
      </c>
      <c r="G1098" s="813"/>
      <c r="H1098" s="359">
        <v>3259.4</v>
      </c>
      <c r="I1098" s="359">
        <v>0</v>
      </c>
      <c r="J1098" s="359">
        <v>214</v>
      </c>
      <c r="K1098" s="359">
        <v>3572.6</v>
      </c>
      <c r="L1098" s="359"/>
      <c r="M1098" s="359"/>
      <c r="N1098" s="359"/>
      <c r="O1098" s="359"/>
      <c r="P1098" s="359"/>
      <c r="Q1098" s="359"/>
      <c r="R1098" s="359">
        <v>0</v>
      </c>
      <c r="S1098" s="359">
        <v>163.4</v>
      </c>
      <c r="T1098" s="359">
        <v>2169.1</v>
      </c>
      <c r="U1098" s="359">
        <v>0</v>
      </c>
      <c r="V1098" s="359">
        <v>180.3</v>
      </c>
      <c r="W1098" s="359">
        <v>3206.3</v>
      </c>
      <c r="X1098" s="359">
        <v>0</v>
      </c>
      <c r="Y1098" s="359">
        <v>158.80000000000001</v>
      </c>
      <c r="Z1098" s="359">
        <v>2824.9</v>
      </c>
      <c r="AA1098" s="362">
        <f t="shared" si="16"/>
        <v>0</v>
      </c>
    </row>
    <row r="1099" spans="1:27" ht="28.8" x14ac:dyDescent="0.3">
      <c r="A1099" s="345" t="s">
        <v>2766</v>
      </c>
      <c r="B1099" s="805"/>
      <c r="C1099" s="802"/>
      <c r="D1099" s="802"/>
      <c r="E1099" s="803"/>
      <c r="F1099" s="805">
        <v>0.5</v>
      </c>
      <c r="G1099" s="803"/>
      <c r="H1099" s="345">
        <v>0.5</v>
      </c>
      <c r="I1099" s="345">
        <v>1.5</v>
      </c>
      <c r="J1099" s="345">
        <v>1.5</v>
      </c>
      <c r="K1099" s="345">
        <v>1.5</v>
      </c>
      <c r="L1099" s="346"/>
      <c r="M1099" s="346"/>
      <c r="N1099" s="346"/>
      <c r="O1099" s="345"/>
      <c r="P1099" s="345"/>
      <c r="Q1099" s="345"/>
      <c r="R1099" s="345">
        <v>1.5</v>
      </c>
      <c r="S1099" s="345">
        <v>1.5</v>
      </c>
      <c r="T1099" s="345">
        <v>1.5</v>
      </c>
      <c r="U1099" s="345">
        <v>1.5</v>
      </c>
      <c r="V1099" s="345">
        <v>1.5</v>
      </c>
      <c r="W1099" s="345">
        <v>1.5</v>
      </c>
      <c r="X1099" s="345">
        <v>1</v>
      </c>
      <c r="Y1099" s="345">
        <v>1</v>
      </c>
      <c r="Z1099" s="345">
        <v>1</v>
      </c>
      <c r="AA1099">
        <f t="shared" si="16"/>
        <v>1.5</v>
      </c>
    </row>
    <row r="1100" spans="1:27" ht="28.8" x14ac:dyDescent="0.3">
      <c r="A1100" s="345" t="s">
        <v>2767</v>
      </c>
      <c r="B1100" s="805"/>
      <c r="C1100" s="802"/>
      <c r="D1100" s="802"/>
      <c r="E1100" s="803"/>
      <c r="F1100" s="805">
        <v>0.5</v>
      </c>
      <c r="G1100" s="803"/>
      <c r="H1100" s="345">
        <v>0.5</v>
      </c>
      <c r="I1100" s="345">
        <v>0</v>
      </c>
      <c r="J1100" s="345">
        <v>1.5</v>
      </c>
      <c r="K1100" s="345">
        <v>1.5</v>
      </c>
      <c r="L1100" s="346"/>
      <c r="M1100" s="346"/>
      <c r="N1100" s="346"/>
      <c r="O1100" s="345"/>
      <c r="P1100" s="345"/>
      <c r="Q1100" s="345"/>
      <c r="R1100" s="345">
        <v>0</v>
      </c>
      <c r="S1100" s="345">
        <v>1.5</v>
      </c>
      <c r="T1100" s="345">
        <v>1.5</v>
      </c>
      <c r="U1100" s="345">
        <v>0</v>
      </c>
      <c r="V1100" s="345">
        <v>1.5</v>
      </c>
      <c r="W1100" s="345">
        <v>1.5</v>
      </c>
      <c r="X1100" s="345">
        <v>0</v>
      </c>
      <c r="Y1100" s="345">
        <v>1</v>
      </c>
      <c r="Z1100" s="345">
        <v>1</v>
      </c>
      <c r="AA1100">
        <f t="shared" ref="AA1100:AA1163" si="17">MAX(B1100+I1100+L1100+O1100)</f>
        <v>0</v>
      </c>
    </row>
    <row r="1101" spans="1:27" ht="28.8" x14ac:dyDescent="0.3">
      <c r="A1101" s="345" t="s">
        <v>2768</v>
      </c>
      <c r="B1101" s="805"/>
      <c r="C1101" s="802"/>
      <c r="D1101" s="802"/>
      <c r="E1101" s="803"/>
      <c r="F1101" s="805">
        <v>0.5</v>
      </c>
      <c r="G1101" s="803"/>
      <c r="H1101" s="345">
        <v>0.5</v>
      </c>
      <c r="I1101" s="345">
        <v>0</v>
      </c>
      <c r="J1101" s="345">
        <v>1.5</v>
      </c>
      <c r="K1101" s="345">
        <v>1.5</v>
      </c>
      <c r="L1101" s="346"/>
      <c r="M1101" s="346"/>
      <c r="N1101" s="346"/>
      <c r="O1101" s="345"/>
      <c r="P1101" s="345"/>
      <c r="Q1101" s="345"/>
      <c r="R1101" s="345">
        <v>0</v>
      </c>
      <c r="S1101" s="345">
        <v>1.5</v>
      </c>
      <c r="T1101" s="345">
        <v>1.5</v>
      </c>
      <c r="U1101" s="345">
        <v>0</v>
      </c>
      <c r="V1101" s="345">
        <v>1.5</v>
      </c>
      <c r="W1101" s="345">
        <v>1.5</v>
      </c>
      <c r="X1101" s="345">
        <v>0</v>
      </c>
      <c r="Y1101" s="345">
        <v>1</v>
      </c>
      <c r="Z1101" s="345">
        <v>1</v>
      </c>
      <c r="AA1101">
        <f t="shared" si="17"/>
        <v>0</v>
      </c>
    </row>
    <row r="1102" spans="1:27" ht="28.8" x14ac:dyDescent="0.3">
      <c r="A1102" s="345" t="s">
        <v>2769</v>
      </c>
      <c r="B1102" s="805"/>
      <c r="C1102" s="802"/>
      <c r="D1102" s="802"/>
      <c r="E1102" s="803"/>
      <c r="F1102" s="805">
        <v>2.5</v>
      </c>
      <c r="G1102" s="803"/>
      <c r="H1102" s="345">
        <v>2.5</v>
      </c>
      <c r="I1102" s="345">
        <v>12</v>
      </c>
      <c r="J1102" s="345">
        <v>13.5</v>
      </c>
      <c r="K1102" s="345">
        <v>13.5</v>
      </c>
      <c r="L1102" s="346"/>
      <c r="M1102" s="346"/>
      <c r="N1102" s="346"/>
      <c r="O1102" s="345"/>
      <c r="P1102" s="345"/>
      <c r="Q1102" s="345"/>
      <c r="R1102" s="345">
        <v>3.6</v>
      </c>
      <c r="S1102" s="345">
        <v>5.0999999999999996</v>
      </c>
      <c r="T1102" s="345">
        <v>5.0999999999999996</v>
      </c>
      <c r="U1102" s="345">
        <v>4</v>
      </c>
      <c r="V1102" s="345">
        <v>5.5</v>
      </c>
      <c r="W1102" s="345">
        <v>5.5</v>
      </c>
      <c r="X1102" s="345">
        <v>0</v>
      </c>
      <c r="Y1102" s="345">
        <v>1</v>
      </c>
      <c r="Z1102" s="345">
        <v>1</v>
      </c>
      <c r="AA1102">
        <f t="shared" si="17"/>
        <v>12</v>
      </c>
    </row>
    <row r="1103" spans="1:27" ht="28.8" x14ac:dyDescent="0.3">
      <c r="A1103" s="345" t="s">
        <v>2770</v>
      </c>
      <c r="B1103" s="805"/>
      <c r="C1103" s="802"/>
      <c r="D1103" s="802"/>
      <c r="E1103" s="803"/>
      <c r="F1103" s="805">
        <v>41.5</v>
      </c>
      <c r="G1103" s="803"/>
      <c r="H1103" s="345">
        <v>41.5</v>
      </c>
      <c r="I1103" s="345">
        <v>55.5</v>
      </c>
      <c r="J1103" s="345">
        <v>69</v>
      </c>
      <c r="K1103" s="345">
        <v>69</v>
      </c>
      <c r="L1103" s="346"/>
      <c r="M1103" s="346"/>
      <c r="N1103" s="346"/>
      <c r="O1103" s="345"/>
      <c r="P1103" s="345"/>
      <c r="Q1103" s="345"/>
      <c r="R1103" s="345"/>
      <c r="S1103" s="345"/>
      <c r="T1103" s="345"/>
      <c r="U1103" s="345">
        <v>29.5</v>
      </c>
      <c r="V1103" s="345">
        <v>35</v>
      </c>
      <c r="W1103" s="345">
        <v>35</v>
      </c>
      <c r="X1103" s="345">
        <v>21.5</v>
      </c>
      <c r="Y1103" s="345">
        <v>22.5</v>
      </c>
      <c r="Z1103" s="345">
        <v>22.5</v>
      </c>
      <c r="AA1103">
        <f t="shared" si="17"/>
        <v>55.5</v>
      </c>
    </row>
    <row r="1104" spans="1:27" ht="28.8" x14ac:dyDescent="0.3">
      <c r="A1104" s="345" t="s">
        <v>2771</v>
      </c>
      <c r="B1104" s="805"/>
      <c r="C1104" s="802"/>
      <c r="D1104" s="802"/>
      <c r="E1104" s="803"/>
      <c r="F1104" s="805">
        <v>51.5</v>
      </c>
      <c r="G1104" s="803"/>
      <c r="H1104" s="345">
        <v>51.5</v>
      </c>
      <c r="I1104" s="345">
        <v>13.5</v>
      </c>
      <c r="J1104" s="345">
        <v>82.5</v>
      </c>
      <c r="K1104" s="345">
        <v>82.5</v>
      </c>
      <c r="L1104" s="346"/>
      <c r="M1104" s="346"/>
      <c r="N1104" s="346"/>
      <c r="O1104" s="345"/>
      <c r="P1104" s="345"/>
      <c r="Q1104" s="345"/>
      <c r="R1104" s="345"/>
      <c r="S1104" s="345"/>
      <c r="T1104" s="345"/>
      <c r="U1104" s="345">
        <v>10.5</v>
      </c>
      <c r="V1104" s="345">
        <v>45.5</v>
      </c>
      <c r="W1104" s="345">
        <v>45.5</v>
      </c>
      <c r="X1104" s="345">
        <v>9</v>
      </c>
      <c r="Y1104" s="345">
        <v>31.5</v>
      </c>
      <c r="Z1104" s="345">
        <v>31.5</v>
      </c>
      <c r="AA1104">
        <f t="shared" si="17"/>
        <v>13.5</v>
      </c>
    </row>
    <row r="1105" spans="1:27" ht="28.8" x14ac:dyDescent="0.3">
      <c r="A1105" s="345" t="s">
        <v>2772</v>
      </c>
      <c r="B1105" s="805"/>
      <c r="C1105" s="802"/>
      <c r="D1105" s="802"/>
      <c r="E1105" s="803"/>
      <c r="F1105" s="805">
        <v>55</v>
      </c>
      <c r="G1105" s="803"/>
      <c r="H1105" s="345">
        <v>55</v>
      </c>
      <c r="I1105" s="345">
        <v>6</v>
      </c>
      <c r="J1105" s="345">
        <v>88.5</v>
      </c>
      <c r="K1105" s="345">
        <v>88.5</v>
      </c>
      <c r="L1105" s="346"/>
      <c r="M1105" s="346"/>
      <c r="N1105" s="346"/>
      <c r="O1105" s="345"/>
      <c r="P1105" s="345"/>
      <c r="Q1105" s="345"/>
      <c r="R1105" s="345">
        <v>2.2000000000000002</v>
      </c>
      <c r="S1105" s="345">
        <v>7.3</v>
      </c>
      <c r="T1105" s="345">
        <v>7.3</v>
      </c>
      <c r="U1105" s="345">
        <v>3</v>
      </c>
      <c r="V1105" s="345">
        <v>48.5</v>
      </c>
      <c r="W1105" s="345">
        <v>48.5</v>
      </c>
      <c r="X1105" s="345">
        <v>3</v>
      </c>
      <c r="Y1105" s="345">
        <v>34.5</v>
      </c>
      <c r="Z1105" s="345">
        <v>34.5</v>
      </c>
      <c r="AA1105">
        <f t="shared" si="17"/>
        <v>6</v>
      </c>
    </row>
    <row r="1106" spans="1:27" ht="28.8" x14ac:dyDescent="0.3">
      <c r="A1106" s="345" t="s">
        <v>2773</v>
      </c>
      <c r="B1106" s="805"/>
      <c r="C1106" s="802"/>
      <c r="D1106" s="802"/>
      <c r="E1106" s="803"/>
      <c r="F1106" s="805">
        <v>90.5</v>
      </c>
      <c r="G1106" s="803"/>
      <c r="H1106" s="345">
        <v>90.5</v>
      </c>
      <c r="I1106" s="345">
        <v>20.5</v>
      </c>
      <c r="J1106" s="345">
        <v>109</v>
      </c>
      <c r="K1106" s="345">
        <v>109</v>
      </c>
      <c r="L1106" s="346"/>
      <c r="M1106" s="346"/>
      <c r="N1106" s="346"/>
      <c r="O1106" s="345"/>
      <c r="P1106" s="345"/>
      <c r="Q1106" s="345"/>
      <c r="R1106" s="345">
        <v>106.4</v>
      </c>
      <c r="S1106" s="345">
        <v>113.7</v>
      </c>
      <c r="T1106" s="345">
        <v>113.7</v>
      </c>
      <c r="U1106" s="345">
        <v>33</v>
      </c>
      <c r="V1106" s="345">
        <v>81.5</v>
      </c>
      <c r="W1106" s="345">
        <v>81.5</v>
      </c>
      <c r="X1106" s="345">
        <v>24.5</v>
      </c>
      <c r="Y1106" s="345">
        <v>59</v>
      </c>
      <c r="Z1106" s="345">
        <v>59</v>
      </c>
      <c r="AA1106">
        <f t="shared" si="17"/>
        <v>20.5</v>
      </c>
    </row>
    <row r="1107" spans="1:27" ht="28.8" x14ac:dyDescent="0.3">
      <c r="A1107" s="345" t="s">
        <v>2774</v>
      </c>
      <c r="B1107" s="805"/>
      <c r="C1107" s="802"/>
      <c r="D1107" s="802"/>
      <c r="E1107" s="803"/>
      <c r="F1107" s="805">
        <v>90.5</v>
      </c>
      <c r="G1107" s="803"/>
      <c r="H1107" s="345">
        <v>90.5</v>
      </c>
      <c r="I1107" s="345">
        <v>0</v>
      </c>
      <c r="J1107" s="345">
        <v>109</v>
      </c>
      <c r="K1107" s="345">
        <v>109</v>
      </c>
      <c r="L1107" s="346"/>
      <c r="M1107" s="346"/>
      <c r="N1107" s="346"/>
      <c r="O1107" s="345"/>
      <c r="P1107" s="345"/>
      <c r="Q1107" s="345"/>
      <c r="R1107" s="345">
        <v>0</v>
      </c>
      <c r="S1107" s="345">
        <v>113.7</v>
      </c>
      <c r="T1107" s="345">
        <v>113.7</v>
      </c>
      <c r="U1107" s="345">
        <v>0</v>
      </c>
      <c r="V1107" s="345">
        <v>81.5</v>
      </c>
      <c r="W1107" s="345">
        <v>81.5</v>
      </c>
      <c r="X1107" s="345">
        <v>0</v>
      </c>
      <c r="Y1107" s="345">
        <v>59</v>
      </c>
      <c r="Z1107" s="345">
        <v>59</v>
      </c>
      <c r="AA1107">
        <f t="shared" si="17"/>
        <v>0</v>
      </c>
    </row>
    <row r="1108" spans="1:27" ht="28.8" x14ac:dyDescent="0.3">
      <c r="A1108" s="345" t="s">
        <v>2775</v>
      </c>
      <c r="B1108" s="805"/>
      <c r="C1108" s="802"/>
      <c r="D1108" s="802"/>
      <c r="E1108" s="803"/>
      <c r="F1108" s="805">
        <v>90.5</v>
      </c>
      <c r="G1108" s="803"/>
      <c r="H1108" s="345">
        <v>90.5</v>
      </c>
      <c r="I1108" s="345">
        <v>0</v>
      </c>
      <c r="J1108" s="345">
        <v>109</v>
      </c>
      <c r="K1108" s="345">
        <v>109</v>
      </c>
      <c r="L1108" s="346"/>
      <c r="M1108" s="346"/>
      <c r="N1108" s="346"/>
      <c r="O1108" s="345"/>
      <c r="P1108" s="345"/>
      <c r="Q1108" s="345"/>
      <c r="R1108" s="345">
        <v>0</v>
      </c>
      <c r="S1108" s="345">
        <v>113.7</v>
      </c>
      <c r="T1108" s="345">
        <v>113.7</v>
      </c>
      <c r="U1108" s="345">
        <v>0</v>
      </c>
      <c r="V1108" s="345">
        <v>81.5</v>
      </c>
      <c r="W1108" s="345">
        <v>81.5</v>
      </c>
      <c r="X1108" s="345">
        <v>0</v>
      </c>
      <c r="Y1108" s="345">
        <v>59</v>
      </c>
      <c r="Z1108" s="345">
        <v>59</v>
      </c>
      <c r="AA1108">
        <f t="shared" si="17"/>
        <v>0</v>
      </c>
    </row>
    <row r="1109" spans="1:27" ht="28.8" x14ac:dyDescent="0.3">
      <c r="A1109" s="345" t="s">
        <v>2776</v>
      </c>
      <c r="B1109" s="805"/>
      <c r="C1109" s="802"/>
      <c r="D1109" s="802"/>
      <c r="E1109" s="803"/>
      <c r="F1109" s="805">
        <v>90.5</v>
      </c>
      <c r="G1109" s="803"/>
      <c r="H1109" s="345">
        <v>90.5</v>
      </c>
      <c r="I1109" s="345">
        <v>0.5</v>
      </c>
      <c r="J1109" s="345">
        <v>109.5</v>
      </c>
      <c r="K1109" s="345">
        <v>109.5</v>
      </c>
      <c r="L1109" s="346"/>
      <c r="M1109" s="346"/>
      <c r="N1109" s="346"/>
      <c r="O1109" s="345"/>
      <c r="P1109" s="345"/>
      <c r="Q1109" s="345"/>
      <c r="R1109" s="345">
        <v>0</v>
      </c>
      <c r="S1109" s="345">
        <v>113.7</v>
      </c>
      <c r="T1109" s="345">
        <v>113.7</v>
      </c>
      <c r="U1109" s="345">
        <v>0.5</v>
      </c>
      <c r="V1109" s="345">
        <v>82</v>
      </c>
      <c r="W1109" s="345">
        <v>82</v>
      </c>
      <c r="X1109" s="345">
        <v>0.5</v>
      </c>
      <c r="Y1109" s="345">
        <v>59.5</v>
      </c>
      <c r="Z1109" s="345">
        <v>59.5</v>
      </c>
      <c r="AA1109">
        <f t="shared" si="17"/>
        <v>0.5</v>
      </c>
    </row>
    <row r="1110" spans="1:27" ht="28.8" x14ac:dyDescent="0.3">
      <c r="A1110" s="345" t="s">
        <v>2777</v>
      </c>
      <c r="B1110" s="805"/>
      <c r="C1110" s="802"/>
      <c r="D1110" s="802"/>
      <c r="E1110" s="803"/>
      <c r="F1110" s="805">
        <v>116</v>
      </c>
      <c r="G1110" s="803"/>
      <c r="H1110" s="345">
        <v>116</v>
      </c>
      <c r="I1110" s="345">
        <v>29</v>
      </c>
      <c r="J1110" s="345">
        <v>138.5</v>
      </c>
      <c r="K1110" s="345">
        <v>138.5</v>
      </c>
      <c r="L1110" s="346"/>
      <c r="M1110" s="346"/>
      <c r="N1110" s="346"/>
      <c r="O1110" s="345"/>
      <c r="P1110" s="345"/>
      <c r="Q1110" s="345"/>
      <c r="R1110" s="345">
        <v>21.4</v>
      </c>
      <c r="S1110" s="345">
        <v>135.1</v>
      </c>
      <c r="T1110" s="345">
        <v>135.1</v>
      </c>
      <c r="U1110" s="345">
        <v>23.5</v>
      </c>
      <c r="V1110" s="345">
        <v>105.5</v>
      </c>
      <c r="W1110" s="345">
        <v>105.5</v>
      </c>
      <c r="X1110" s="345">
        <v>20.5</v>
      </c>
      <c r="Y1110" s="345">
        <v>80</v>
      </c>
      <c r="Z1110" s="345">
        <v>80</v>
      </c>
      <c r="AA1110">
        <f t="shared" si="17"/>
        <v>29</v>
      </c>
    </row>
    <row r="1111" spans="1:27" ht="28.8" x14ac:dyDescent="0.3">
      <c r="A1111" s="345" t="s">
        <v>2778</v>
      </c>
      <c r="B1111" s="805"/>
      <c r="C1111" s="802"/>
      <c r="D1111" s="802"/>
      <c r="E1111" s="803"/>
      <c r="F1111" s="805">
        <v>118.5</v>
      </c>
      <c r="G1111" s="803"/>
      <c r="H1111" s="345">
        <v>118.5</v>
      </c>
      <c r="I1111" s="345">
        <v>3</v>
      </c>
      <c r="J1111" s="345">
        <v>141.5</v>
      </c>
      <c r="K1111" s="345">
        <v>141.5</v>
      </c>
      <c r="L1111" s="346"/>
      <c r="M1111" s="346"/>
      <c r="N1111" s="346"/>
      <c r="O1111" s="345"/>
      <c r="P1111" s="345"/>
      <c r="Q1111" s="345"/>
      <c r="R1111" s="345">
        <v>2.4</v>
      </c>
      <c r="S1111" s="345">
        <v>137.5</v>
      </c>
      <c r="T1111" s="345">
        <v>137.5</v>
      </c>
      <c r="U1111" s="345">
        <v>3</v>
      </c>
      <c r="V1111" s="345">
        <v>108.5</v>
      </c>
      <c r="W1111" s="345">
        <v>108.5</v>
      </c>
      <c r="X1111" s="345">
        <v>3</v>
      </c>
      <c r="Y1111" s="345">
        <v>83</v>
      </c>
      <c r="Z1111" s="345">
        <v>83</v>
      </c>
      <c r="AA1111">
        <f t="shared" si="17"/>
        <v>3</v>
      </c>
    </row>
    <row r="1112" spans="1:27" ht="28.8" x14ac:dyDescent="0.3">
      <c r="A1112" s="345" t="s">
        <v>2779</v>
      </c>
      <c r="B1112" s="805"/>
      <c r="C1112" s="802"/>
      <c r="D1112" s="802"/>
      <c r="E1112" s="803"/>
      <c r="F1112" s="805">
        <v>184.5</v>
      </c>
      <c r="G1112" s="803"/>
      <c r="H1112" s="345">
        <v>184.5</v>
      </c>
      <c r="I1112" s="345">
        <v>60.5</v>
      </c>
      <c r="J1112" s="345">
        <v>202</v>
      </c>
      <c r="K1112" s="345">
        <v>202</v>
      </c>
      <c r="L1112" s="346"/>
      <c r="M1112" s="346"/>
      <c r="N1112" s="346"/>
      <c r="O1112" s="345"/>
      <c r="P1112" s="345"/>
      <c r="Q1112" s="345"/>
      <c r="R1112" s="345">
        <v>67.2</v>
      </c>
      <c r="S1112" s="345">
        <v>204.7</v>
      </c>
      <c r="T1112" s="345">
        <v>204.7</v>
      </c>
      <c r="U1112" s="345">
        <v>87.5</v>
      </c>
      <c r="V1112" s="345">
        <v>196</v>
      </c>
      <c r="W1112" s="345">
        <v>196</v>
      </c>
      <c r="X1112" s="345">
        <v>70.5</v>
      </c>
      <c r="Y1112" s="345">
        <v>153.5</v>
      </c>
      <c r="Z1112" s="345">
        <v>153.5</v>
      </c>
      <c r="AA1112">
        <f t="shared" si="17"/>
        <v>60.5</v>
      </c>
    </row>
    <row r="1113" spans="1:27" ht="28.8" x14ac:dyDescent="0.3">
      <c r="A1113" s="345" t="s">
        <v>2780</v>
      </c>
      <c r="B1113" s="805"/>
      <c r="C1113" s="802"/>
      <c r="D1113" s="802"/>
      <c r="E1113" s="803"/>
      <c r="F1113" s="805">
        <v>184.5</v>
      </c>
      <c r="G1113" s="803"/>
      <c r="H1113" s="345">
        <v>184.5</v>
      </c>
      <c r="I1113" s="345">
        <v>0</v>
      </c>
      <c r="J1113" s="345">
        <v>202</v>
      </c>
      <c r="K1113" s="345">
        <v>202</v>
      </c>
      <c r="L1113" s="346"/>
      <c r="M1113" s="346"/>
      <c r="N1113" s="346"/>
      <c r="O1113" s="345"/>
      <c r="P1113" s="345"/>
      <c r="Q1113" s="345"/>
      <c r="R1113" s="345">
        <v>0.2</v>
      </c>
      <c r="S1113" s="345">
        <v>204.9</v>
      </c>
      <c r="T1113" s="345">
        <v>204.9</v>
      </c>
      <c r="U1113" s="345">
        <v>0</v>
      </c>
      <c r="V1113" s="345">
        <v>196</v>
      </c>
      <c r="W1113" s="345">
        <v>196</v>
      </c>
      <c r="X1113" s="345">
        <v>0</v>
      </c>
      <c r="Y1113" s="345">
        <v>153.5</v>
      </c>
      <c r="Z1113" s="345">
        <v>153.5</v>
      </c>
      <c r="AA1113">
        <f t="shared" si="17"/>
        <v>0</v>
      </c>
    </row>
    <row r="1114" spans="1:27" ht="28.8" x14ac:dyDescent="0.3">
      <c r="A1114" s="345" t="s">
        <v>2781</v>
      </c>
      <c r="B1114" s="805"/>
      <c r="C1114" s="802"/>
      <c r="D1114" s="802"/>
      <c r="E1114" s="803"/>
      <c r="F1114" s="805">
        <v>222</v>
      </c>
      <c r="G1114" s="803"/>
      <c r="H1114" s="345">
        <v>222</v>
      </c>
      <c r="I1114" s="345">
        <v>32.5</v>
      </c>
      <c r="J1114" s="345">
        <v>234.5</v>
      </c>
      <c r="K1114" s="345">
        <v>234.5</v>
      </c>
      <c r="L1114" s="346"/>
      <c r="M1114" s="346"/>
      <c r="N1114" s="346"/>
      <c r="O1114" s="345"/>
      <c r="P1114" s="345"/>
      <c r="Q1114" s="345"/>
      <c r="R1114" s="345">
        <v>32.200000000000003</v>
      </c>
      <c r="S1114" s="345">
        <v>237.1</v>
      </c>
      <c r="T1114" s="345">
        <v>237.1</v>
      </c>
      <c r="U1114" s="345">
        <v>36.5</v>
      </c>
      <c r="V1114" s="345">
        <v>232.5</v>
      </c>
      <c r="W1114" s="345">
        <v>232.5</v>
      </c>
      <c r="X1114" s="345">
        <v>30.5</v>
      </c>
      <c r="Y1114" s="345">
        <v>184</v>
      </c>
      <c r="Z1114" s="345">
        <v>184</v>
      </c>
      <c r="AA1114">
        <f t="shared" si="17"/>
        <v>32.5</v>
      </c>
    </row>
    <row r="1115" spans="1:27" ht="28.8" x14ac:dyDescent="0.3">
      <c r="A1115" s="345" t="s">
        <v>2782</v>
      </c>
      <c r="B1115" s="805"/>
      <c r="C1115" s="802"/>
      <c r="D1115" s="802"/>
      <c r="E1115" s="803"/>
      <c r="F1115" s="805">
        <v>222</v>
      </c>
      <c r="G1115" s="803"/>
      <c r="H1115" s="345">
        <v>222</v>
      </c>
      <c r="I1115" s="345">
        <v>0</v>
      </c>
      <c r="J1115" s="345">
        <v>234.5</v>
      </c>
      <c r="K1115" s="345">
        <v>234.5</v>
      </c>
      <c r="L1115" s="346"/>
      <c r="M1115" s="346"/>
      <c r="N1115" s="346"/>
      <c r="O1115" s="345"/>
      <c r="P1115" s="345"/>
      <c r="Q1115" s="345"/>
      <c r="R1115" s="345">
        <v>0.2</v>
      </c>
      <c r="S1115" s="345">
        <v>237.3</v>
      </c>
      <c r="T1115" s="345">
        <v>237.3</v>
      </c>
      <c r="U1115" s="345">
        <v>0</v>
      </c>
      <c r="V1115" s="345">
        <v>232.5</v>
      </c>
      <c r="W1115" s="345">
        <v>232.5</v>
      </c>
      <c r="X1115" s="345">
        <v>0.5</v>
      </c>
      <c r="Y1115" s="345">
        <v>184.5</v>
      </c>
      <c r="Z1115" s="345">
        <v>184.5</v>
      </c>
      <c r="AA1115">
        <f t="shared" si="17"/>
        <v>0</v>
      </c>
    </row>
    <row r="1116" spans="1:27" ht="28.8" x14ac:dyDescent="0.3">
      <c r="A1116" s="345" t="s">
        <v>2783</v>
      </c>
      <c r="B1116" s="805"/>
      <c r="C1116" s="802"/>
      <c r="D1116" s="802"/>
      <c r="E1116" s="803"/>
      <c r="F1116" s="805">
        <v>222</v>
      </c>
      <c r="G1116" s="803"/>
      <c r="H1116" s="345">
        <v>222</v>
      </c>
      <c r="I1116" s="345">
        <v>0</v>
      </c>
      <c r="J1116" s="345">
        <v>234.5</v>
      </c>
      <c r="K1116" s="345">
        <v>234.5</v>
      </c>
      <c r="L1116" s="346"/>
      <c r="M1116" s="346"/>
      <c r="N1116" s="346"/>
      <c r="O1116" s="345"/>
      <c r="P1116" s="345"/>
      <c r="Q1116" s="345"/>
      <c r="R1116" s="345">
        <v>0</v>
      </c>
      <c r="S1116" s="345">
        <v>237.3</v>
      </c>
      <c r="T1116" s="345">
        <v>237.3</v>
      </c>
      <c r="U1116" s="345">
        <v>0</v>
      </c>
      <c r="V1116" s="345">
        <v>232.5</v>
      </c>
      <c r="W1116" s="345">
        <v>232.5</v>
      </c>
      <c r="X1116" s="345">
        <v>0</v>
      </c>
      <c r="Y1116" s="345">
        <v>184.5</v>
      </c>
      <c r="Z1116" s="345">
        <v>184.5</v>
      </c>
      <c r="AA1116">
        <f t="shared" si="17"/>
        <v>0</v>
      </c>
    </row>
    <row r="1117" spans="1:27" ht="28.8" x14ac:dyDescent="0.3">
      <c r="A1117" s="345" t="s">
        <v>2784</v>
      </c>
      <c r="B1117" s="805"/>
      <c r="C1117" s="802"/>
      <c r="D1117" s="802"/>
      <c r="E1117" s="803"/>
      <c r="F1117" s="805">
        <v>222</v>
      </c>
      <c r="G1117" s="803"/>
      <c r="H1117" s="345">
        <v>222</v>
      </c>
      <c r="I1117" s="345">
        <v>0</v>
      </c>
      <c r="J1117" s="345">
        <v>234.5</v>
      </c>
      <c r="K1117" s="345">
        <v>234.5</v>
      </c>
      <c r="L1117" s="346"/>
      <c r="M1117" s="346"/>
      <c r="N1117" s="346"/>
      <c r="O1117" s="345"/>
      <c r="P1117" s="345"/>
      <c r="Q1117" s="345"/>
      <c r="R1117" s="345">
        <v>0</v>
      </c>
      <c r="S1117" s="345">
        <v>237.3</v>
      </c>
      <c r="T1117" s="345">
        <v>237.3</v>
      </c>
      <c r="U1117" s="345">
        <v>0</v>
      </c>
      <c r="V1117" s="345">
        <v>232.5</v>
      </c>
      <c r="W1117" s="345">
        <v>232.5</v>
      </c>
      <c r="X1117" s="345">
        <v>0</v>
      </c>
      <c r="Y1117" s="345">
        <v>184.5</v>
      </c>
      <c r="Z1117" s="345">
        <v>184.5</v>
      </c>
      <c r="AA1117">
        <f t="shared" si="17"/>
        <v>0</v>
      </c>
    </row>
    <row r="1118" spans="1:27" ht="28.8" x14ac:dyDescent="0.3">
      <c r="A1118" s="345" t="s">
        <v>2785</v>
      </c>
      <c r="B1118" s="805"/>
      <c r="C1118" s="802"/>
      <c r="D1118" s="802"/>
      <c r="E1118" s="803"/>
      <c r="F1118" s="805">
        <v>228</v>
      </c>
      <c r="G1118" s="803"/>
      <c r="H1118" s="345">
        <v>228</v>
      </c>
      <c r="I1118" s="345">
        <v>9.5</v>
      </c>
      <c r="J1118" s="345">
        <v>244</v>
      </c>
      <c r="K1118" s="345">
        <v>244</v>
      </c>
      <c r="L1118" s="346"/>
      <c r="M1118" s="346"/>
      <c r="N1118" s="346"/>
      <c r="O1118" s="345"/>
      <c r="P1118" s="345"/>
      <c r="Q1118" s="345"/>
      <c r="R1118" s="345">
        <v>21</v>
      </c>
      <c r="S1118" s="345">
        <v>258.3</v>
      </c>
      <c r="T1118" s="345">
        <v>258.3</v>
      </c>
      <c r="U1118" s="345">
        <v>22.5</v>
      </c>
      <c r="V1118" s="345">
        <v>255</v>
      </c>
      <c r="W1118" s="345">
        <v>255</v>
      </c>
      <c r="X1118" s="345">
        <v>11</v>
      </c>
      <c r="Y1118" s="345">
        <v>195.5</v>
      </c>
      <c r="Z1118" s="345">
        <v>195.5</v>
      </c>
      <c r="AA1118">
        <f t="shared" si="17"/>
        <v>9.5</v>
      </c>
    </row>
    <row r="1119" spans="1:27" ht="28.8" x14ac:dyDescent="0.3">
      <c r="A1119" s="345" t="s">
        <v>2786</v>
      </c>
      <c r="B1119" s="805"/>
      <c r="C1119" s="802"/>
      <c r="D1119" s="802"/>
      <c r="E1119" s="803"/>
      <c r="F1119" s="805">
        <v>250</v>
      </c>
      <c r="G1119" s="803"/>
      <c r="H1119" s="345">
        <v>250</v>
      </c>
      <c r="I1119" s="345">
        <v>19.5</v>
      </c>
      <c r="J1119" s="345">
        <v>263.5</v>
      </c>
      <c r="K1119" s="345">
        <v>263.5</v>
      </c>
      <c r="L1119" s="346"/>
      <c r="M1119" s="346"/>
      <c r="N1119" s="346"/>
      <c r="O1119" s="345"/>
      <c r="P1119" s="345"/>
      <c r="Q1119" s="345"/>
      <c r="R1119" s="345">
        <v>14</v>
      </c>
      <c r="S1119" s="345">
        <v>272.3</v>
      </c>
      <c r="T1119" s="345">
        <v>272.3</v>
      </c>
      <c r="U1119" s="345">
        <v>16.5</v>
      </c>
      <c r="V1119" s="345">
        <v>271.5</v>
      </c>
      <c r="W1119" s="345">
        <v>271.5</v>
      </c>
      <c r="X1119" s="345">
        <v>12.5</v>
      </c>
      <c r="Y1119" s="345">
        <v>208</v>
      </c>
      <c r="Z1119" s="345">
        <v>208</v>
      </c>
      <c r="AA1119">
        <f t="shared" si="17"/>
        <v>19.5</v>
      </c>
    </row>
    <row r="1120" spans="1:27" ht="28.8" x14ac:dyDescent="0.3">
      <c r="A1120" s="345" t="s">
        <v>2787</v>
      </c>
      <c r="B1120" s="805"/>
      <c r="C1120" s="802"/>
      <c r="D1120" s="802"/>
      <c r="E1120" s="803"/>
      <c r="F1120" s="805">
        <v>253</v>
      </c>
      <c r="G1120" s="803"/>
      <c r="H1120" s="345">
        <v>253</v>
      </c>
      <c r="I1120" s="345">
        <v>3</v>
      </c>
      <c r="J1120" s="345">
        <v>266.5</v>
      </c>
      <c r="K1120" s="345">
        <v>266.5</v>
      </c>
      <c r="L1120" s="346"/>
      <c r="M1120" s="346"/>
      <c r="N1120" s="346"/>
      <c r="O1120" s="345"/>
      <c r="P1120" s="345"/>
      <c r="Q1120" s="345"/>
      <c r="R1120" s="345">
        <v>4.5999999999999996</v>
      </c>
      <c r="S1120" s="345">
        <v>276.89999999999998</v>
      </c>
      <c r="T1120" s="345">
        <v>276.89999999999998</v>
      </c>
      <c r="U1120" s="345">
        <v>5.5</v>
      </c>
      <c r="V1120" s="345">
        <v>277</v>
      </c>
      <c r="W1120" s="345">
        <v>277</v>
      </c>
      <c r="X1120" s="345">
        <v>5</v>
      </c>
      <c r="Y1120" s="345">
        <v>213</v>
      </c>
      <c r="Z1120" s="345">
        <v>213</v>
      </c>
      <c r="AA1120">
        <f t="shared" si="17"/>
        <v>3</v>
      </c>
    </row>
    <row r="1121" spans="1:27" ht="28.8" x14ac:dyDescent="0.3">
      <c r="A1121" s="345" t="s">
        <v>2788</v>
      </c>
      <c r="B1121" s="805"/>
      <c r="C1121" s="802"/>
      <c r="D1121" s="802"/>
      <c r="E1121" s="803"/>
      <c r="F1121" s="805">
        <v>270</v>
      </c>
      <c r="G1121" s="803"/>
      <c r="H1121" s="345">
        <v>270</v>
      </c>
      <c r="I1121" s="345">
        <v>13</v>
      </c>
      <c r="J1121" s="345">
        <v>279.5</v>
      </c>
      <c r="K1121" s="345">
        <v>279.5</v>
      </c>
      <c r="L1121" s="346"/>
      <c r="M1121" s="346"/>
      <c r="N1121" s="346"/>
      <c r="O1121" s="345"/>
      <c r="P1121" s="345"/>
      <c r="Q1121" s="345"/>
      <c r="R1121" s="345">
        <v>13.8</v>
      </c>
      <c r="S1121" s="345">
        <v>290.7</v>
      </c>
      <c r="T1121" s="345">
        <v>290.7</v>
      </c>
      <c r="U1121" s="345">
        <v>15.5</v>
      </c>
      <c r="V1121" s="345">
        <v>292.5</v>
      </c>
      <c r="W1121" s="345">
        <v>292.5</v>
      </c>
      <c r="X1121" s="345">
        <v>13.5</v>
      </c>
      <c r="Y1121" s="345">
        <v>226.5</v>
      </c>
      <c r="Z1121" s="345">
        <v>226.5</v>
      </c>
      <c r="AA1121">
        <f t="shared" si="17"/>
        <v>13</v>
      </c>
    </row>
    <row r="1122" spans="1:27" ht="28.8" x14ac:dyDescent="0.3">
      <c r="A1122" s="345" t="s">
        <v>2789</v>
      </c>
      <c r="B1122" s="805"/>
      <c r="C1122" s="802"/>
      <c r="D1122" s="802"/>
      <c r="E1122" s="803"/>
      <c r="F1122" s="805">
        <v>279</v>
      </c>
      <c r="G1122" s="803"/>
      <c r="H1122" s="345">
        <v>279</v>
      </c>
      <c r="I1122" s="345">
        <v>7.5</v>
      </c>
      <c r="J1122" s="345">
        <v>287</v>
      </c>
      <c r="K1122" s="345">
        <v>287</v>
      </c>
      <c r="L1122" s="346"/>
      <c r="M1122" s="346"/>
      <c r="N1122" s="346"/>
      <c r="O1122" s="345"/>
      <c r="P1122" s="345"/>
      <c r="Q1122" s="345"/>
      <c r="R1122" s="345">
        <v>8.6</v>
      </c>
      <c r="S1122" s="345">
        <v>299.3</v>
      </c>
      <c r="T1122" s="345">
        <v>299.3</v>
      </c>
      <c r="U1122" s="345">
        <v>7.5</v>
      </c>
      <c r="V1122" s="345">
        <v>300</v>
      </c>
      <c r="W1122" s="345">
        <v>300</v>
      </c>
      <c r="X1122" s="345">
        <v>7</v>
      </c>
      <c r="Y1122" s="345">
        <v>233.5</v>
      </c>
      <c r="Z1122" s="345">
        <v>233.5</v>
      </c>
      <c r="AA1122">
        <f t="shared" si="17"/>
        <v>7.5</v>
      </c>
    </row>
    <row r="1123" spans="1:27" ht="28.8" x14ac:dyDescent="0.3">
      <c r="A1123" s="345" t="s">
        <v>2790</v>
      </c>
      <c r="B1123" s="805"/>
      <c r="C1123" s="802"/>
      <c r="D1123" s="802"/>
      <c r="E1123" s="803"/>
      <c r="F1123" s="805">
        <v>282.5</v>
      </c>
      <c r="G1123" s="803"/>
      <c r="H1123" s="345">
        <v>282.5</v>
      </c>
      <c r="I1123" s="345">
        <v>3</v>
      </c>
      <c r="J1123" s="345">
        <v>290</v>
      </c>
      <c r="K1123" s="345">
        <v>290</v>
      </c>
      <c r="L1123" s="346"/>
      <c r="M1123" s="346"/>
      <c r="N1123" s="346"/>
      <c r="O1123" s="345"/>
      <c r="P1123" s="345"/>
      <c r="Q1123" s="345"/>
      <c r="R1123" s="345">
        <v>2.2000000000000002</v>
      </c>
      <c r="S1123" s="345">
        <v>301.5</v>
      </c>
      <c r="T1123" s="345">
        <v>301.5</v>
      </c>
      <c r="U1123" s="345">
        <v>3</v>
      </c>
      <c r="V1123" s="345">
        <v>303</v>
      </c>
      <c r="W1123" s="345">
        <v>303</v>
      </c>
      <c r="X1123" s="345">
        <v>3.5</v>
      </c>
      <c r="Y1123" s="345">
        <v>237</v>
      </c>
      <c r="Z1123" s="345">
        <v>237</v>
      </c>
      <c r="AA1123">
        <f t="shared" si="17"/>
        <v>3</v>
      </c>
    </row>
    <row r="1124" spans="1:27" ht="28.8" x14ac:dyDescent="0.3">
      <c r="A1124" s="345" t="s">
        <v>2791</v>
      </c>
      <c r="B1124" s="805"/>
      <c r="C1124" s="802"/>
      <c r="D1124" s="802"/>
      <c r="E1124" s="803"/>
      <c r="F1124" s="805">
        <v>283</v>
      </c>
      <c r="G1124" s="803"/>
      <c r="H1124" s="345">
        <v>283</v>
      </c>
      <c r="I1124" s="345">
        <v>0.5</v>
      </c>
      <c r="J1124" s="345">
        <v>290.5</v>
      </c>
      <c r="K1124" s="345">
        <v>290.5</v>
      </c>
      <c r="L1124" s="346"/>
      <c r="M1124" s="346"/>
      <c r="N1124" s="346"/>
      <c r="O1124" s="345"/>
      <c r="P1124" s="345"/>
      <c r="Q1124" s="345"/>
      <c r="R1124" s="345">
        <v>0</v>
      </c>
      <c r="S1124" s="345">
        <v>301.5</v>
      </c>
      <c r="T1124" s="345">
        <v>301.5</v>
      </c>
      <c r="U1124" s="345">
        <v>1</v>
      </c>
      <c r="V1124" s="345">
        <v>304</v>
      </c>
      <c r="W1124" s="345">
        <v>304</v>
      </c>
      <c r="X1124" s="345">
        <v>0.5</v>
      </c>
      <c r="Y1124" s="345">
        <v>237.5</v>
      </c>
      <c r="Z1124" s="345">
        <v>237.5</v>
      </c>
      <c r="AA1124">
        <f t="shared" si="17"/>
        <v>0.5</v>
      </c>
    </row>
    <row r="1125" spans="1:27" ht="28.8" x14ac:dyDescent="0.3">
      <c r="A1125" s="345" t="s">
        <v>2792</v>
      </c>
      <c r="B1125" s="805"/>
      <c r="C1125" s="802"/>
      <c r="D1125" s="802"/>
      <c r="E1125" s="803"/>
      <c r="F1125" s="805">
        <v>283</v>
      </c>
      <c r="G1125" s="803"/>
      <c r="H1125" s="345">
        <v>283</v>
      </c>
      <c r="I1125" s="345">
        <v>0</v>
      </c>
      <c r="J1125" s="345">
        <v>290.5</v>
      </c>
      <c r="K1125" s="345">
        <v>290.5</v>
      </c>
      <c r="L1125" s="346"/>
      <c r="M1125" s="346"/>
      <c r="N1125" s="346"/>
      <c r="O1125" s="345"/>
      <c r="P1125" s="345"/>
      <c r="Q1125" s="345"/>
      <c r="R1125" s="345">
        <v>0</v>
      </c>
      <c r="S1125" s="345">
        <v>301.5</v>
      </c>
      <c r="T1125" s="345">
        <v>301.5</v>
      </c>
      <c r="U1125" s="345">
        <v>0</v>
      </c>
      <c r="V1125" s="345">
        <v>304</v>
      </c>
      <c r="W1125" s="345">
        <v>304</v>
      </c>
      <c r="X1125" s="345">
        <v>0</v>
      </c>
      <c r="Y1125" s="345">
        <v>237.5</v>
      </c>
      <c r="Z1125" s="345">
        <v>237.5</v>
      </c>
      <c r="AA1125">
        <f t="shared" si="17"/>
        <v>0</v>
      </c>
    </row>
    <row r="1126" spans="1:27" ht="28.8" x14ac:dyDescent="0.3">
      <c r="A1126" s="345" t="s">
        <v>2793</v>
      </c>
      <c r="B1126" s="805"/>
      <c r="C1126" s="802"/>
      <c r="D1126" s="802"/>
      <c r="E1126" s="803"/>
      <c r="F1126" s="805">
        <v>284.5</v>
      </c>
      <c r="G1126" s="803"/>
      <c r="H1126" s="345">
        <v>284.5</v>
      </c>
      <c r="I1126" s="345">
        <v>1</v>
      </c>
      <c r="J1126" s="345">
        <v>291.5</v>
      </c>
      <c r="K1126" s="345">
        <v>291.5</v>
      </c>
      <c r="L1126" s="346"/>
      <c r="M1126" s="346"/>
      <c r="N1126" s="346"/>
      <c r="O1126" s="345"/>
      <c r="P1126" s="345"/>
      <c r="Q1126" s="345"/>
      <c r="R1126" s="345">
        <v>0</v>
      </c>
      <c r="S1126" s="345">
        <v>301.5</v>
      </c>
      <c r="T1126" s="345">
        <v>301.5</v>
      </c>
      <c r="U1126" s="345">
        <v>1</v>
      </c>
      <c r="V1126" s="345">
        <v>305</v>
      </c>
      <c r="W1126" s="345">
        <v>305</v>
      </c>
      <c r="X1126" s="345">
        <v>1</v>
      </c>
      <c r="Y1126" s="345">
        <v>238.5</v>
      </c>
      <c r="Z1126" s="345">
        <v>238.5</v>
      </c>
      <c r="AA1126">
        <f t="shared" si="17"/>
        <v>1</v>
      </c>
    </row>
    <row r="1127" spans="1:27" ht="28.8" x14ac:dyDescent="0.3">
      <c r="A1127" s="345" t="s">
        <v>2794</v>
      </c>
      <c r="B1127" s="805"/>
      <c r="C1127" s="802"/>
      <c r="D1127" s="802"/>
      <c r="E1127" s="803"/>
      <c r="F1127" s="805">
        <v>284.5</v>
      </c>
      <c r="G1127" s="803"/>
      <c r="H1127" s="345">
        <v>284.5</v>
      </c>
      <c r="I1127" s="345">
        <v>0</v>
      </c>
      <c r="J1127" s="345">
        <v>291.5</v>
      </c>
      <c r="K1127" s="345">
        <v>291.5</v>
      </c>
      <c r="L1127" s="346"/>
      <c r="M1127" s="346"/>
      <c r="N1127" s="346"/>
      <c r="O1127" s="345"/>
      <c r="P1127" s="345"/>
      <c r="Q1127" s="345"/>
      <c r="R1127" s="345">
        <v>0</v>
      </c>
      <c r="S1127" s="345">
        <v>301.5</v>
      </c>
      <c r="T1127" s="345">
        <v>301.5</v>
      </c>
      <c r="U1127" s="345">
        <v>0</v>
      </c>
      <c r="V1127" s="345">
        <v>305</v>
      </c>
      <c r="W1127" s="345">
        <v>305</v>
      </c>
      <c r="X1127" s="345">
        <v>0</v>
      </c>
      <c r="Y1127" s="345">
        <v>238.5</v>
      </c>
      <c r="Z1127" s="345">
        <v>238.5</v>
      </c>
      <c r="AA1127">
        <f t="shared" si="17"/>
        <v>0</v>
      </c>
    </row>
    <row r="1128" spans="1:27" ht="28.8" x14ac:dyDescent="0.3">
      <c r="A1128" s="345" t="s">
        <v>2795</v>
      </c>
      <c r="B1128" s="805"/>
      <c r="C1128" s="802"/>
      <c r="D1128" s="802"/>
      <c r="E1128" s="803"/>
      <c r="F1128" s="805">
        <v>313</v>
      </c>
      <c r="G1128" s="803"/>
      <c r="H1128" s="345">
        <v>313</v>
      </c>
      <c r="I1128" s="345">
        <v>36.5</v>
      </c>
      <c r="J1128" s="345">
        <v>328</v>
      </c>
      <c r="K1128" s="345">
        <v>328</v>
      </c>
      <c r="L1128" s="346"/>
      <c r="M1128" s="346"/>
      <c r="N1128" s="346"/>
      <c r="O1128" s="345"/>
      <c r="P1128" s="345"/>
      <c r="Q1128" s="345"/>
      <c r="R1128" s="345">
        <v>18.8</v>
      </c>
      <c r="S1128" s="345">
        <v>320.3</v>
      </c>
      <c r="T1128" s="345">
        <v>320.3</v>
      </c>
      <c r="U1128" s="345">
        <v>19.5</v>
      </c>
      <c r="V1128" s="345">
        <v>324.5</v>
      </c>
      <c r="W1128" s="345">
        <v>324.5</v>
      </c>
      <c r="X1128" s="345">
        <v>7</v>
      </c>
      <c r="Y1128" s="345">
        <v>245.5</v>
      </c>
      <c r="Z1128" s="345">
        <v>245.5</v>
      </c>
      <c r="AA1128">
        <f t="shared" si="17"/>
        <v>36.5</v>
      </c>
    </row>
    <row r="1129" spans="1:27" s="362" customFormat="1" ht="28.8" x14ac:dyDescent="0.3">
      <c r="A1129" s="359" t="s">
        <v>2796</v>
      </c>
      <c r="B1129" s="811"/>
      <c r="C1129" s="812"/>
      <c r="D1129" s="812"/>
      <c r="E1129" s="813"/>
      <c r="F1129" s="811">
        <v>324</v>
      </c>
      <c r="G1129" s="813"/>
      <c r="H1129" s="359">
        <v>324</v>
      </c>
      <c r="I1129" s="359">
        <v>9</v>
      </c>
      <c r="J1129" s="359">
        <v>337</v>
      </c>
      <c r="K1129" s="359">
        <v>337</v>
      </c>
      <c r="L1129" s="359"/>
      <c r="M1129" s="359"/>
      <c r="N1129" s="359"/>
      <c r="O1129" s="359"/>
      <c r="P1129" s="359"/>
      <c r="Q1129" s="359"/>
      <c r="R1129" s="359">
        <v>8.8000000000000007</v>
      </c>
      <c r="S1129" s="359">
        <v>329.1</v>
      </c>
      <c r="T1129" s="359">
        <v>329.1</v>
      </c>
      <c r="U1129" s="359">
        <v>9.5</v>
      </c>
      <c r="V1129" s="359">
        <v>334</v>
      </c>
      <c r="W1129" s="359">
        <v>334</v>
      </c>
      <c r="X1129" s="359">
        <v>10.5</v>
      </c>
      <c r="Y1129" s="359">
        <v>256</v>
      </c>
      <c r="Z1129" s="359">
        <v>256</v>
      </c>
      <c r="AA1129" s="362">
        <f t="shared" si="17"/>
        <v>9</v>
      </c>
    </row>
    <row r="1130" spans="1:27" ht="28.8" x14ac:dyDescent="0.3">
      <c r="A1130" s="345" t="s">
        <v>2797</v>
      </c>
      <c r="B1130" s="805"/>
      <c r="C1130" s="802"/>
      <c r="D1130" s="802"/>
      <c r="E1130" s="803"/>
      <c r="F1130" s="805">
        <v>74.5</v>
      </c>
      <c r="G1130" s="803"/>
      <c r="H1130" s="345">
        <v>398.5</v>
      </c>
      <c r="I1130" s="345">
        <v>68</v>
      </c>
      <c r="J1130" s="345">
        <v>68</v>
      </c>
      <c r="K1130" s="345">
        <v>405</v>
      </c>
      <c r="L1130" s="346"/>
      <c r="M1130" s="346"/>
      <c r="N1130" s="346"/>
      <c r="O1130" s="345"/>
      <c r="P1130" s="345"/>
      <c r="Q1130" s="345"/>
      <c r="R1130" s="345">
        <v>68.400000000000006</v>
      </c>
      <c r="S1130" s="345">
        <v>68.400000000000006</v>
      </c>
      <c r="T1130" s="345">
        <v>397.5</v>
      </c>
      <c r="U1130" s="345">
        <v>84.5</v>
      </c>
      <c r="V1130" s="345">
        <v>84.5</v>
      </c>
      <c r="W1130" s="345">
        <v>418.5</v>
      </c>
      <c r="X1130" s="345">
        <v>65</v>
      </c>
      <c r="Y1130" s="345">
        <v>65</v>
      </c>
      <c r="Z1130" s="345">
        <v>321</v>
      </c>
      <c r="AA1130">
        <f t="shared" si="17"/>
        <v>68</v>
      </c>
    </row>
    <row r="1131" spans="1:27" ht="28.8" x14ac:dyDescent="0.3">
      <c r="A1131" s="345" t="s">
        <v>2798</v>
      </c>
      <c r="B1131" s="805"/>
      <c r="C1131" s="802"/>
      <c r="D1131" s="802"/>
      <c r="E1131" s="803"/>
      <c r="F1131" s="805">
        <v>98.5</v>
      </c>
      <c r="G1131" s="803"/>
      <c r="H1131" s="345">
        <v>422.5</v>
      </c>
      <c r="I1131" s="345">
        <v>6</v>
      </c>
      <c r="J1131" s="345">
        <v>74</v>
      </c>
      <c r="K1131" s="345">
        <v>411</v>
      </c>
      <c r="L1131" s="346"/>
      <c r="M1131" s="346"/>
      <c r="N1131" s="346"/>
      <c r="O1131" s="345"/>
      <c r="P1131" s="345"/>
      <c r="Q1131" s="345"/>
      <c r="R1131" s="345">
        <v>9.8000000000000007</v>
      </c>
      <c r="S1131" s="345">
        <v>78.2</v>
      </c>
      <c r="T1131" s="345">
        <v>407.3</v>
      </c>
      <c r="U1131" s="345">
        <v>10</v>
      </c>
      <c r="V1131" s="345">
        <v>94.5</v>
      </c>
      <c r="W1131" s="345">
        <v>428.5</v>
      </c>
      <c r="X1131" s="345">
        <v>9.5</v>
      </c>
      <c r="Y1131" s="345">
        <v>74.5</v>
      </c>
      <c r="Z1131" s="345">
        <v>330.5</v>
      </c>
      <c r="AA1131">
        <f t="shared" si="17"/>
        <v>6</v>
      </c>
    </row>
    <row r="1132" spans="1:27" ht="28.8" x14ac:dyDescent="0.3">
      <c r="A1132" s="345" t="s">
        <v>2799</v>
      </c>
      <c r="B1132" s="805"/>
      <c r="C1132" s="802"/>
      <c r="D1132" s="802"/>
      <c r="E1132" s="803"/>
      <c r="F1132" s="805">
        <v>100.5</v>
      </c>
      <c r="G1132" s="803"/>
      <c r="H1132" s="345">
        <v>424.5</v>
      </c>
      <c r="I1132" s="345">
        <v>5</v>
      </c>
      <c r="J1132" s="345">
        <v>79</v>
      </c>
      <c r="K1132" s="345">
        <v>416</v>
      </c>
      <c r="L1132" s="346"/>
      <c r="M1132" s="346"/>
      <c r="N1132" s="346"/>
      <c r="O1132" s="345"/>
      <c r="P1132" s="345"/>
      <c r="Q1132" s="345"/>
      <c r="R1132" s="345">
        <v>1</v>
      </c>
      <c r="S1132" s="345">
        <v>79.2</v>
      </c>
      <c r="T1132" s="345">
        <v>408.3</v>
      </c>
      <c r="U1132" s="345"/>
      <c r="V1132" s="345"/>
      <c r="W1132" s="345"/>
      <c r="X1132" s="345">
        <v>0.5</v>
      </c>
      <c r="Y1132" s="345">
        <v>75</v>
      </c>
      <c r="Z1132" s="345">
        <v>331</v>
      </c>
      <c r="AA1132">
        <f t="shared" si="17"/>
        <v>5</v>
      </c>
    </row>
    <row r="1133" spans="1:27" ht="28.8" x14ac:dyDescent="0.3">
      <c r="A1133" s="345" t="s">
        <v>2800</v>
      </c>
      <c r="B1133" s="805"/>
      <c r="C1133" s="802"/>
      <c r="D1133" s="802"/>
      <c r="E1133" s="803"/>
      <c r="F1133" s="805">
        <v>101.5</v>
      </c>
      <c r="G1133" s="803"/>
      <c r="H1133" s="345">
        <v>425.5</v>
      </c>
      <c r="I1133" s="345">
        <v>7.5</v>
      </c>
      <c r="J1133" s="345">
        <v>86.5</v>
      </c>
      <c r="K1133" s="345">
        <v>423.5</v>
      </c>
      <c r="L1133" s="346"/>
      <c r="M1133" s="346"/>
      <c r="N1133" s="346"/>
      <c r="O1133" s="345"/>
      <c r="P1133" s="345"/>
      <c r="Q1133" s="345"/>
      <c r="R1133" s="345">
        <v>2</v>
      </c>
      <c r="S1133" s="345">
        <v>81.2</v>
      </c>
      <c r="T1133" s="345">
        <v>410.3</v>
      </c>
      <c r="U1133" s="345">
        <v>2</v>
      </c>
      <c r="V1133" s="345">
        <v>96.5</v>
      </c>
      <c r="W1133" s="345">
        <v>430.5</v>
      </c>
      <c r="X1133" s="345">
        <v>1</v>
      </c>
      <c r="Y1133" s="345">
        <v>76</v>
      </c>
      <c r="Z1133" s="345">
        <v>332</v>
      </c>
      <c r="AA1133">
        <f t="shared" si="17"/>
        <v>7.5</v>
      </c>
    </row>
    <row r="1134" spans="1:27" ht="28.8" x14ac:dyDescent="0.3">
      <c r="A1134" s="345" t="s">
        <v>2801</v>
      </c>
      <c r="B1134" s="805"/>
      <c r="C1134" s="802"/>
      <c r="D1134" s="802"/>
      <c r="E1134" s="803"/>
      <c r="F1134" s="805">
        <v>103</v>
      </c>
      <c r="G1134" s="803"/>
      <c r="H1134" s="345">
        <v>427</v>
      </c>
      <c r="I1134" s="345">
        <v>3</v>
      </c>
      <c r="J1134" s="345">
        <v>89.5</v>
      </c>
      <c r="K1134" s="345">
        <v>426.5</v>
      </c>
      <c r="L1134" s="346"/>
      <c r="M1134" s="346"/>
      <c r="N1134" s="346"/>
      <c r="O1134" s="345"/>
      <c r="P1134" s="345"/>
      <c r="Q1134" s="345"/>
      <c r="R1134" s="345">
        <v>0.8</v>
      </c>
      <c r="S1134" s="345">
        <v>82</v>
      </c>
      <c r="T1134" s="345">
        <v>411.1</v>
      </c>
      <c r="U1134" s="345">
        <v>1.5</v>
      </c>
      <c r="V1134" s="345">
        <v>98</v>
      </c>
      <c r="W1134" s="345">
        <v>432</v>
      </c>
      <c r="X1134" s="345">
        <v>1.5</v>
      </c>
      <c r="Y1134" s="345">
        <v>77.5</v>
      </c>
      <c r="Z1134" s="345">
        <v>333.5</v>
      </c>
      <c r="AA1134">
        <f t="shared" si="17"/>
        <v>3</v>
      </c>
    </row>
    <row r="1135" spans="1:27" ht="28.8" x14ac:dyDescent="0.3">
      <c r="A1135" s="345" t="s">
        <v>2802</v>
      </c>
      <c r="B1135" s="805"/>
      <c r="C1135" s="802"/>
      <c r="D1135" s="802"/>
      <c r="E1135" s="803"/>
      <c r="F1135" s="805">
        <v>124.5</v>
      </c>
      <c r="G1135" s="803"/>
      <c r="H1135" s="345">
        <v>448.5</v>
      </c>
      <c r="I1135" s="345">
        <v>25.5</v>
      </c>
      <c r="J1135" s="345">
        <v>115</v>
      </c>
      <c r="K1135" s="345">
        <v>452</v>
      </c>
      <c r="L1135" s="346"/>
      <c r="M1135" s="346"/>
      <c r="N1135" s="346"/>
      <c r="O1135" s="345"/>
      <c r="P1135" s="345"/>
      <c r="Q1135" s="345"/>
      <c r="R1135" s="345">
        <v>12</v>
      </c>
      <c r="S1135" s="345">
        <v>94</v>
      </c>
      <c r="T1135" s="345">
        <v>423.1</v>
      </c>
      <c r="U1135" s="345">
        <v>13</v>
      </c>
      <c r="V1135" s="345">
        <v>111</v>
      </c>
      <c r="W1135" s="345">
        <v>445</v>
      </c>
      <c r="X1135" s="345">
        <v>8</v>
      </c>
      <c r="Y1135" s="345">
        <v>85.5</v>
      </c>
      <c r="Z1135" s="345">
        <v>341.5</v>
      </c>
      <c r="AA1135">
        <f t="shared" si="17"/>
        <v>25.5</v>
      </c>
    </row>
    <row r="1136" spans="1:27" ht="28.8" x14ac:dyDescent="0.3">
      <c r="A1136" s="345" t="s">
        <v>2803</v>
      </c>
      <c r="B1136" s="805"/>
      <c r="C1136" s="802"/>
      <c r="D1136" s="802"/>
      <c r="E1136" s="803"/>
      <c r="F1136" s="805">
        <v>125</v>
      </c>
      <c r="G1136" s="803"/>
      <c r="H1136" s="345">
        <v>449</v>
      </c>
      <c r="I1136" s="345">
        <v>1.5</v>
      </c>
      <c r="J1136" s="345">
        <v>116.5</v>
      </c>
      <c r="K1136" s="345">
        <v>453.5</v>
      </c>
      <c r="L1136" s="346"/>
      <c r="M1136" s="346"/>
      <c r="N1136" s="346"/>
      <c r="O1136" s="345"/>
      <c r="P1136" s="345"/>
      <c r="Q1136" s="345"/>
      <c r="R1136" s="345">
        <v>2</v>
      </c>
      <c r="S1136" s="345">
        <v>96</v>
      </c>
      <c r="T1136" s="345">
        <v>425.1</v>
      </c>
      <c r="U1136" s="345">
        <v>3</v>
      </c>
      <c r="V1136" s="345">
        <v>114</v>
      </c>
      <c r="W1136" s="345">
        <v>448</v>
      </c>
      <c r="X1136" s="345">
        <v>1.5</v>
      </c>
      <c r="Y1136" s="345">
        <v>87</v>
      </c>
      <c r="Z1136" s="345">
        <v>343</v>
      </c>
      <c r="AA1136">
        <f t="shared" si="17"/>
        <v>1.5</v>
      </c>
    </row>
    <row r="1137" spans="1:27" ht="28.8" x14ac:dyDescent="0.3">
      <c r="A1137" s="345" t="s">
        <v>2804</v>
      </c>
      <c r="B1137" s="805"/>
      <c r="C1137" s="802"/>
      <c r="D1137" s="802"/>
      <c r="E1137" s="803"/>
      <c r="F1137" s="805">
        <v>133</v>
      </c>
      <c r="G1137" s="803"/>
      <c r="H1137" s="345">
        <v>457</v>
      </c>
      <c r="I1137" s="345">
        <v>18.5</v>
      </c>
      <c r="J1137" s="345">
        <v>135</v>
      </c>
      <c r="K1137" s="345">
        <v>472</v>
      </c>
      <c r="L1137" s="346"/>
      <c r="M1137" s="346"/>
      <c r="N1137" s="346"/>
      <c r="O1137" s="345"/>
      <c r="P1137" s="345"/>
      <c r="Q1137" s="345"/>
      <c r="R1137" s="345">
        <v>13</v>
      </c>
      <c r="S1137" s="345">
        <v>109</v>
      </c>
      <c r="T1137" s="345">
        <v>438.1</v>
      </c>
      <c r="U1137" s="345"/>
      <c r="V1137" s="345"/>
      <c r="W1137" s="345"/>
      <c r="X1137" s="345">
        <v>9</v>
      </c>
      <c r="Y1137" s="345">
        <v>96</v>
      </c>
      <c r="Z1137" s="345">
        <v>352</v>
      </c>
      <c r="AA1137">
        <f t="shared" si="17"/>
        <v>18.5</v>
      </c>
    </row>
    <row r="1138" spans="1:27" ht="28.8" x14ac:dyDescent="0.3">
      <c r="A1138" s="345" t="s">
        <v>2805</v>
      </c>
      <c r="B1138" s="805"/>
      <c r="C1138" s="802"/>
      <c r="D1138" s="802"/>
      <c r="E1138" s="803"/>
      <c r="F1138" s="805">
        <v>135</v>
      </c>
      <c r="G1138" s="803"/>
      <c r="H1138" s="345">
        <v>459</v>
      </c>
      <c r="I1138" s="345">
        <v>3</v>
      </c>
      <c r="J1138" s="345">
        <v>138</v>
      </c>
      <c r="K1138" s="345">
        <v>475</v>
      </c>
      <c r="L1138" s="346"/>
      <c r="M1138" s="346"/>
      <c r="N1138" s="346"/>
      <c r="O1138" s="345"/>
      <c r="P1138" s="345"/>
      <c r="Q1138" s="345"/>
      <c r="R1138" s="345">
        <v>0.6</v>
      </c>
      <c r="S1138" s="345">
        <v>109.6</v>
      </c>
      <c r="T1138" s="345">
        <v>438.7</v>
      </c>
      <c r="U1138" s="345">
        <v>1.5</v>
      </c>
      <c r="V1138" s="345">
        <v>115.5</v>
      </c>
      <c r="W1138" s="345">
        <v>449.5</v>
      </c>
      <c r="X1138" s="345">
        <v>1</v>
      </c>
      <c r="Y1138" s="345">
        <v>97</v>
      </c>
      <c r="Z1138" s="345">
        <v>353</v>
      </c>
      <c r="AA1138">
        <f t="shared" si="17"/>
        <v>3</v>
      </c>
    </row>
    <row r="1139" spans="1:27" ht="28.8" x14ac:dyDescent="0.3">
      <c r="A1139" s="345" t="s">
        <v>2806</v>
      </c>
      <c r="B1139" s="805"/>
      <c r="C1139" s="802"/>
      <c r="D1139" s="802"/>
      <c r="E1139" s="803"/>
      <c r="F1139" s="805">
        <v>137</v>
      </c>
      <c r="G1139" s="803"/>
      <c r="H1139" s="345">
        <v>461</v>
      </c>
      <c r="I1139" s="345">
        <v>1.5</v>
      </c>
      <c r="J1139" s="345">
        <v>139.5</v>
      </c>
      <c r="K1139" s="345">
        <v>476.5</v>
      </c>
      <c r="L1139" s="346"/>
      <c r="M1139" s="346"/>
      <c r="N1139" s="346"/>
      <c r="O1139" s="345"/>
      <c r="P1139" s="345"/>
      <c r="Q1139" s="345"/>
      <c r="R1139" s="345">
        <v>1.2</v>
      </c>
      <c r="S1139" s="345">
        <v>110.8</v>
      </c>
      <c r="T1139" s="345">
        <v>439.9</v>
      </c>
      <c r="U1139" s="345">
        <v>2</v>
      </c>
      <c r="V1139" s="345">
        <v>117.5</v>
      </c>
      <c r="W1139" s="345">
        <v>451.5</v>
      </c>
      <c r="X1139" s="345">
        <v>1</v>
      </c>
      <c r="Y1139" s="345">
        <v>98</v>
      </c>
      <c r="Z1139" s="345">
        <v>354</v>
      </c>
      <c r="AA1139">
        <f t="shared" si="17"/>
        <v>1.5</v>
      </c>
    </row>
    <row r="1140" spans="1:27" ht="28.8" x14ac:dyDescent="0.3">
      <c r="A1140" s="345" t="s">
        <v>2807</v>
      </c>
      <c r="B1140" s="805"/>
      <c r="C1140" s="802"/>
      <c r="D1140" s="802"/>
      <c r="E1140" s="803"/>
      <c r="F1140" s="805">
        <v>149</v>
      </c>
      <c r="G1140" s="803"/>
      <c r="H1140" s="345">
        <v>473</v>
      </c>
      <c r="I1140" s="345">
        <v>24</v>
      </c>
      <c r="J1140" s="345">
        <v>163.5</v>
      </c>
      <c r="K1140" s="345">
        <v>500.5</v>
      </c>
      <c r="L1140" s="346"/>
      <c r="M1140" s="346"/>
      <c r="N1140" s="346"/>
      <c r="O1140" s="345"/>
      <c r="P1140" s="345"/>
      <c r="Q1140" s="345"/>
      <c r="R1140" s="345">
        <v>7</v>
      </c>
      <c r="S1140" s="345">
        <v>117.8</v>
      </c>
      <c r="T1140" s="345">
        <v>446.9</v>
      </c>
      <c r="U1140" s="345">
        <v>7.5</v>
      </c>
      <c r="V1140" s="345">
        <v>125</v>
      </c>
      <c r="W1140" s="345">
        <v>459</v>
      </c>
      <c r="X1140" s="345">
        <v>8.5</v>
      </c>
      <c r="Y1140" s="345">
        <v>106.5</v>
      </c>
      <c r="Z1140" s="345">
        <v>362.5</v>
      </c>
      <c r="AA1140">
        <f t="shared" si="17"/>
        <v>24</v>
      </c>
    </row>
    <row r="1141" spans="1:27" ht="28.8" x14ac:dyDescent="0.3">
      <c r="A1141" s="345" t="s">
        <v>2808</v>
      </c>
      <c r="B1141" s="805"/>
      <c r="C1141" s="802"/>
      <c r="D1141" s="802"/>
      <c r="E1141" s="803"/>
      <c r="F1141" s="805">
        <v>151.5</v>
      </c>
      <c r="G1141" s="803"/>
      <c r="H1141" s="345">
        <v>475.5</v>
      </c>
      <c r="I1141" s="345">
        <v>4.5</v>
      </c>
      <c r="J1141" s="345">
        <v>168</v>
      </c>
      <c r="K1141" s="345">
        <v>505</v>
      </c>
      <c r="L1141" s="346"/>
      <c r="M1141" s="346"/>
      <c r="N1141" s="346"/>
      <c r="O1141" s="345"/>
      <c r="P1141" s="345"/>
      <c r="Q1141" s="345"/>
      <c r="R1141" s="345">
        <v>3</v>
      </c>
      <c r="S1141" s="345">
        <v>120.8</v>
      </c>
      <c r="T1141" s="345">
        <v>449.9</v>
      </c>
      <c r="U1141" s="345">
        <v>3.5</v>
      </c>
      <c r="V1141" s="345">
        <v>128.5</v>
      </c>
      <c r="W1141" s="345">
        <v>462.5</v>
      </c>
      <c r="X1141" s="345">
        <v>0</v>
      </c>
      <c r="Y1141" s="345">
        <v>106.5</v>
      </c>
      <c r="Z1141" s="345">
        <v>362.5</v>
      </c>
      <c r="AA1141">
        <f t="shared" si="17"/>
        <v>4.5</v>
      </c>
    </row>
    <row r="1142" spans="1:27" ht="28.8" x14ac:dyDescent="0.3">
      <c r="A1142" s="345" t="s">
        <v>2809</v>
      </c>
      <c r="B1142" s="805"/>
      <c r="C1142" s="802"/>
      <c r="D1142" s="802"/>
      <c r="E1142" s="803"/>
      <c r="F1142" s="805">
        <v>157.5</v>
      </c>
      <c r="G1142" s="803"/>
      <c r="H1142" s="345">
        <v>481.5</v>
      </c>
      <c r="I1142" s="345">
        <v>4</v>
      </c>
      <c r="J1142" s="345">
        <v>172</v>
      </c>
      <c r="K1142" s="345">
        <v>509</v>
      </c>
      <c r="L1142" s="346"/>
      <c r="M1142" s="346"/>
      <c r="N1142" s="346"/>
      <c r="O1142" s="345"/>
      <c r="P1142" s="345"/>
      <c r="Q1142" s="345"/>
      <c r="R1142" s="345"/>
      <c r="S1142" s="345"/>
      <c r="T1142" s="345"/>
      <c r="U1142" s="345">
        <v>8</v>
      </c>
      <c r="V1142" s="345">
        <v>136.5</v>
      </c>
      <c r="W1142" s="345">
        <v>470.5</v>
      </c>
      <c r="X1142" s="345"/>
      <c r="Y1142" s="345"/>
      <c r="Z1142" s="345"/>
      <c r="AA1142">
        <f t="shared" si="17"/>
        <v>4</v>
      </c>
    </row>
    <row r="1143" spans="1:27" ht="28.8" x14ac:dyDescent="0.3">
      <c r="A1143" s="345" t="s">
        <v>2810</v>
      </c>
      <c r="B1143" s="805"/>
      <c r="C1143" s="802"/>
      <c r="D1143" s="802"/>
      <c r="E1143" s="803"/>
      <c r="F1143" s="805">
        <v>227</v>
      </c>
      <c r="G1143" s="803"/>
      <c r="H1143" s="345">
        <v>551</v>
      </c>
      <c r="I1143" s="345">
        <v>60.5</v>
      </c>
      <c r="J1143" s="345">
        <v>232.5</v>
      </c>
      <c r="K1143" s="345">
        <v>569.5</v>
      </c>
      <c r="L1143" s="346"/>
      <c r="M1143" s="346"/>
      <c r="N1143" s="346"/>
      <c r="O1143" s="345"/>
      <c r="P1143" s="345"/>
      <c r="Q1143" s="345"/>
      <c r="R1143" s="345">
        <v>62.6</v>
      </c>
      <c r="S1143" s="345">
        <v>183.4</v>
      </c>
      <c r="T1143" s="345">
        <v>512.5</v>
      </c>
      <c r="U1143" s="345">
        <v>71.5</v>
      </c>
      <c r="V1143" s="345">
        <v>208</v>
      </c>
      <c r="W1143" s="345">
        <v>542</v>
      </c>
      <c r="X1143" s="345">
        <v>55.5</v>
      </c>
      <c r="Y1143" s="345">
        <v>162</v>
      </c>
      <c r="Z1143" s="345">
        <v>418</v>
      </c>
      <c r="AA1143">
        <f t="shared" si="17"/>
        <v>60.5</v>
      </c>
    </row>
    <row r="1144" spans="1:27" ht="28.8" x14ac:dyDescent="0.3">
      <c r="A1144" s="345" t="s">
        <v>2811</v>
      </c>
      <c r="B1144" s="805"/>
      <c r="C1144" s="802"/>
      <c r="D1144" s="802"/>
      <c r="E1144" s="803"/>
      <c r="F1144" s="805">
        <v>228</v>
      </c>
      <c r="G1144" s="803"/>
      <c r="H1144" s="345">
        <v>552</v>
      </c>
      <c r="I1144" s="345">
        <v>1</v>
      </c>
      <c r="J1144" s="345">
        <v>233.5</v>
      </c>
      <c r="K1144" s="345">
        <v>570.5</v>
      </c>
      <c r="L1144" s="346"/>
      <c r="M1144" s="346"/>
      <c r="N1144" s="346"/>
      <c r="O1144" s="345"/>
      <c r="P1144" s="345"/>
      <c r="Q1144" s="345"/>
      <c r="R1144" s="345">
        <v>0.4</v>
      </c>
      <c r="S1144" s="345">
        <v>183.8</v>
      </c>
      <c r="T1144" s="345">
        <v>512.9</v>
      </c>
      <c r="U1144" s="345">
        <v>1</v>
      </c>
      <c r="V1144" s="345">
        <v>209</v>
      </c>
      <c r="W1144" s="345">
        <v>543</v>
      </c>
      <c r="X1144" s="345">
        <v>1</v>
      </c>
      <c r="Y1144" s="345">
        <v>163</v>
      </c>
      <c r="Z1144" s="345">
        <v>419</v>
      </c>
      <c r="AA1144">
        <f t="shared" si="17"/>
        <v>1</v>
      </c>
    </row>
    <row r="1145" spans="1:27" ht="28.8" x14ac:dyDescent="0.3">
      <c r="A1145" s="345" t="s">
        <v>2812</v>
      </c>
      <c r="B1145" s="805"/>
      <c r="C1145" s="802"/>
      <c r="D1145" s="802"/>
      <c r="E1145" s="803"/>
      <c r="F1145" s="805">
        <v>229.5</v>
      </c>
      <c r="G1145" s="803"/>
      <c r="H1145" s="345">
        <v>553.5</v>
      </c>
      <c r="I1145" s="345">
        <v>2.5</v>
      </c>
      <c r="J1145" s="345">
        <v>236</v>
      </c>
      <c r="K1145" s="345">
        <v>573</v>
      </c>
      <c r="L1145" s="346"/>
      <c r="M1145" s="346"/>
      <c r="N1145" s="346"/>
      <c r="O1145" s="345"/>
      <c r="P1145" s="345"/>
      <c r="Q1145" s="345"/>
      <c r="R1145" s="345">
        <v>1.8</v>
      </c>
      <c r="S1145" s="345">
        <v>185.6</v>
      </c>
      <c r="T1145" s="345">
        <v>514.70000000000005</v>
      </c>
      <c r="U1145" s="345">
        <v>2.5</v>
      </c>
      <c r="V1145" s="345">
        <v>211.5</v>
      </c>
      <c r="W1145" s="345">
        <v>545.5</v>
      </c>
      <c r="X1145" s="345">
        <v>2</v>
      </c>
      <c r="Y1145" s="345">
        <v>165</v>
      </c>
      <c r="Z1145" s="345">
        <v>421</v>
      </c>
      <c r="AA1145">
        <f t="shared" si="17"/>
        <v>2.5</v>
      </c>
    </row>
    <row r="1146" spans="1:27" ht="28.8" x14ac:dyDescent="0.3">
      <c r="A1146" s="345" t="s">
        <v>2813</v>
      </c>
      <c r="B1146" s="805"/>
      <c r="C1146" s="802"/>
      <c r="D1146" s="802"/>
      <c r="E1146" s="803"/>
      <c r="F1146" s="805">
        <v>231.5</v>
      </c>
      <c r="G1146" s="803"/>
      <c r="H1146" s="345">
        <v>555.5</v>
      </c>
      <c r="I1146" s="345">
        <v>1.5</v>
      </c>
      <c r="J1146" s="345">
        <v>237.5</v>
      </c>
      <c r="K1146" s="345">
        <v>574.5</v>
      </c>
      <c r="L1146" s="346"/>
      <c r="M1146" s="346"/>
      <c r="N1146" s="346"/>
      <c r="O1146" s="345"/>
      <c r="P1146" s="345"/>
      <c r="Q1146" s="345"/>
      <c r="R1146" s="345">
        <v>1.8</v>
      </c>
      <c r="S1146" s="345">
        <v>187.4</v>
      </c>
      <c r="T1146" s="345">
        <v>516.5</v>
      </c>
      <c r="U1146" s="345">
        <v>2</v>
      </c>
      <c r="V1146" s="345">
        <v>213.5</v>
      </c>
      <c r="W1146" s="345">
        <v>547.5</v>
      </c>
      <c r="X1146" s="345">
        <v>2</v>
      </c>
      <c r="Y1146" s="345">
        <v>167</v>
      </c>
      <c r="Z1146" s="345">
        <v>423</v>
      </c>
      <c r="AA1146">
        <f t="shared" si="17"/>
        <v>1.5</v>
      </c>
    </row>
    <row r="1147" spans="1:27" ht="28.8" x14ac:dyDescent="0.3">
      <c r="A1147" s="345" t="s">
        <v>2814</v>
      </c>
      <c r="B1147" s="805"/>
      <c r="C1147" s="802"/>
      <c r="D1147" s="802"/>
      <c r="E1147" s="803"/>
      <c r="F1147" s="805">
        <v>234</v>
      </c>
      <c r="G1147" s="803"/>
      <c r="H1147" s="345">
        <v>558</v>
      </c>
      <c r="I1147" s="345">
        <v>2.5</v>
      </c>
      <c r="J1147" s="345">
        <v>240</v>
      </c>
      <c r="K1147" s="345">
        <v>577</v>
      </c>
      <c r="L1147" s="346"/>
      <c r="M1147" s="346"/>
      <c r="N1147" s="346"/>
      <c r="O1147" s="345"/>
      <c r="P1147" s="345"/>
      <c r="Q1147" s="345"/>
      <c r="R1147" s="345">
        <v>2</v>
      </c>
      <c r="S1147" s="345">
        <v>189.4</v>
      </c>
      <c r="T1147" s="345">
        <v>518.5</v>
      </c>
      <c r="U1147" s="345">
        <v>2.5</v>
      </c>
      <c r="V1147" s="345">
        <v>216</v>
      </c>
      <c r="W1147" s="345">
        <v>550</v>
      </c>
      <c r="X1147" s="345">
        <v>2</v>
      </c>
      <c r="Y1147" s="345">
        <v>169</v>
      </c>
      <c r="Z1147" s="345">
        <v>425</v>
      </c>
      <c r="AA1147">
        <f t="shared" si="17"/>
        <v>2.5</v>
      </c>
    </row>
    <row r="1148" spans="1:27" ht="28.8" x14ac:dyDescent="0.3">
      <c r="A1148" s="345" t="s">
        <v>2815</v>
      </c>
      <c r="B1148" s="805"/>
      <c r="C1148" s="802"/>
      <c r="D1148" s="802"/>
      <c r="E1148" s="803"/>
      <c r="F1148" s="805">
        <v>234</v>
      </c>
      <c r="G1148" s="803"/>
      <c r="H1148" s="345">
        <v>558</v>
      </c>
      <c r="I1148" s="345">
        <v>0</v>
      </c>
      <c r="J1148" s="345">
        <v>240</v>
      </c>
      <c r="K1148" s="345">
        <v>577</v>
      </c>
      <c r="L1148" s="346"/>
      <c r="M1148" s="346"/>
      <c r="N1148" s="346"/>
      <c r="O1148" s="345"/>
      <c r="P1148" s="345"/>
      <c r="Q1148" s="345"/>
      <c r="R1148" s="345">
        <v>0.2</v>
      </c>
      <c r="S1148" s="345">
        <v>189.6</v>
      </c>
      <c r="T1148" s="345">
        <v>518.70000000000005</v>
      </c>
      <c r="U1148" s="345">
        <v>0</v>
      </c>
      <c r="V1148" s="345">
        <v>216</v>
      </c>
      <c r="W1148" s="345">
        <v>550</v>
      </c>
      <c r="X1148" s="345">
        <v>0</v>
      </c>
      <c r="Y1148" s="345">
        <v>169</v>
      </c>
      <c r="Z1148" s="345">
        <v>425</v>
      </c>
      <c r="AA1148">
        <f t="shared" si="17"/>
        <v>0</v>
      </c>
    </row>
    <row r="1149" spans="1:27" ht="28.8" x14ac:dyDescent="0.3">
      <c r="A1149" s="345" t="s">
        <v>2816</v>
      </c>
      <c r="B1149" s="805"/>
      <c r="C1149" s="802"/>
      <c r="D1149" s="802"/>
      <c r="E1149" s="803"/>
      <c r="F1149" s="805">
        <v>234</v>
      </c>
      <c r="G1149" s="803"/>
      <c r="H1149" s="345">
        <v>558</v>
      </c>
      <c r="I1149" s="345">
        <v>0</v>
      </c>
      <c r="J1149" s="345">
        <v>240</v>
      </c>
      <c r="K1149" s="345">
        <v>577</v>
      </c>
      <c r="L1149" s="346"/>
      <c r="M1149" s="346"/>
      <c r="N1149" s="346"/>
      <c r="O1149" s="345"/>
      <c r="P1149" s="345"/>
      <c r="Q1149" s="345"/>
      <c r="R1149" s="345">
        <v>0.2</v>
      </c>
      <c r="S1149" s="345">
        <v>189.8</v>
      </c>
      <c r="T1149" s="345">
        <v>518.9</v>
      </c>
      <c r="U1149" s="345">
        <v>0</v>
      </c>
      <c r="V1149" s="345">
        <v>216</v>
      </c>
      <c r="W1149" s="345">
        <v>550</v>
      </c>
      <c r="X1149" s="345">
        <v>0</v>
      </c>
      <c r="Y1149" s="345">
        <v>169</v>
      </c>
      <c r="Z1149" s="345">
        <v>425</v>
      </c>
      <c r="AA1149">
        <f t="shared" si="17"/>
        <v>0</v>
      </c>
    </row>
    <row r="1150" spans="1:27" ht="28.8" x14ac:dyDescent="0.3">
      <c r="A1150" s="345" t="s">
        <v>2817</v>
      </c>
      <c r="B1150" s="805"/>
      <c r="C1150" s="802"/>
      <c r="D1150" s="802"/>
      <c r="E1150" s="803"/>
      <c r="F1150" s="805">
        <v>234</v>
      </c>
      <c r="G1150" s="803"/>
      <c r="H1150" s="345">
        <v>558</v>
      </c>
      <c r="I1150" s="345">
        <v>0</v>
      </c>
      <c r="J1150" s="345">
        <v>240</v>
      </c>
      <c r="K1150" s="345">
        <v>577</v>
      </c>
      <c r="L1150" s="346"/>
      <c r="M1150" s="346"/>
      <c r="N1150" s="346"/>
      <c r="O1150" s="345"/>
      <c r="P1150" s="345"/>
      <c r="Q1150" s="345"/>
      <c r="R1150" s="345">
        <v>0</v>
      </c>
      <c r="S1150" s="345">
        <v>189.8</v>
      </c>
      <c r="T1150" s="345">
        <v>518.9</v>
      </c>
      <c r="U1150" s="345">
        <v>0</v>
      </c>
      <c r="V1150" s="345">
        <v>216</v>
      </c>
      <c r="W1150" s="345">
        <v>550</v>
      </c>
      <c r="X1150" s="345">
        <v>0</v>
      </c>
      <c r="Y1150" s="345">
        <v>169</v>
      </c>
      <c r="Z1150" s="345">
        <v>425</v>
      </c>
      <c r="AA1150">
        <f t="shared" si="17"/>
        <v>0</v>
      </c>
    </row>
    <row r="1151" spans="1:27" ht="28.8" x14ac:dyDescent="0.3">
      <c r="A1151" s="345" t="s">
        <v>2818</v>
      </c>
      <c r="B1151" s="805"/>
      <c r="C1151" s="802"/>
      <c r="D1151" s="802"/>
      <c r="E1151" s="803"/>
      <c r="F1151" s="805">
        <v>237.5</v>
      </c>
      <c r="G1151" s="803"/>
      <c r="H1151" s="345">
        <v>561.5</v>
      </c>
      <c r="I1151" s="345">
        <v>3.5</v>
      </c>
      <c r="J1151" s="345">
        <v>243.5</v>
      </c>
      <c r="K1151" s="345">
        <v>580.5</v>
      </c>
      <c r="L1151" s="346"/>
      <c r="M1151" s="346"/>
      <c r="N1151" s="346"/>
      <c r="O1151" s="345"/>
      <c r="P1151" s="345"/>
      <c r="Q1151" s="345"/>
      <c r="R1151" s="345">
        <v>3</v>
      </c>
      <c r="S1151" s="345">
        <v>192.8</v>
      </c>
      <c r="T1151" s="345">
        <v>521.9</v>
      </c>
      <c r="U1151" s="345">
        <v>3.5</v>
      </c>
      <c r="V1151" s="345">
        <v>219.5</v>
      </c>
      <c r="W1151" s="345">
        <v>553.5</v>
      </c>
      <c r="X1151" s="345">
        <v>2.5</v>
      </c>
      <c r="Y1151" s="345">
        <v>171.5</v>
      </c>
      <c r="Z1151" s="345">
        <v>427.5</v>
      </c>
      <c r="AA1151">
        <f t="shared" si="17"/>
        <v>3.5</v>
      </c>
    </row>
    <row r="1152" spans="1:27" ht="28.8" x14ac:dyDescent="0.3">
      <c r="A1152" s="345" t="s">
        <v>2819</v>
      </c>
      <c r="B1152" s="805"/>
      <c r="C1152" s="802"/>
      <c r="D1152" s="802"/>
      <c r="E1152" s="803"/>
      <c r="F1152" s="805">
        <v>239.5</v>
      </c>
      <c r="G1152" s="803"/>
      <c r="H1152" s="345">
        <v>563.5</v>
      </c>
      <c r="I1152" s="345">
        <v>2.5</v>
      </c>
      <c r="J1152" s="345">
        <v>246</v>
      </c>
      <c r="K1152" s="345">
        <v>583</v>
      </c>
      <c r="L1152" s="346"/>
      <c r="M1152" s="346"/>
      <c r="N1152" s="346"/>
      <c r="O1152" s="345"/>
      <c r="P1152" s="345"/>
      <c r="Q1152" s="345"/>
      <c r="R1152" s="345">
        <v>1.8</v>
      </c>
      <c r="S1152" s="345">
        <v>194.6</v>
      </c>
      <c r="T1152" s="345">
        <v>523.70000000000005</v>
      </c>
      <c r="U1152" s="345">
        <v>2.5</v>
      </c>
      <c r="V1152" s="345">
        <v>222</v>
      </c>
      <c r="W1152" s="345">
        <v>556</v>
      </c>
      <c r="X1152" s="345">
        <v>2</v>
      </c>
      <c r="Y1152" s="345">
        <v>173.5</v>
      </c>
      <c r="Z1152" s="345">
        <v>429.5</v>
      </c>
      <c r="AA1152">
        <f t="shared" si="17"/>
        <v>2.5</v>
      </c>
    </row>
    <row r="1153" spans="1:27" ht="28.8" x14ac:dyDescent="0.3">
      <c r="A1153" s="345" t="s">
        <v>2820</v>
      </c>
      <c r="B1153" s="805"/>
      <c r="C1153" s="802"/>
      <c r="D1153" s="802"/>
      <c r="E1153" s="803"/>
      <c r="F1153" s="805">
        <v>240.5</v>
      </c>
      <c r="G1153" s="803"/>
      <c r="H1153" s="345">
        <v>564.5</v>
      </c>
      <c r="I1153" s="345"/>
      <c r="J1153" s="345"/>
      <c r="K1153" s="345"/>
      <c r="L1153" s="346"/>
      <c r="M1153" s="346"/>
      <c r="N1153" s="346"/>
      <c r="O1153" s="345"/>
      <c r="P1153" s="345"/>
      <c r="Q1153" s="345"/>
      <c r="R1153" s="345"/>
      <c r="S1153" s="345"/>
      <c r="T1153" s="345"/>
      <c r="U1153" s="345">
        <v>1</v>
      </c>
      <c r="V1153" s="345">
        <v>223</v>
      </c>
      <c r="W1153" s="345">
        <v>557</v>
      </c>
      <c r="X1153" s="345">
        <v>1</v>
      </c>
      <c r="Y1153" s="345">
        <v>174.5</v>
      </c>
      <c r="Z1153" s="345">
        <v>430.5</v>
      </c>
      <c r="AA1153">
        <f t="shared" si="17"/>
        <v>0</v>
      </c>
    </row>
    <row r="1154" spans="1:27" ht="28.8" x14ac:dyDescent="0.3">
      <c r="A1154" s="345" t="s">
        <v>2821</v>
      </c>
      <c r="B1154" s="805"/>
      <c r="C1154" s="802"/>
      <c r="D1154" s="802"/>
      <c r="E1154" s="803"/>
      <c r="F1154" s="805">
        <v>299</v>
      </c>
      <c r="G1154" s="803"/>
      <c r="H1154" s="345">
        <v>623</v>
      </c>
      <c r="I1154" s="345">
        <v>65</v>
      </c>
      <c r="J1154" s="345">
        <v>311</v>
      </c>
      <c r="K1154" s="345">
        <v>648</v>
      </c>
      <c r="L1154" s="346"/>
      <c r="M1154" s="346"/>
      <c r="N1154" s="346"/>
      <c r="O1154" s="345"/>
      <c r="P1154" s="345"/>
      <c r="Q1154" s="345"/>
      <c r="R1154" s="345">
        <v>42.4</v>
      </c>
      <c r="S1154" s="345">
        <v>237</v>
      </c>
      <c r="T1154" s="345">
        <v>566.1</v>
      </c>
      <c r="U1154" s="345">
        <v>39.5</v>
      </c>
      <c r="V1154" s="345">
        <v>262.5</v>
      </c>
      <c r="W1154" s="345">
        <v>596.5</v>
      </c>
      <c r="X1154" s="345">
        <v>37.5</v>
      </c>
      <c r="Y1154" s="345">
        <v>212</v>
      </c>
      <c r="Z1154" s="345">
        <v>468</v>
      </c>
      <c r="AA1154">
        <f t="shared" si="17"/>
        <v>65</v>
      </c>
    </row>
    <row r="1155" spans="1:27" ht="28.8" x14ac:dyDescent="0.3">
      <c r="A1155" s="345" t="s">
        <v>2822</v>
      </c>
      <c r="B1155" s="805"/>
      <c r="C1155" s="802"/>
      <c r="D1155" s="802"/>
      <c r="E1155" s="803"/>
      <c r="F1155" s="805">
        <v>299</v>
      </c>
      <c r="G1155" s="803"/>
      <c r="H1155" s="345">
        <v>623</v>
      </c>
      <c r="I1155" s="345">
        <v>0</v>
      </c>
      <c r="J1155" s="345">
        <v>311</v>
      </c>
      <c r="K1155" s="345">
        <v>648</v>
      </c>
      <c r="L1155" s="346"/>
      <c r="M1155" s="346"/>
      <c r="N1155" s="346"/>
      <c r="O1155" s="345"/>
      <c r="P1155" s="345"/>
      <c r="Q1155" s="345"/>
      <c r="R1155" s="345">
        <v>0</v>
      </c>
      <c r="S1155" s="345">
        <v>237</v>
      </c>
      <c r="T1155" s="345">
        <v>566.1</v>
      </c>
      <c r="U1155" s="345">
        <v>0</v>
      </c>
      <c r="V1155" s="345">
        <v>262.5</v>
      </c>
      <c r="W1155" s="345">
        <v>596.5</v>
      </c>
      <c r="X1155" s="345">
        <v>0</v>
      </c>
      <c r="Y1155" s="345">
        <v>212</v>
      </c>
      <c r="Z1155" s="345">
        <v>468</v>
      </c>
      <c r="AA1155">
        <f t="shared" si="17"/>
        <v>0</v>
      </c>
    </row>
    <row r="1156" spans="1:27" ht="28.8" x14ac:dyDescent="0.3">
      <c r="A1156" s="345" t="s">
        <v>2823</v>
      </c>
      <c r="B1156" s="805"/>
      <c r="C1156" s="802"/>
      <c r="D1156" s="802"/>
      <c r="E1156" s="803"/>
      <c r="F1156" s="805">
        <v>315</v>
      </c>
      <c r="G1156" s="803"/>
      <c r="H1156" s="345">
        <v>639</v>
      </c>
      <c r="I1156" s="345">
        <v>5</v>
      </c>
      <c r="J1156" s="345">
        <v>316</v>
      </c>
      <c r="K1156" s="345">
        <v>653</v>
      </c>
      <c r="L1156" s="346"/>
      <c r="M1156" s="346"/>
      <c r="N1156" s="346"/>
      <c r="O1156" s="345"/>
      <c r="P1156" s="345"/>
      <c r="Q1156" s="345"/>
      <c r="R1156" s="345">
        <v>15.6</v>
      </c>
      <c r="S1156" s="345">
        <v>252.6</v>
      </c>
      <c r="T1156" s="345">
        <v>581.70000000000005</v>
      </c>
      <c r="U1156" s="345">
        <v>17.5</v>
      </c>
      <c r="V1156" s="345">
        <v>280</v>
      </c>
      <c r="W1156" s="345">
        <v>614</v>
      </c>
      <c r="X1156" s="345">
        <v>10.5</v>
      </c>
      <c r="Y1156" s="345">
        <v>222.5</v>
      </c>
      <c r="Z1156" s="345">
        <v>478.5</v>
      </c>
      <c r="AA1156">
        <f t="shared" si="17"/>
        <v>5</v>
      </c>
    </row>
    <row r="1157" spans="1:27" s="362" customFormat="1" ht="28.8" x14ac:dyDescent="0.3">
      <c r="A1157" s="359" t="s">
        <v>2824</v>
      </c>
      <c r="B1157" s="811"/>
      <c r="C1157" s="812"/>
      <c r="D1157" s="812"/>
      <c r="E1157" s="813"/>
      <c r="F1157" s="811">
        <v>316</v>
      </c>
      <c r="G1157" s="813"/>
      <c r="H1157" s="359">
        <v>640</v>
      </c>
      <c r="I1157" s="359">
        <v>0.5</v>
      </c>
      <c r="J1157" s="359">
        <v>316.5</v>
      </c>
      <c r="K1157" s="359">
        <v>653.5</v>
      </c>
      <c r="L1157" s="359"/>
      <c r="M1157" s="359"/>
      <c r="N1157" s="359"/>
      <c r="O1157" s="359"/>
      <c r="P1157" s="359"/>
      <c r="Q1157" s="359"/>
      <c r="R1157" s="359">
        <v>1</v>
      </c>
      <c r="S1157" s="359">
        <v>253.6</v>
      </c>
      <c r="T1157" s="359">
        <v>582.70000000000005</v>
      </c>
      <c r="U1157" s="359">
        <v>1</v>
      </c>
      <c r="V1157" s="359">
        <v>281</v>
      </c>
      <c r="W1157" s="359">
        <v>615</v>
      </c>
      <c r="X1157" s="359">
        <v>1</v>
      </c>
      <c r="Y1157" s="359">
        <v>223.5</v>
      </c>
      <c r="Z1157" s="359">
        <v>479.5</v>
      </c>
      <c r="AA1157" s="362">
        <f t="shared" si="17"/>
        <v>0.5</v>
      </c>
    </row>
    <row r="1158" spans="1:27" ht="28.8" x14ac:dyDescent="0.3">
      <c r="A1158" s="345" t="s">
        <v>2825</v>
      </c>
      <c r="B1158" s="805"/>
      <c r="C1158" s="802"/>
      <c r="D1158" s="802"/>
      <c r="E1158" s="803"/>
      <c r="F1158" s="805">
        <v>0</v>
      </c>
      <c r="G1158" s="803"/>
      <c r="H1158" s="345">
        <v>640</v>
      </c>
      <c r="I1158" s="345">
        <v>0</v>
      </c>
      <c r="J1158" s="345">
        <v>0</v>
      </c>
      <c r="K1158" s="345">
        <v>653.5</v>
      </c>
      <c r="L1158" s="346"/>
      <c r="M1158" s="346"/>
      <c r="N1158" s="346"/>
      <c r="O1158" s="345"/>
      <c r="P1158" s="345"/>
      <c r="Q1158" s="345"/>
      <c r="R1158" s="345">
        <v>0</v>
      </c>
      <c r="S1158" s="345">
        <v>0</v>
      </c>
      <c r="T1158" s="345">
        <v>582.70000000000005</v>
      </c>
      <c r="U1158" s="345">
        <v>0</v>
      </c>
      <c r="V1158" s="345">
        <v>0</v>
      </c>
      <c r="W1158" s="345">
        <v>615</v>
      </c>
      <c r="X1158" s="345">
        <v>0</v>
      </c>
      <c r="Y1158" s="345">
        <v>0</v>
      </c>
      <c r="Z1158" s="345">
        <v>479.5</v>
      </c>
      <c r="AA1158">
        <f t="shared" si="17"/>
        <v>0</v>
      </c>
    </row>
    <row r="1159" spans="1:27" ht="28.8" x14ac:dyDescent="0.3">
      <c r="A1159" s="345" t="s">
        <v>2826</v>
      </c>
      <c r="B1159" s="805"/>
      <c r="C1159" s="802"/>
      <c r="D1159" s="802"/>
      <c r="E1159" s="803"/>
      <c r="F1159" s="805">
        <v>2</v>
      </c>
      <c r="G1159" s="803"/>
      <c r="H1159" s="345">
        <v>642</v>
      </c>
      <c r="I1159" s="345">
        <v>1</v>
      </c>
      <c r="J1159" s="345">
        <v>1</v>
      </c>
      <c r="K1159" s="345">
        <v>654.5</v>
      </c>
      <c r="L1159" s="346"/>
      <c r="M1159" s="346"/>
      <c r="N1159" s="346"/>
      <c r="O1159" s="345"/>
      <c r="P1159" s="345"/>
      <c r="Q1159" s="345"/>
      <c r="R1159" s="345">
        <v>0.8</v>
      </c>
      <c r="S1159" s="345">
        <v>0.8</v>
      </c>
      <c r="T1159" s="345">
        <v>583.5</v>
      </c>
      <c r="U1159" s="345">
        <v>1</v>
      </c>
      <c r="V1159" s="345">
        <v>1</v>
      </c>
      <c r="W1159" s="345">
        <v>616</v>
      </c>
      <c r="X1159" s="345">
        <v>2</v>
      </c>
      <c r="Y1159" s="345">
        <v>2</v>
      </c>
      <c r="Z1159" s="345">
        <v>481.5</v>
      </c>
      <c r="AA1159">
        <f t="shared" si="17"/>
        <v>1</v>
      </c>
    </row>
    <row r="1160" spans="1:27" ht="28.8" x14ac:dyDescent="0.3">
      <c r="A1160" s="345" t="s">
        <v>2827</v>
      </c>
      <c r="B1160" s="805"/>
      <c r="C1160" s="802"/>
      <c r="D1160" s="802"/>
      <c r="E1160" s="803"/>
      <c r="F1160" s="805">
        <v>4</v>
      </c>
      <c r="G1160" s="803"/>
      <c r="H1160" s="345">
        <v>644</v>
      </c>
      <c r="I1160" s="345">
        <v>5</v>
      </c>
      <c r="J1160" s="345">
        <v>6</v>
      </c>
      <c r="K1160" s="345">
        <v>659.5</v>
      </c>
      <c r="L1160" s="346"/>
      <c r="M1160" s="346"/>
      <c r="N1160" s="346"/>
      <c r="O1160" s="345"/>
      <c r="P1160" s="345"/>
      <c r="Q1160" s="345"/>
      <c r="R1160" s="345">
        <v>2.8</v>
      </c>
      <c r="S1160" s="345">
        <v>3.6</v>
      </c>
      <c r="T1160" s="345">
        <v>586.29999999999995</v>
      </c>
      <c r="U1160" s="345">
        <v>3</v>
      </c>
      <c r="V1160" s="345">
        <v>4</v>
      </c>
      <c r="W1160" s="345">
        <v>619</v>
      </c>
      <c r="X1160" s="345">
        <v>8</v>
      </c>
      <c r="Y1160" s="345">
        <v>10</v>
      </c>
      <c r="Z1160" s="345">
        <v>489.5</v>
      </c>
      <c r="AA1160">
        <f t="shared" si="17"/>
        <v>5</v>
      </c>
    </row>
    <row r="1161" spans="1:27" ht="28.8" x14ac:dyDescent="0.3">
      <c r="A1161" s="345" t="s">
        <v>2828</v>
      </c>
      <c r="B1161" s="805"/>
      <c r="C1161" s="802"/>
      <c r="D1161" s="802"/>
      <c r="E1161" s="803"/>
      <c r="F1161" s="805">
        <v>29.5</v>
      </c>
      <c r="G1161" s="803"/>
      <c r="H1161" s="345">
        <v>669.5</v>
      </c>
      <c r="I1161" s="345">
        <v>24</v>
      </c>
      <c r="J1161" s="345">
        <v>30</v>
      </c>
      <c r="K1161" s="345">
        <v>683.5</v>
      </c>
      <c r="L1161" s="346"/>
      <c r="M1161" s="346"/>
      <c r="N1161" s="346"/>
      <c r="O1161" s="345"/>
      <c r="P1161" s="345"/>
      <c r="Q1161" s="345"/>
      <c r="R1161" s="345">
        <v>21.4</v>
      </c>
      <c r="S1161" s="345">
        <v>25</v>
      </c>
      <c r="T1161" s="345">
        <v>607.70000000000005</v>
      </c>
      <c r="U1161" s="345">
        <v>24</v>
      </c>
      <c r="V1161" s="345">
        <v>28</v>
      </c>
      <c r="W1161" s="345">
        <v>643</v>
      </c>
      <c r="X1161" s="345">
        <v>20</v>
      </c>
      <c r="Y1161" s="345">
        <v>30</v>
      </c>
      <c r="Z1161" s="345">
        <v>509.5</v>
      </c>
      <c r="AA1161">
        <f t="shared" si="17"/>
        <v>24</v>
      </c>
    </row>
    <row r="1162" spans="1:27" ht="28.8" x14ac:dyDescent="0.3">
      <c r="A1162" s="345" t="s">
        <v>2829</v>
      </c>
      <c r="B1162" s="805"/>
      <c r="C1162" s="802"/>
      <c r="D1162" s="802"/>
      <c r="E1162" s="803"/>
      <c r="F1162" s="805">
        <v>30.5</v>
      </c>
      <c r="G1162" s="803"/>
      <c r="H1162" s="345">
        <v>670.5</v>
      </c>
      <c r="I1162" s="345">
        <v>1.5</v>
      </c>
      <c r="J1162" s="345">
        <v>31.5</v>
      </c>
      <c r="K1162" s="345">
        <v>685</v>
      </c>
      <c r="L1162" s="346"/>
      <c r="M1162" s="346"/>
      <c r="N1162" s="346"/>
      <c r="O1162" s="345"/>
      <c r="P1162" s="345"/>
      <c r="Q1162" s="345"/>
      <c r="R1162" s="345">
        <v>0.6</v>
      </c>
      <c r="S1162" s="345">
        <v>25.6</v>
      </c>
      <c r="T1162" s="345">
        <v>608.29999999999995</v>
      </c>
      <c r="U1162" s="345">
        <v>1</v>
      </c>
      <c r="V1162" s="345">
        <v>29</v>
      </c>
      <c r="W1162" s="345">
        <v>644</v>
      </c>
      <c r="X1162" s="345">
        <v>1</v>
      </c>
      <c r="Y1162" s="345">
        <v>31</v>
      </c>
      <c r="Z1162" s="345">
        <v>510.5</v>
      </c>
      <c r="AA1162">
        <f t="shared" si="17"/>
        <v>1.5</v>
      </c>
    </row>
    <row r="1163" spans="1:27" ht="28.8" x14ac:dyDescent="0.3">
      <c r="A1163" s="345" t="s">
        <v>2830</v>
      </c>
      <c r="B1163" s="805"/>
      <c r="C1163" s="802"/>
      <c r="D1163" s="802"/>
      <c r="E1163" s="803"/>
      <c r="F1163" s="805">
        <v>49</v>
      </c>
      <c r="G1163" s="803"/>
      <c r="H1163" s="345">
        <v>689</v>
      </c>
      <c r="I1163" s="345">
        <v>28</v>
      </c>
      <c r="J1163" s="345">
        <v>59.5</v>
      </c>
      <c r="K1163" s="345">
        <v>713</v>
      </c>
      <c r="L1163" s="346"/>
      <c r="M1163" s="346"/>
      <c r="N1163" s="346"/>
      <c r="O1163" s="345"/>
      <c r="P1163" s="345"/>
      <c r="Q1163" s="345"/>
      <c r="R1163" s="345">
        <v>16.399999999999999</v>
      </c>
      <c r="S1163" s="345">
        <v>42</v>
      </c>
      <c r="T1163" s="345">
        <v>624.70000000000005</v>
      </c>
      <c r="U1163" s="345">
        <v>19.5</v>
      </c>
      <c r="V1163" s="345">
        <v>48.5</v>
      </c>
      <c r="W1163" s="345">
        <v>663.5</v>
      </c>
      <c r="X1163" s="345">
        <v>21</v>
      </c>
      <c r="Y1163" s="345">
        <v>52</v>
      </c>
      <c r="Z1163" s="345">
        <v>531.5</v>
      </c>
      <c r="AA1163">
        <f t="shared" si="17"/>
        <v>28</v>
      </c>
    </row>
    <row r="1164" spans="1:27" ht="28.8" x14ac:dyDescent="0.3">
      <c r="A1164" s="345" t="s">
        <v>2831</v>
      </c>
      <c r="B1164" s="805"/>
      <c r="C1164" s="802"/>
      <c r="D1164" s="802"/>
      <c r="E1164" s="803"/>
      <c r="F1164" s="805">
        <v>68</v>
      </c>
      <c r="G1164" s="803"/>
      <c r="H1164" s="345">
        <v>708</v>
      </c>
      <c r="I1164" s="345">
        <v>16</v>
      </c>
      <c r="J1164" s="345">
        <v>75.5</v>
      </c>
      <c r="K1164" s="345">
        <v>729</v>
      </c>
      <c r="L1164" s="346"/>
      <c r="M1164" s="346"/>
      <c r="N1164" s="346"/>
      <c r="O1164" s="345"/>
      <c r="P1164" s="345"/>
      <c r="Q1164" s="345"/>
      <c r="R1164" s="345">
        <v>6.4</v>
      </c>
      <c r="S1164" s="345">
        <v>48.4</v>
      </c>
      <c r="T1164" s="345">
        <v>631.1</v>
      </c>
      <c r="U1164" s="345">
        <v>7</v>
      </c>
      <c r="V1164" s="345">
        <v>55.5</v>
      </c>
      <c r="W1164" s="345">
        <v>670.5</v>
      </c>
      <c r="X1164" s="345">
        <v>9</v>
      </c>
      <c r="Y1164" s="345">
        <v>61</v>
      </c>
      <c r="Z1164" s="345">
        <v>540.5</v>
      </c>
      <c r="AA1164">
        <f t="shared" ref="AA1164:AA1229" si="18">MAX(B1164+I1164+L1164+O1164)</f>
        <v>16</v>
      </c>
    </row>
    <row r="1165" spans="1:27" ht="28.8" x14ac:dyDescent="0.3">
      <c r="A1165" s="345" t="s">
        <v>2832</v>
      </c>
      <c r="B1165" s="805"/>
      <c r="C1165" s="802"/>
      <c r="D1165" s="802"/>
      <c r="E1165" s="803"/>
      <c r="F1165" s="805">
        <v>85.5</v>
      </c>
      <c r="G1165" s="803"/>
      <c r="H1165" s="345">
        <v>725.5</v>
      </c>
      <c r="I1165" s="345">
        <v>13.5</v>
      </c>
      <c r="J1165" s="345">
        <v>89</v>
      </c>
      <c r="K1165" s="345">
        <v>742.5</v>
      </c>
      <c r="L1165" s="346"/>
      <c r="M1165" s="346"/>
      <c r="N1165" s="346"/>
      <c r="O1165" s="345"/>
      <c r="P1165" s="345"/>
      <c r="Q1165" s="345"/>
      <c r="R1165" s="345">
        <v>9.1999999999999993</v>
      </c>
      <c r="S1165" s="345">
        <v>57.6</v>
      </c>
      <c r="T1165" s="345">
        <v>640.29999999999995</v>
      </c>
      <c r="U1165" s="345">
        <v>10</v>
      </c>
      <c r="V1165" s="345">
        <v>65.5</v>
      </c>
      <c r="W1165" s="345">
        <v>680.5</v>
      </c>
      <c r="X1165" s="345">
        <v>6</v>
      </c>
      <c r="Y1165" s="345">
        <v>67</v>
      </c>
      <c r="Z1165" s="345">
        <v>546.5</v>
      </c>
      <c r="AA1165">
        <f t="shared" si="18"/>
        <v>13.5</v>
      </c>
    </row>
    <row r="1166" spans="1:27" ht="28.8" x14ac:dyDescent="0.3">
      <c r="A1166" s="345" t="s">
        <v>2833</v>
      </c>
      <c r="B1166" s="805"/>
      <c r="C1166" s="802"/>
      <c r="D1166" s="802"/>
      <c r="E1166" s="803"/>
      <c r="F1166" s="805">
        <v>88.5</v>
      </c>
      <c r="G1166" s="803"/>
      <c r="H1166" s="345">
        <v>728.5</v>
      </c>
      <c r="I1166" s="345">
        <v>3.5</v>
      </c>
      <c r="J1166" s="345">
        <v>92.5</v>
      </c>
      <c r="K1166" s="345">
        <v>746</v>
      </c>
      <c r="L1166" s="346"/>
      <c r="M1166" s="346"/>
      <c r="N1166" s="346"/>
      <c r="O1166" s="345"/>
      <c r="P1166" s="345"/>
      <c r="Q1166" s="345"/>
      <c r="R1166" s="345">
        <v>0.2</v>
      </c>
      <c r="S1166" s="345">
        <v>57.8</v>
      </c>
      <c r="T1166" s="345">
        <v>640.5</v>
      </c>
      <c r="U1166" s="345">
        <v>3</v>
      </c>
      <c r="V1166" s="345">
        <v>68.5</v>
      </c>
      <c r="W1166" s="345">
        <v>683.5</v>
      </c>
      <c r="X1166" s="345">
        <v>2.5</v>
      </c>
      <c r="Y1166" s="345">
        <v>69.5</v>
      </c>
      <c r="Z1166" s="345">
        <v>549</v>
      </c>
      <c r="AA1166">
        <f t="shared" si="18"/>
        <v>3.5</v>
      </c>
    </row>
    <row r="1167" spans="1:27" ht="28.8" x14ac:dyDescent="0.3">
      <c r="A1167" s="345" t="s">
        <v>2834</v>
      </c>
      <c r="B1167" s="805"/>
      <c r="C1167" s="802"/>
      <c r="D1167" s="802"/>
      <c r="E1167" s="803"/>
      <c r="F1167" s="805">
        <v>88.5</v>
      </c>
      <c r="G1167" s="803"/>
      <c r="H1167" s="345">
        <v>728.5</v>
      </c>
      <c r="I1167" s="345">
        <v>0</v>
      </c>
      <c r="J1167" s="345">
        <v>92.5</v>
      </c>
      <c r="K1167" s="345">
        <v>746</v>
      </c>
      <c r="L1167" s="346"/>
      <c r="M1167" s="346"/>
      <c r="N1167" s="346"/>
      <c r="O1167" s="345"/>
      <c r="P1167" s="345"/>
      <c r="Q1167" s="345"/>
      <c r="R1167" s="345">
        <v>0</v>
      </c>
      <c r="S1167" s="345">
        <v>57.8</v>
      </c>
      <c r="T1167" s="345">
        <v>640.5</v>
      </c>
      <c r="U1167" s="345">
        <v>0</v>
      </c>
      <c r="V1167" s="345">
        <v>68.5</v>
      </c>
      <c r="W1167" s="345">
        <v>683.5</v>
      </c>
      <c r="X1167" s="345">
        <v>0</v>
      </c>
      <c r="Y1167" s="345">
        <v>69.5</v>
      </c>
      <c r="Z1167" s="345">
        <v>549</v>
      </c>
      <c r="AA1167">
        <f t="shared" si="18"/>
        <v>0</v>
      </c>
    </row>
    <row r="1168" spans="1:27" ht="28.8" x14ac:dyDescent="0.3">
      <c r="A1168" s="345" t="s">
        <v>2835</v>
      </c>
      <c r="B1168" s="805"/>
      <c r="C1168" s="802"/>
      <c r="D1168" s="802"/>
      <c r="E1168" s="803"/>
      <c r="F1168" s="805">
        <v>88.5</v>
      </c>
      <c r="G1168" s="803"/>
      <c r="H1168" s="345">
        <v>728.5</v>
      </c>
      <c r="I1168" s="345">
        <v>0</v>
      </c>
      <c r="J1168" s="345">
        <v>92.5</v>
      </c>
      <c r="K1168" s="345">
        <v>746</v>
      </c>
      <c r="L1168" s="346"/>
      <c r="M1168" s="346"/>
      <c r="N1168" s="346"/>
      <c r="O1168" s="345"/>
      <c r="P1168" s="345"/>
      <c r="Q1168" s="345"/>
      <c r="R1168" s="345">
        <v>0</v>
      </c>
      <c r="S1168" s="345">
        <v>57.8</v>
      </c>
      <c r="T1168" s="345">
        <v>640.5</v>
      </c>
      <c r="U1168" s="345">
        <v>0</v>
      </c>
      <c r="V1168" s="345">
        <v>68.5</v>
      </c>
      <c r="W1168" s="345">
        <v>683.5</v>
      </c>
      <c r="X1168" s="345">
        <v>0</v>
      </c>
      <c r="Y1168" s="345">
        <v>69.5</v>
      </c>
      <c r="Z1168" s="345">
        <v>549</v>
      </c>
      <c r="AA1168">
        <f t="shared" si="18"/>
        <v>0</v>
      </c>
    </row>
    <row r="1169" spans="1:27" ht="28.8" x14ac:dyDescent="0.3">
      <c r="A1169" s="345" t="s">
        <v>2836</v>
      </c>
      <c r="B1169" s="805"/>
      <c r="C1169" s="802"/>
      <c r="D1169" s="802"/>
      <c r="E1169" s="803"/>
      <c r="F1169" s="805">
        <v>92.5</v>
      </c>
      <c r="G1169" s="803"/>
      <c r="H1169" s="345">
        <v>732.5</v>
      </c>
      <c r="I1169" s="345">
        <v>6</v>
      </c>
      <c r="J1169" s="345">
        <v>98.5</v>
      </c>
      <c r="K1169" s="345">
        <v>752</v>
      </c>
      <c r="L1169" s="346"/>
      <c r="M1169" s="346"/>
      <c r="N1169" s="346"/>
      <c r="O1169" s="345"/>
      <c r="P1169" s="345"/>
      <c r="Q1169" s="345"/>
      <c r="R1169" s="345">
        <v>0</v>
      </c>
      <c r="S1169" s="345">
        <v>57.8</v>
      </c>
      <c r="T1169" s="345">
        <v>640.5</v>
      </c>
      <c r="U1169" s="345">
        <v>4.5</v>
      </c>
      <c r="V1169" s="345">
        <v>73</v>
      </c>
      <c r="W1169" s="345">
        <v>688</v>
      </c>
      <c r="X1169" s="345">
        <v>3.5</v>
      </c>
      <c r="Y1169" s="345">
        <v>73</v>
      </c>
      <c r="Z1169" s="345">
        <v>552.5</v>
      </c>
      <c r="AA1169">
        <f t="shared" si="18"/>
        <v>6</v>
      </c>
    </row>
    <row r="1170" spans="1:27" ht="28.8" x14ac:dyDescent="0.3">
      <c r="A1170" s="345" t="s">
        <v>2837</v>
      </c>
      <c r="B1170" s="805"/>
      <c r="C1170" s="802"/>
      <c r="D1170" s="802"/>
      <c r="E1170" s="803"/>
      <c r="F1170" s="805">
        <v>95</v>
      </c>
      <c r="G1170" s="803"/>
      <c r="H1170" s="345">
        <v>735</v>
      </c>
      <c r="I1170" s="345">
        <v>3.5</v>
      </c>
      <c r="J1170" s="345">
        <v>102</v>
      </c>
      <c r="K1170" s="345">
        <v>755.5</v>
      </c>
      <c r="L1170" s="346"/>
      <c r="M1170" s="346"/>
      <c r="N1170" s="346"/>
      <c r="O1170" s="345"/>
      <c r="P1170" s="345"/>
      <c r="Q1170" s="345"/>
      <c r="R1170" s="345">
        <v>4.5999999999999996</v>
      </c>
      <c r="S1170" s="345">
        <v>62.4</v>
      </c>
      <c r="T1170" s="345">
        <v>645.1</v>
      </c>
      <c r="U1170" s="345">
        <v>5.5</v>
      </c>
      <c r="V1170" s="345">
        <v>78.5</v>
      </c>
      <c r="W1170" s="345">
        <v>693.5</v>
      </c>
      <c r="X1170" s="345">
        <v>3</v>
      </c>
      <c r="Y1170" s="345">
        <v>76</v>
      </c>
      <c r="Z1170" s="345">
        <v>555.5</v>
      </c>
      <c r="AA1170">
        <f t="shared" si="18"/>
        <v>3.5</v>
      </c>
    </row>
    <row r="1171" spans="1:27" ht="28.8" x14ac:dyDescent="0.3">
      <c r="A1171" s="345" t="s">
        <v>2838</v>
      </c>
      <c r="B1171" s="805"/>
      <c r="C1171" s="802"/>
      <c r="D1171" s="802"/>
      <c r="E1171" s="803"/>
      <c r="F1171" s="805">
        <v>110.5</v>
      </c>
      <c r="G1171" s="803"/>
      <c r="H1171" s="345">
        <v>750.5</v>
      </c>
      <c r="I1171" s="345">
        <v>17</v>
      </c>
      <c r="J1171" s="345">
        <v>119</v>
      </c>
      <c r="K1171" s="345">
        <v>772.5</v>
      </c>
      <c r="L1171" s="346"/>
      <c r="M1171" s="346"/>
      <c r="N1171" s="346"/>
      <c r="O1171" s="345"/>
      <c r="P1171" s="345"/>
      <c r="Q1171" s="345"/>
      <c r="R1171" s="345">
        <v>12.8</v>
      </c>
      <c r="S1171" s="345">
        <v>75.2</v>
      </c>
      <c r="T1171" s="345">
        <v>657.9</v>
      </c>
      <c r="U1171" s="345">
        <v>13</v>
      </c>
      <c r="V1171" s="345">
        <v>91.5</v>
      </c>
      <c r="W1171" s="345">
        <v>706.5</v>
      </c>
      <c r="X1171" s="345">
        <v>13.5</v>
      </c>
      <c r="Y1171" s="345">
        <v>89.5</v>
      </c>
      <c r="Z1171" s="345">
        <v>569</v>
      </c>
      <c r="AA1171">
        <f t="shared" si="18"/>
        <v>17</v>
      </c>
    </row>
    <row r="1172" spans="1:27" ht="28.8" x14ac:dyDescent="0.3">
      <c r="A1172" s="345" t="s">
        <v>2839</v>
      </c>
      <c r="B1172" s="805"/>
      <c r="C1172" s="802"/>
      <c r="D1172" s="802"/>
      <c r="E1172" s="803"/>
      <c r="F1172" s="805">
        <v>111.5</v>
      </c>
      <c r="G1172" s="803"/>
      <c r="H1172" s="345">
        <v>751.5</v>
      </c>
      <c r="I1172" s="345">
        <v>1.5</v>
      </c>
      <c r="J1172" s="345">
        <v>120.5</v>
      </c>
      <c r="K1172" s="345">
        <v>774</v>
      </c>
      <c r="L1172" s="346"/>
      <c r="M1172" s="346"/>
      <c r="N1172" s="346"/>
      <c r="O1172" s="345"/>
      <c r="P1172" s="345"/>
      <c r="Q1172" s="345"/>
      <c r="R1172" s="345">
        <v>0.8</v>
      </c>
      <c r="S1172" s="345">
        <v>76</v>
      </c>
      <c r="T1172" s="345">
        <v>658.7</v>
      </c>
      <c r="U1172" s="345">
        <v>1</v>
      </c>
      <c r="V1172" s="345">
        <v>92.5</v>
      </c>
      <c r="W1172" s="345">
        <v>707.5</v>
      </c>
      <c r="X1172" s="345">
        <v>1</v>
      </c>
      <c r="Y1172" s="345">
        <v>90.5</v>
      </c>
      <c r="Z1172" s="345">
        <v>570</v>
      </c>
      <c r="AA1172">
        <f t="shared" si="18"/>
        <v>1.5</v>
      </c>
    </row>
    <row r="1173" spans="1:27" ht="28.8" x14ac:dyDescent="0.3">
      <c r="A1173" s="345" t="s">
        <v>2840</v>
      </c>
      <c r="B1173" s="805"/>
      <c r="C1173" s="802"/>
      <c r="D1173" s="802"/>
      <c r="E1173" s="803"/>
      <c r="F1173" s="805">
        <v>113</v>
      </c>
      <c r="G1173" s="803"/>
      <c r="H1173" s="345">
        <v>753</v>
      </c>
      <c r="I1173" s="345">
        <v>1</v>
      </c>
      <c r="J1173" s="345">
        <v>121.5</v>
      </c>
      <c r="K1173" s="345">
        <v>775</v>
      </c>
      <c r="L1173" s="346"/>
      <c r="M1173" s="346"/>
      <c r="N1173" s="346"/>
      <c r="O1173" s="345"/>
      <c r="P1173" s="345"/>
      <c r="Q1173" s="345"/>
      <c r="R1173" s="345">
        <v>0.6</v>
      </c>
      <c r="S1173" s="345">
        <v>76.599999999999994</v>
      </c>
      <c r="T1173" s="345">
        <v>659.3</v>
      </c>
      <c r="U1173" s="345">
        <v>1</v>
      </c>
      <c r="V1173" s="345">
        <v>93.5</v>
      </c>
      <c r="W1173" s="345">
        <v>708.5</v>
      </c>
      <c r="X1173" s="345">
        <v>1</v>
      </c>
      <c r="Y1173" s="345">
        <v>91.5</v>
      </c>
      <c r="Z1173" s="345">
        <v>571</v>
      </c>
      <c r="AA1173">
        <f t="shared" si="18"/>
        <v>1</v>
      </c>
    </row>
    <row r="1174" spans="1:27" ht="28.8" x14ac:dyDescent="0.3">
      <c r="A1174" s="345" t="s">
        <v>2841</v>
      </c>
      <c r="B1174" s="805"/>
      <c r="C1174" s="802"/>
      <c r="D1174" s="802"/>
      <c r="E1174" s="803"/>
      <c r="F1174" s="805">
        <v>113</v>
      </c>
      <c r="G1174" s="803"/>
      <c r="H1174" s="345">
        <v>753</v>
      </c>
      <c r="I1174" s="345">
        <v>0</v>
      </c>
      <c r="J1174" s="345">
        <v>121.5</v>
      </c>
      <c r="K1174" s="345">
        <v>775</v>
      </c>
      <c r="L1174" s="346"/>
      <c r="M1174" s="346"/>
      <c r="N1174" s="346"/>
      <c r="O1174" s="345"/>
      <c r="P1174" s="345"/>
      <c r="Q1174" s="345"/>
      <c r="R1174" s="345">
        <v>0.2</v>
      </c>
      <c r="S1174" s="345">
        <v>76.8</v>
      </c>
      <c r="T1174" s="345">
        <v>659.5</v>
      </c>
      <c r="U1174" s="345">
        <v>0</v>
      </c>
      <c r="V1174" s="345">
        <v>93.5</v>
      </c>
      <c r="W1174" s="345">
        <v>708.5</v>
      </c>
      <c r="X1174" s="345">
        <v>0</v>
      </c>
      <c r="Y1174" s="345">
        <v>91.5</v>
      </c>
      <c r="Z1174" s="345">
        <v>571</v>
      </c>
      <c r="AA1174">
        <f t="shared" si="18"/>
        <v>0</v>
      </c>
    </row>
    <row r="1175" spans="1:27" ht="28.8" x14ac:dyDescent="0.3">
      <c r="A1175" s="345" t="s">
        <v>2842</v>
      </c>
      <c r="B1175" s="805"/>
      <c r="C1175" s="802"/>
      <c r="D1175" s="802"/>
      <c r="E1175" s="803"/>
      <c r="F1175" s="805">
        <v>129.5</v>
      </c>
      <c r="G1175" s="803"/>
      <c r="H1175" s="345">
        <v>769.5</v>
      </c>
      <c r="I1175" s="345">
        <v>10</v>
      </c>
      <c r="J1175" s="345">
        <v>131.5</v>
      </c>
      <c r="K1175" s="345">
        <v>785</v>
      </c>
      <c r="L1175" s="346"/>
      <c r="M1175" s="346"/>
      <c r="N1175" s="346"/>
      <c r="O1175" s="345"/>
      <c r="P1175" s="345"/>
      <c r="Q1175" s="345"/>
      <c r="R1175" s="345">
        <v>14</v>
      </c>
      <c r="S1175" s="345">
        <v>90.8</v>
      </c>
      <c r="T1175" s="345">
        <v>673.5</v>
      </c>
      <c r="U1175" s="345">
        <v>15</v>
      </c>
      <c r="V1175" s="345">
        <v>108.5</v>
      </c>
      <c r="W1175" s="345">
        <v>723.5</v>
      </c>
      <c r="X1175" s="345">
        <v>14</v>
      </c>
      <c r="Y1175" s="345">
        <v>105.5</v>
      </c>
      <c r="Z1175" s="345">
        <v>585</v>
      </c>
      <c r="AA1175">
        <f t="shared" si="18"/>
        <v>10</v>
      </c>
    </row>
    <row r="1176" spans="1:27" ht="28.8" x14ac:dyDescent="0.3">
      <c r="A1176" s="345" t="s">
        <v>2843</v>
      </c>
      <c r="B1176" s="805"/>
      <c r="C1176" s="802"/>
      <c r="D1176" s="802"/>
      <c r="E1176" s="803"/>
      <c r="F1176" s="805">
        <v>129.5</v>
      </c>
      <c r="G1176" s="803"/>
      <c r="H1176" s="345">
        <v>769.5</v>
      </c>
      <c r="I1176" s="345">
        <v>0</v>
      </c>
      <c r="J1176" s="345">
        <v>131.5</v>
      </c>
      <c r="K1176" s="345">
        <v>785</v>
      </c>
      <c r="L1176" s="346"/>
      <c r="M1176" s="346"/>
      <c r="N1176" s="346"/>
      <c r="O1176" s="345"/>
      <c r="P1176" s="345"/>
      <c r="Q1176" s="345"/>
      <c r="R1176" s="345">
        <v>0.2</v>
      </c>
      <c r="S1176" s="345">
        <v>91</v>
      </c>
      <c r="T1176" s="345">
        <v>673.7</v>
      </c>
      <c r="U1176" s="345">
        <v>0</v>
      </c>
      <c r="V1176" s="345">
        <v>108.5</v>
      </c>
      <c r="W1176" s="345">
        <v>723.5</v>
      </c>
      <c r="X1176" s="345">
        <v>0</v>
      </c>
      <c r="Y1176" s="345">
        <v>105.5</v>
      </c>
      <c r="Z1176" s="345">
        <v>585</v>
      </c>
      <c r="AA1176">
        <f t="shared" si="18"/>
        <v>0</v>
      </c>
    </row>
    <row r="1177" spans="1:27" ht="28.8" x14ac:dyDescent="0.3">
      <c r="A1177" s="345" t="s">
        <v>2844</v>
      </c>
      <c r="B1177" s="805"/>
      <c r="C1177" s="802"/>
      <c r="D1177" s="802"/>
      <c r="E1177" s="803"/>
      <c r="F1177" s="805">
        <v>203</v>
      </c>
      <c r="G1177" s="803"/>
      <c r="H1177" s="345">
        <v>843</v>
      </c>
      <c r="I1177" s="345">
        <v>65</v>
      </c>
      <c r="J1177" s="345">
        <v>196.5</v>
      </c>
      <c r="K1177" s="345">
        <v>850</v>
      </c>
      <c r="L1177" s="346"/>
      <c r="M1177" s="346"/>
      <c r="N1177" s="346"/>
      <c r="O1177" s="345"/>
      <c r="P1177" s="345"/>
      <c r="Q1177" s="345"/>
      <c r="R1177" s="345">
        <v>35.799999999999997</v>
      </c>
      <c r="S1177" s="345">
        <v>126.8</v>
      </c>
      <c r="T1177" s="345">
        <v>709.5</v>
      </c>
      <c r="U1177" s="345">
        <v>63.5</v>
      </c>
      <c r="V1177" s="345">
        <v>172</v>
      </c>
      <c r="W1177" s="345">
        <v>787</v>
      </c>
      <c r="X1177" s="345">
        <v>47.5</v>
      </c>
      <c r="Y1177" s="345">
        <v>153</v>
      </c>
      <c r="Z1177" s="345">
        <v>632.5</v>
      </c>
      <c r="AA1177">
        <f t="shared" si="18"/>
        <v>65</v>
      </c>
    </row>
    <row r="1178" spans="1:27" ht="28.8" x14ac:dyDescent="0.3">
      <c r="A1178" s="345" t="s">
        <v>2845</v>
      </c>
      <c r="B1178" s="805"/>
      <c r="C1178" s="802"/>
      <c r="D1178" s="802"/>
      <c r="E1178" s="803"/>
      <c r="F1178" s="805">
        <v>216.5</v>
      </c>
      <c r="G1178" s="803"/>
      <c r="H1178" s="345">
        <v>856.5</v>
      </c>
      <c r="I1178" s="345">
        <v>24.5</v>
      </c>
      <c r="J1178" s="345">
        <v>221</v>
      </c>
      <c r="K1178" s="345">
        <v>874.5</v>
      </c>
      <c r="L1178" s="346"/>
      <c r="M1178" s="346"/>
      <c r="N1178" s="346"/>
      <c r="O1178" s="345"/>
      <c r="P1178" s="345"/>
      <c r="Q1178" s="345"/>
      <c r="R1178" s="345">
        <v>14.4</v>
      </c>
      <c r="S1178" s="345">
        <v>141.19999999999999</v>
      </c>
      <c r="T1178" s="345">
        <v>723.9</v>
      </c>
      <c r="U1178" s="345">
        <v>16</v>
      </c>
      <c r="V1178" s="345">
        <v>188</v>
      </c>
      <c r="W1178" s="345">
        <v>803</v>
      </c>
      <c r="X1178" s="345">
        <v>12</v>
      </c>
      <c r="Y1178" s="345">
        <v>165</v>
      </c>
      <c r="Z1178" s="345">
        <v>644.5</v>
      </c>
      <c r="AA1178">
        <f t="shared" si="18"/>
        <v>24.5</v>
      </c>
    </row>
    <row r="1179" spans="1:27" ht="28.8" x14ac:dyDescent="0.3">
      <c r="A1179" s="345" t="s">
        <v>2846</v>
      </c>
      <c r="B1179" s="805"/>
      <c r="C1179" s="802"/>
      <c r="D1179" s="802"/>
      <c r="E1179" s="803"/>
      <c r="F1179" s="805">
        <v>216.5</v>
      </c>
      <c r="G1179" s="803"/>
      <c r="H1179" s="345">
        <v>856.5</v>
      </c>
      <c r="I1179" s="345">
        <v>0</v>
      </c>
      <c r="J1179" s="345">
        <v>221</v>
      </c>
      <c r="K1179" s="345">
        <v>874.5</v>
      </c>
      <c r="L1179" s="346"/>
      <c r="M1179" s="346"/>
      <c r="N1179" s="346"/>
      <c r="O1179" s="345"/>
      <c r="P1179" s="345"/>
      <c r="Q1179" s="345"/>
      <c r="R1179" s="345">
        <v>0</v>
      </c>
      <c r="S1179" s="345">
        <v>141.19999999999999</v>
      </c>
      <c r="T1179" s="345">
        <v>723.9</v>
      </c>
      <c r="U1179" s="345">
        <v>0</v>
      </c>
      <c r="V1179" s="345">
        <v>188</v>
      </c>
      <c r="W1179" s="345">
        <v>803</v>
      </c>
      <c r="X1179" s="345">
        <v>0</v>
      </c>
      <c r="Y1179" s="345">
        <v>165</v>
      </c>
      <c r="Z1179" s="345">
        <v>644.5</v>
      </c>
      <c r="AA1179">
        <f t="shared" si="18"/>
        <v>0</v>
      </c>
    </row>
    <row r="1180" spans="1:27" x14ac:dyDescent="0.3">
      <c r="A1180" s="345"/>
      <c r="B1180" s="345"/>
      <c r="C1180" s="341"/>
      <c r="D1180" s="341"/>
      <c r="E1180" s="342"/>
      <c r="F1180" s="345"/>
      <c r="G1180" s="342"/>
      <c r="H1180" s="345"/>
      <c r="I1180" s="345"/>
      <c r="J1180" s="345"/>
      <c r="K1180" s="345"/>
      <c r="L1180" s="346"/>
      <c r="M1180" s="346"/>
      <c r="N1180" s="346"/>
      <c r="O1180" s="345"/>
      <c r="P1180" s="345"/>
      <c r="Q1180" s="345"/>
      <c r="R1180" s="345"/>
      <c r="S1180" s="345"/>
      <c r="T1180" s="345"/>
      <c r="U1180" s="345"/>
      <c r="V1180" s="345"/>
      <c r="W1180" s="345"/>
      <c r="X1180" s="345"/>
      <c r="Y1180" s="345"/>
      <c r="Z1180" s="345"/>
    </row>
    <row r="1181" spans="1:27" ht="28.8" x14ac:dyDescent="0.3">
      <c r="A1181" s="345" t="s">
        <v>2847</v>
      </c>
      <c r="B1181" s="805"/>
      <c r="C1181" s="802"/>
      <c r="D1181" s="802"/>
      <c r="E1181" s="803"/>
      <c r="F1181" s="805">
        <v>227.5</v>
      </c>
      <c r="G1181" s="803"/>
      <c r="H1181" s="345">
        <v>867.5</v>
      </c>
      <c r="I1181" s="345">
        <v>13.5</v>
      </c>
      <c r="J1181" s="345">
        <v>234.5</v>
      </c>
      <c r="K1181" s="345">
        <v>888</v>
      </c>
      <c r="L1181" s="346"/>
      <c r="M1181" s="346"/>
      <c r="N1181" s="346"/>
      <c r="O1181" s="345"/>
      <c r="P1181" s="345"/>
      <c r="Q1181" s="345"/>
      <c r="R1181" s="345">
        <v>15.2</v>
      </c>
      <c r="S1181" s="345">
        <v>156.4</v>
      </c>
      <c r="T1181" s="345">
        <v>739.1</v>
      </c>
      <c r="U1181" s="345">
        <v>16.5</v>
      </c>
      <c r="V1181" s="345">
        <v>204.5</v>
      </c>
      <c r="W1181" s="345">
        <v>819.5</v>
      </c>
      <c r="X1181" s="345">
        <v>12.5</v>
      </c>
      <c r="Y1181" s="345">
        <v>177.5</v>
      </c>
      <c r="Z1181" s="345">
        <v>657</v>
      </c>
      <c r="AA1181">
        <f t="shared" si="18"/>
        <v>13.5</v>
      </c>
    </row>
    <row r="1182" spans="1:27" ht="28.8" x14ac:dyDescent="0.3">
      <c r="A1182" s="345" t="s">
        <v>2848</v>
      </c>
      <c r="B1182" s="805"/>
      <c r="C1182" s="802"/>
      <c r="D1182" s="802"/>
      <c r="E1182" s="803"/>
      <c r="F1182" s="805">
        <v>228</v>
      </c>
      <c r="G1182" s="803"/>
      <c r="H1182" s="345">
        <v>868</v>
      </c>
      <c r="I1182" s="345">
        <v>0.5</v>
      </c>
      <c r="J1182" s="345">
        <v>235</v>
      </c>
      <c r="K1182" s="345">
        <v>888.5</v>
      </c>
      <c r="L1182" s="346"/>
      <c r="M1182" s="346"/>
      <c r="N1182" s="346"/>
      <c r="O1182" s="345"/>
      <c r="P1182" s="345"/>
      <c r="Q1182" s="345"/>
      <c r="R1182" s="345">
        <v>0.6</v>
      </c>
      <c r="S1182" s="345">
        <v>157</v>
      </c>
      <c r="T1182" s="345">
        <v>739.7</v>
      </c>
      <c r="U1182" s="345">
        <v>1</v>
      </c>
      <c r="V1182" s="345">
        <v>205.5</v>
      </c>
      <c r="W1182" s="345">
        <v>820.5</v>
      </c>
      <c r="X1182" s="345">
        <v>1</v>
      </c>
      <c r="Y1182" s="345">
        <v>178.5</v>
      </c>
      <c r="Z1182" s="345">
        <v>658</v>
      </c>
      <c r="AA1182">
        <f t="shared" si="18"/>
        <v>0.5</v>
      </c>
    </row>
    <row r="1183" spans="1:27" ht="28.8" x14ac:dyDescent="0.3">
      <c r="A1183" s="345" t="s">
        <v>2849</v>
      </c>
      <c r="B1183" s="805"/>
      <c r="C1183" s="802"/>
      <c r="D1183" s="802"/>
      <c r="E1183" s="803"/>
      <c r="F1183" s="805">
        <v>248</v>
      </c>
      <c r="G1183" s="803"/>
      <c r="H1183" s="345">
        <v>888</v>
      </c>
      <c r="I1183" s="345">
        <v>22</v>
      </c>
      <c r="J1183" s="345">
        <v>257</v>
      </c>
      <c r="K1183" s="345">
        <v>910.5</v>
      </c>
      <c r="L1183" s="346"/>
      <c r="M1183" s="346"/>
      <c r="N1183" s="346"/>
      <c r="O1183" s="345"/>
      <c r="P1183" s="345"/>
      <c r="Q1183" s="345"/>
      <c r="R1183" s="345">
        <v>28.6</v>
      </c>
      <c r="S1183" s="345">
        <v>185.6</v>
      </c>
      <c r="T1183" s="345">
        <v>768.3</v>
      </c>
      <c r="U1183" s="345">
        <v>30.5</v>
      </c>
      <c r="V1183" s="345">
        <v>236</v>
      </c>
      <c r="W1183" s="345">
        <v>851</v>
      </c>
      <c r="X1183" s="345">
        <v>29.5</v>
      </c>
      <c r="Y1183" s="345">
        <v>208</v>
      </c>
      <c r="Z1183" s="345">
        <v>687.5</v>
      </c>
      <c r="AA1183">
        <f t="shared" si="18"/>
        <v>22</v>
      </c>
    </row>
    <row r="1184" spans="1:27" ht="28.8" x14ac:dyDescent="0.3">
      <c r="A1184" s="345" t="s">
        <v>2850</v>
      </c>
      <c r="B1184" s="805"/>
      <c r="C1184" s="802"/>
      <c r="D1184" s="802"/>
      <c r="E1184" s="803"/>
      <c r="F1184" s="805">
        <v>248</v>
      </c>
      <c r="G1184" s="803"/>
      <c r="H1184" s="345">
        <v>888</v>
      </c>
      <c r="I1184" s="345">
        <v>0</v>
      </c>
      <c r="J1184" s="345">
        <v>257</v>
      </c>
      <c r="K1184" s="345">
        <v>910.5</v>
      </c>
      <c r="L1184" s="346"/>
      <c r="M1184" s="346"/>
      <c r="N1184" s="346"/>
      <c r="O1184" s="345"/>
      <c r="P1184" s="345"/>
      <c r="Q1184" s="345"/>
      <c r="R1184" s="345">
        <v>0</v>
      </c>
      <c r="S1184" s="345">
        <v>185.6</v>
      </c>
      <c r="T1184" s="345">
        <v>768.3</v>
      </c>
      <c r="U1184" s="345">
        <v>0</v>
      </c>
      <c r="V1184" s="345">
        <v>236</v>
      </c>
      <c r="W1184" s="345">
        <v>851</v>
      </c>
      <c r="X1184" s="345">
        <v>0</v>
      </c>
      <c r="Y1184" s="345">
        <v>208</v>
      </c>
      <c r="Z1184" s="345">
        <v>687.5</v>
      </c>
      <c r="AA1184">
        <f t="shared" si="18"/>
        <v>0</v>
      </c>
    </row>
    <row r="1185" spans="1:27" ht="28.8" x14ac:dyDescent="0.3">
      <c r="A1185" s="345" t="s">
        <v>2851</v>
      </c>
      <c r="B1185" s="805"/>
      <c r="C1185" s="802"/>
      <c r="D1185" s="802"/>
      <c r="E1185" s="803"/>
      <c r="F1185" s="805">
        <v>248</v>
      </c>
      <c r="G1185" s="803"/>
      <c r="H1185" s="345">
        <v>888</v>
      </c>
      <c r="I1185" s="345">
        <v>0</v>
      </c>
      <c r="J1185" s="345">
        <v>257</v>
      </c>
      <c r="K1185" s="345">
        <v>910.5</v>
      </c>
      <c r="L1185" s="346"/>
      <c r="M1185" s="346"/>
      <c r="N1185" s="346"/>
      <c r="O1185" s="345"/>
      <c r="P1185" s="345"/>
      <c r="Q1185" s="345"/>
      <c r="R1185" s="345">
        <v>0</v>
      </c>
      <c r="S1185" s="345">
        <v>185.6</v>
      </c>
      <c r="T1185" s="345">
        <v>768.3</v>
      </c>
      <c r="U1185" s="345">
        <v>0</v>
      </c>
      <c r="V1185" s="345">
        <v>236</v>
      </c>
      <c r="W1185" s="345">
        <v>851</v>
      </c>
      <c r="X1185" s="345">
        <v>0</v>
      </c>
      <c r="Y1185" s="345">
        <v>208</v>
      </c>
      <c r="Z1185" s="345">
        <v>687.5</v>
      </c>
      <c r="AA1185">
        <f t="shared" si="18"/>
        <v>0</v>
      </c>
    </row>
    <row r="1186" spans="1:27" ht="28.8" x14ac:dyDescent="0.3">
      <c r="A1186" s="345" t="s">
        <v>2852</v>
      </c>
      <c r="B1186" s="805"/>
      <c r="C1186" s="802"/>
      <c r="D1186" s="802"/>
      <c r="E1186" s="803"/>
      <c r="F1186" s="805">
        <v>249.5</v>
      </c>
      <c r="G1186" s="803"/>
      <c r="H1186" s="345">
        <v>889.5</v>
      </c>
      <c r="I1186" s="345">
        <v>1</v>
      </c>
      <c r="J1186" s="345">
        <v>258</v>
      </c>
      <c r="K1186" s="345">
        <v>911.5</v>
      </c>
      <c r="L1186" s="346"/>
      <c r="M1186" s="346"/>
      <c r="N1186" s="346"/>
      <c r="O1186" s="345"/>
      <c r="P1186" s="345"/>
      <c r="Q1186" s="345"/>
      <c r="R1186" s="345">
        <v>1</v>
      </c>
      <c r="S1186" s="345">
        <v>186.6</v>
      </c>
      <c r="T1186" s="345">
        <v>769.3</v>
      </c>
      <c r="U1186" s="345">
        <v>1.5</v>
      </c>
      <c r="V1186" s="345">
        <v>237.5</v>
      </c>
      <c r="W1186" s="345">
        <v>852.5</v>
      </c>
      <c r="X1186" s="345">
        <v>0.5</v>
      </c>
      <c r="Y1186" s="345">
        <v>208.5</v>
      </c>
      <c r="Z1186" s="345">
        <v>688</v>
      </c>
      <c r="AA1186">
        <f t="shared" si="18"/>
        <v>1</v>
      </c>
    </row>
    <row r="1187" spans="1:27" ht="28.8" x14ac:dyDescent="0.3">
      <c r="A1187" s="345" t="s">
        <v>2853</v>
      </c>
      <c r="B1187" s="805"/>
      <c r="C1187" s="802"/>
      <c r="D1187" s="802"/>
      <c r="E1187" s="803"/>
      <c r="F1187" s="805">
        <v>249.5</v>
      </c>
      <c r="G1187" s="803"/>
      <c r="H1187" s="345">
        <v>889.5</v>
      </c>
      <c r="I1187" s="345">
        <v>0</v>
      </c>
      <c r="J1187" s="345">
        <v>258</v>
      </c>
      <c r="K1187" s="345">
        <v>911.5</v>
      </c>
      <c r="L1187" s="346"/>
      <c r="M1187" s="346"/>
      <c r="N1187" s="346"/>
      <c r="O1187" s="345"/>
      <c r="P1187" s="345"/>
      <c r="Q1187" s="345"/>
      <c r="R1187" s="345">
        <v>0</v>
      </c>
      <c r="S1187" s="345">
        <v>186.6</v>
      </c>
      <c r="T1187" s="345">
        <v>769.3</v>
      </c>
      <c r="U1187" s="345">
        <v>0</v>
      </c>
      <c r="V1187" s="345">
        <v>237.5</v>
      </c>
      <c r="W1187" s="345">
        <v>852.5</v>
      </c>
      <c r="X1187" s="345">
        <v>0</v>
      </c>
      <c r="Y1187" s="345">
        <v>208.5</v>
      </c>
      <c r="Z1187" s="345">
        <v>688</v>
      </c>
      <c r="AA1187">
        <f t="shared" si="18"/>
        <v>0</v>
      </c>
    </row>
    <row r="1188" spans="1:27" s="362" customFormat="1" ht="28.8" x14ac:dyDescent="0.3">
      <c r="A1188" s="359" t="s">
        <v>2854</v>
      </c>
      <c r="B1188" s="811"/>
      <c r="C1188" s="812"/>
      <c r="D1188" s="812"/>
      <c r="E1188" s="813"/>
      <c r="F1188" s="811">
        <v>249.5</v>
      </c>
      <c r="G1188" s="813"/>
      <c r="H1188" s="359">
        <v>889.5</v>
      </c>
      <c r="I1188" s="359">
        <v>0</v>
      </c>
      <c r="J1188" s="359">
        <v>258</v>
      </c>
      <c r="K1188" s="359">
        <v>911.5</v>
      </c>
      <c r="L1188" s="359"/>
      <c r="M1188" s="359"/>
      <c r="N1188" s="359"/>
      <c r="O1188" s="359"/>
      <c r="P1188" s="359"/>
      <c r="Q1188" s="359"/>
      <c r="R1188" s="359">
        <v>0</v>
      </c>
      <c r="S1188" s="359">
        <v>186.6</v>
      </c>
      <c r="T1188" s="359">
        <v>769.3</v>
      </c>
      <c r="U1188" s="359">
        <v>0</v>
      </c>
      <c r="V1188" s="359">
        <v>237.5</v>
      </c>
      <c r="W1188" s="359">
        <v>852.5</v>
      </c>
      <c r="X1188" s="359">
        <v>0</v>
      </c>
      <c r="Y1188" s="359">
        <v>208.5</v>
      </c>
      <c r="Z1188" s="359">
        <v>688</v>
      </c>
      <c r="AA1188" s="362">
        <f t="shared" si="18"/>
        <v>0</v>
      </c>
    </row>
    <row r="1189" spans="1:27" ht="28.8" x14ac:dyDescent="0.3">
      <c r="A1189" s="345" t="s">
        <v>2855</v>
      </c>
      <c r="B1189" s="805"/>
      <c r="C1189" s="802"/>
      <c r="D1189" s="802"/>
      <c r="E1189" s="803"/>
      <c r="F1189" s="805">
        <v>0</v>
      </c>
      <c r="G1189" s="803"/>
      <c r="H1189" s="345">
        <v>889.5</v>
      </c>
      <c r="I1189" s="345">
        <v>0</v>
      </c>
      <c r="J1189" s="345">
        <v>0</v>
      </c>
      <c r="K1189" s="345">
        <v>911.5</v>
      </c>
      <c r="L1189" s="346"/>
      <c r="M1189" s="346"/>
      <c r="N1189" s="346"/>
      <c r="O1189" s="345"/>
      <c r="P1189" s="345"/>
      <c r="Q1189" s="345"/>
      <c r="R1189" s="345">
        <v>0</v>
      </c>
      <c r="S1189" s="345">
        <v>0</v>
      </c>
      <c r="T1189" s="345">
        <v>769.3</v>
      </c>
      <c r="U1189" s="345">
        <v>0</v>
      </c>
      <c r="V1189" s="345">
        <v>0</v>
      </c>
      <c r="W1189" s="345">
        <v>852.5</v>
      </c>
      <c r="X1189" s="345">
        <v>0</v>
      </c>
      <c r="Y1189" s="345">
        <v>0</v>
      </c>
      <c r="Z1189" s="345">
        <v>688</v>
      </c>
      <c r="AA1189">
        <f t="shared" si="18"/>
        <v>0</v>
      </c>
    </row>
    <row r="1190" spans="1:27" ht="28.8" x14ac:dyDescent="0.3">
      <c r="A1190" s="345" t="s">
        <v>2856</v>
      </c>
      <c r="B1190" s="805"/>
      <c r="C1190" s="802"/>
      <c r="D1190" s="802"/>
      <c r="E1190" s="803"/>
      <c r="F1190" s="805">
        <v>0</v>
      </c>
      <c r="G1190" s="803"/>
      <c r="H1190" s="345">
        <v>889.5</v>
      </c>
      <c r="I1190" s="345">
        <v>0</v>
      </c>
      <c r="J1190" s="345">
        <v>0</v>
      </c>
      <c r="K1190" s="345">
        <v>911.5</v>
      </c>
      <c r="L1190" s="346"/>
      <c r="M1190" s="346"/>
      <c r="N1190" s="346"/>
      <c r="O1190" s="345"/>
      <c r="P1190" s="345"/>
      <c r="Q1190" s="345"/>
      <c r="R1190" s="345">
        <v>0</v>
      </c>
      <c r="S1190" s="345">
        <v>0</v>
      </c>
      <c r="T1190" s="345">
        <v>769.3</v>
      </c>
      <c r="U1190" s="345">
        <v>0</v>
      </c>
      <c r="V1190" s="345">
        <v>0</v>
      </c>
      <c r="W1190" s="345">
        <v>852.5</v>
      </c>
      <c r="X1190" s="345">
        <v>0</v>
      </c>
      <c r="Y1190" s="345">
        <v>0</v>
      </c>
      <c r="Z1190" s="345">
        <v>688</v>
      </c>
      <c r="AA1190">
        <f t="shared" si="18"/>
        <v>0</v>
      </c>
    </row>
    <row r="1191" spans="1:27" ht="28.8" x14ac:dyDescent="0.3">
      <c r="A1191" s="345" t="s">
        <v>2857</v>
      </c>
      <c r="B1191" s="805"/>
      <c r="C1191" s="802"/>
      <c r="D1191" s="802"/>
      <c r="E1191" s="803"/>
      <c r="F1191" s="805">
        <v>0</v>
      </c>
      <c r="G1191" s="803"/>
      <c r="H1191" s="345">
        <v>889.5</v>
      </c>
      <c r="I1191" s="345">
        <v>0</v>
      </c>
      <c r="J1191" s="345">
        <v>0</v>
      </c>
      <c r="K1191" s="345">
        <v>911.5</v>
      </c>
      <c r="L1191" s="346"/>
      <c r="M1191" s="346"/>
      <c r="N1191" s="346"/>
      <c r="O1191" s="345"/>
      <c r="P1191" s="345"/>
      <c r="Q1191" s="345"/>
      <c r="R1191" s="345">
        <v>0</v>
      </c>
      <c r="S1191" s="345">
        <v>0</v>
      </c>
      <c r="T1191" s="345">
        <v>769.3</v>
      </c>
      <c r="U1191" s="345">
        <v>0</v>
      </c>
      <c r="V1191" s="345">
        <v>0</v>
      </c>
      <c r="W1191" s="345">
        <v>852.5</v>
      </c>
      <c r="X1191" s="345">
        <v>0</v>
      </c>
      <c r="Y1191" s="345">
        <v>0</v>
      </c>
      <c r="Z1191" s="345">
        <v>688</v>
      </c>
      <c r="AA1191">
        <f t="shared" si="18"/>
        <v>0</v>
      </c>
    </row>
    <row r="1192" spans="1:27" ht="28.8" x14ac:dyDescent="0.3">
      <c r="A1192" s="345" t="s">
        <v>2858</v>
      </c>
      <c r="B1192" s="805"/>
      <c r="C1192" s="802"/>
      <c r="D1192" s="802"/>
      <c r="E1192" s="803"/>
      <c r="F1192" s="805">
        <v>0</v>
      </c>
      <c r="G1192" s="803"/>
      <c r="H1192" s="345">
        <v>889.5</v>
      </c>
      <c r="I1192" s="345">
        <v>0</v>
      </c>
      <c r="J1192" s="345">
        <v>0</v>
      </c>
      <c r="K1192" s="345">
        <v>911.5</v>
      </c>
      <c r="L1192" s="346"/>
      <c r="M1192" s="346"/>
      <c r="N1192" s="346"/>
      <c r="O1192" s="345"/>
      <c r="P1192" s="345"/>
      <c r="Q1192" s="345"/>
      <c r="R1192" s="345">
        <v>0</v>
      </c>
      <c r="S1192" s="345">
        <v>0</v>
      </c>
      <c r="T1192" s="345">
        <v>769.3</v>
      </c>
      <c r="U1192" s="345">
        <v>0</v>
      </c>
      <c r="V1192" s="345">
        <v>0</v>
      </c>
      <c r="W1192" s="345">
        <v>852.5</v>
      </c>
      <c r="X1192" s="345">
        <v>0</v>
      </c>
      <c r="Y1192" s="345">
        <v>0</v>
      </c>
      <c r="Z1192" s="345">
        <v>688</v>
      </c>
      <c r="AA1192">
        <f t="shared" si="18"/>
        <v>0</v>
      </c>
    </row>
    <row r="1193" spans="1:27" x14ac:dyDescent="0.3">
      <c r="A1193" s="345"/>
      <c r="B1193" s="345"/>
      <c r="C1193" s="341"/>
      <c r="D1193" s="341"/>
      <c r="E1193" s="342"/>
      <c r="F1193" s="345"/>
      <c r="G1193" s="342"/>
      <c r="H1193" s="345"/>
      <c r="I1193" s="345"/>
      <c r="J1193" s="345"/>
      <c r="K1193" s="345"/>
      <c r="L1193" s="346"/>
      <c r="M1193" s="346"/>
      <c r="N1193" s="346"/>
      <c r="O1193" s="345"/>
      <c r="P1193" s="345"/>
      <c r="Q1193" s="345"/>
      <c r="R1193" s="345"/>
      <c r="S1193" s="345"/>
      <c r="T1193" s="345"/>
      <c r="U1193" s="345"/>
      <c r="V1193" s="345"/>
      <c r="W1193" s="345"/>
      <c r="X1193" s="345"/>
      <c r="Y1193" s="345"/>
      <c r="Z1193" s="345"/>
    </row>
    <row r="1194" spans="1:27" ht="28.8" x14ac:dyDescent="0.3">
      <c r="A1194" s="345" t="s">
        <v>2859</v>
      </c>
      <c r="B1194" s="805"/>
      <c r="C1194" s="802"/>
      <c r="D1194" s="802"/>
      <c r="E1194" s="803"/>
      <c r="F1194" s="805">
        <v>1</v>
      </c>
      <c r="G1194" s="803"/>
      <c r="H1194" s="345">
        <v>890.5</v>
      </c>
      <c r="I1194" s="345">
        <v>0.5</v>
      </c>
      <c r="J1194" s="345">
        <v>0.5</v>
      </c>
      <c r="K1194" s="345">
        <v>912</v>
      </c>
      <c r="L1194" s="346"/>
      <c r="M1194" s="346"/>
      <c r="N1194" s="346"/>
      <c r="O1194" s="345"/>
      <c r="P1194" s="345"/>
      <c r="Q1194" s="345"/>
      <c r="R1194" s="345">
        <v>0.8</v>
      </c>
      <c r="S1194" s="345">
        <v>0.8</v>
      </c>
      <c r="T1194" s="345">
        <v>770.1</v>
      </c>
      <c r="U1194" s="345">
        <v>1</v>
      </c>
      <c r="V1194" s="345">
        <v>1</v>
      </c>
      <c r="W1194" s="345">
        <v>853.5</v>
      </c>
      <c r="X1194" s="345">
        <v>0.5</v>
      </c>
      <c r="Y1194" s="345">
        <v>0.5</v>
      </c>
      <c r="Z1194" s="345">
        <v>688.5</v>
      </c>
      <c r="AA1194">
        <f t="shared" si="18"/>
        <v>0.5</v>
      </c>
    </row>
    <row r="1195" spans="1:27" ht="28.8" x14ac:dyDescent="0.3">
      <c r="A1195" s="345" t="s">
        <v>2860</v>
      </c>
      <c r="B1195" s="805"/>
      <c r="C1195" s="802"/>
      <c r="D1195" s="802"/>
      <c r="E1195" s="803"/>
      <c r="F1195" s="805">
        <v>3</v>
      </c>
      <c r="G1195" s="803"/>
      <c r="H1195" s="345">
        <v>892.5</v>
      </c>
      <c r="I1195" s="345">
        <v>4</v>
      </c>
      <c r="J1195" s="345">
        <v>4.5</v>
      </c>
      <c r="K1195" s="345">
        <v>916</v>
      </c>
      <c r="L1195" s="346"/>
      <c r="M1195" s="346"/>
      <c r="N1195" s="346"/>
      <c r="O1195" s="345"/>
      <c r="P1195" s="345"/>
      <c r="Q1195" s="345"/>
      <c r="R1195" s="345">
        <v>6</v>
      </c>
      <c r="S1195" s="345">
        <v>6.8</v>
      </c>
      <c r="T1195" s="345">
        <v>776.1</v>
      </c>
      <c r="U1195" s="345">
        <v>7</v>
      </c>
      <c r="V1195" s="345">
        <v>8</v>
      </c>
      <c r="W1195" s="345">
        <v>860.5</v>
      </c>
      <c r="X1195" s="345">
        <v>4</v>
      </c>
      <c r="Y1195" s="345">
        <v>4.5</v>
      </c>
      <c r="Z1195" s="345">
        <v>692.5</v>
      </c>
      <c r="AA1195">
        <f t="shared" si="18"/>
        <v>4</v>
      </c>
    </row>
    <row r="1196" spans="1:27" ht="28.8" x14ac:dyDescent="0.3">
      <c r="A1196" s="345" t="s">
        <v>2861</v>
      </c>
      <c r="B1196" s="805"/>
      <c r="C1196" s="802"/>
      <c r="D1196" s="802"/>
      <c r="E1196" s="803"/>
      <c r="F1196" s="805">
        <v>5</v>
      </c>
      <c r="G1196" s="803"/>
      <c r="H1196" s="345">
        <v>894.5</v>
      </c>
      <c r="I1196" s="345">
        <v>2.5</v>
      </c>
      <c r="J1196" s="345">
        <v>7</v>
      </c>
      <c r="K1196" s="345">
        <v>918.5</v>
      </c>
      <c r="L1196" s="346"/>
      <c r="M1196" s="346"/>
      <c r="N1196" s="346"/>
      <c r="O1196" s="345"/>
      <c r="P1196" s="345"/>
      <c r="Q1196" s="345"/>
      <c r="R1196" s="345">
        <v>2</v>
      </c>
      <c r="S1196" s="345">
        <v>8.8000000000000007</v>
      </c>
      <c r="T1196" s="345">
        <v>778.1</v>
      </c>
      <c r="U1196" s="345">
        <v>2.5</v>
      </c>
      <c r="V1196" s="345">
        <v>10.5</v>
      </c>
      <c r="W1196" s="345">
        <v>863</v>
      </c>
      <c r="X1196" s="345">
        <v>2.5</v>
      </c>
      <c r="Y1196" s="345">
        <v>7</v>
      </c>
      <c r="Z1196" s="345">
        <v>695</v>
      </c>
      <c r="AA1196">
        <f t="shared" si="18"/>
        <v>2.5</v>
      </c>
    </row>
    <row r="1197" spans="1:27" ht="28.8" x14ac:dyDescent="0.3">
      <c r="A1197" s="345" t="s">
        <v>2862</v>
      </c>
      <c r="B1197" s="805"/>
      <c r="C1197" s="802"/>
      <c r="D1197" s="802"/>
      <c r="E1197" s="803"/>
      <c r="F1197" s="805">
        <v>5.5</v>
      </c>
      <c r="G1197" s="803"/>
      <c r="H1197" s="345">
        <v>895</v>
      </c>
      <c r="I1197" s="345">
        <v>0</v>
      </c>
      <c r="J1197" s="345">
        <v>7</v>
      </c>
      <c r="K1197" s="345">
        <v>918.5</v>
      </c>
      <c r="L1197" s="346"/>
      <c r="M1197" s="346"/>
      <c r="N1197" s="346"/>
      <c r="O1197" s="345"/>
      <c r="P1197" s="345"/>
      <c r="Q1197" s="345"/>
      <c r="R1197" s="345">
        <v>0.4</v>
      </c>
      <c r="S1197" s="345">
        <v>9.1999999999999993</v>
      </c>
      <c r="T1197" s="345">
        <v>778.5</v>
      </c>
      <c r="U1197" s="345">
        <v>0.5</v>
      </c>
      <c r="V1197" s="345">
        <v>11</v>
      </c>
      <c r="W1197" s="345">
        <v>863.5</v>
      </c>
      <c r="X1197" s="345">
        <v>0</v>
      </c>
      <c r="Y1197" s="345">
        <v>7</v>
      </c>
      <c r="Z1197" s="345">
        <v>695</v>
      </c>
      <c r="AA1197">
        <f t="shared" si="18"/>
        <v>0</v>
      </c>
    </row>
    <row r="1198" spans="1:27" ht="28.8" x14ac:dyDescent="0.3">
      <c r="A1198" s="345" t="s">
        <v>2863</v>
      </c>
      <c r="B1198" s="805"/>
      <c r="C1198" s="802"/>
      <c r="D1198" s="802"/>
      <c r="E1198" s="803"/>
      <c r="F1198" s="805">
        <v>11</v>
      </c>
      <c r="G1198" s="803"/>
      <c r="H1198" s="345">
        <v>900.5</v>
      </c>
      <c r="I1198" s="345">
        <v>4</v>
      </c>
      <c r="J1198" s="345">
        <v>11</v>
      </c>
      <c r="K1198" s="345">
        <v>922.5</v>
      </c>
      <c r="L1198" s="346"/>
      <c r="M1198" s="346"/>
      <c r="N1198" s="346"/>
      <c r="O1198" s="345"/>
      <c r="P1198" s="345"/>
      <c r="Q1198" s="345"/>
      <c r="R1198" s="345">
        <v>4.8</v>
      </c>
      <c r="S1198" s="345">
        <v>14</v>
      </c>
      <c r="T1198" s="345">
        <v>783.3</v>
      </c>
      <c r="U1198" s="345">
        <v>5</v>
      </c>
      <c r="V1198" s="345">
        <v>16</v>
      </c>
      <c r="W1198" s="345">
        <v>868.5</v>
      </c>
      <c r="X1198" s="345">
        <v>4</v>
      </c>
      <c r="Y1198" s="345">
        <v>11</v>
      </c>
      <c r="Z1198" s="345">
        <v>699</v>
      </c>
      <c r="AA1198">
        <f t="shared" si="18"/>
        <v>4</v>
      </c>
    </row>
    <row r="1199" spans="1:27" ht="28.8" x14ac:dyDescent="0.3">
      <c r="A1199" s="345" t="s">
        <v>2864</v>
      </c>
      <c r="B1199" s="805"/>
      <c r="C1199" s="802"/>
      <c r="D1199" s="802"/>
      <c r="E1199" s="803"/>
      <c r="F1199" s="805">
        <v>18</v>
      </c>
      <c r="G1199" s="803"/>
      <c r="H1199" s="345">
        <v>907.5</v>
      </c>
      <c r="I1199" s="345">
        <v>6.5</v>
      </c>
      <c r="J1199" s="345">
        <v>17.5</v>
      </c>
      <c r="K1199" s="345">
        <v>929</v>
      </c>
      <c r="L1199" s="346"/>
      <c r="M1199" s="346"/>
      <c r="N1199" s="346"/>
      <c r="O1199" s="345"/>
      <c r="P1199" s="345"/>
      <c r="Q1199" s="345"/>
      <c r="R1199" s="345">
        <v>2.8</v>
      </c>
      <c r="S1199" s="345">
        <v>16.8</v>
      </c>
      <c r="T1199" s="345">
        <v>786.1</v>
      </c>
      <c r="U1199" s="345">
        <v>3</v>
      </c>
      <c r="V1199" s="345">
        <v>19</v>
      </c>
      <c r="W1199" s="345">
        <v>871.5</v>
      </c>
      <c r="X1199" s="345">
        <v>2</v>
      </c>
      <c r="Y1199" s="345">
        <v>13</v>
      </c>
      <c r="Z1199" s="345">
        <v>701</v>
      </c>
      <c r="AA1199">
        <f t="shared" si="18"/>
        <v>6.5</v>
      </c>
    </row>
    <row r="1200" spans="1:27" ht="28.8" x14ac:dyDescent="0.3">
      <c r="A1200" s="345" t="s">
        <v>2865</v>
      </c>
      <c r="B1200" s="805"/>
      <c r="C1200" s="802"/>
      <c r="D1200" s="802"/>
      <c r="E1200" s="803"/>
      <c r="F1200" s="805">
        <v>23</v>
      </c>
      <c r="G1200" s="803"/>
      <c r="H1200" s="345">
        <v>912.5</v>
      </c>
      <c r="I1200" s="345">
        <v>6.5</v>
      </c>
      <c r="J1200" s="345">
        <v>24</v>
      </c>
      <c r="K1200" s="345">
        <v>935.5</v>
      </c>
      <c r="L1200" s="346"/>
      <c r="M1200" s="346"/>
      <c r="N1200" s="346"/>
      <c r="O1200" s="345"/>
      <c r="P1200" s="345"/>
      <c r="Q1200" s="345"/>
      <c r="R1200" s="345">
        <v>4</v>
      </c>
      <c r="S1200" s="345">
        <v>20.8</v>
      </c>
      <c r="T1200" s="345">
        <v>790.1</v>
      </c>
      <c r="U1200" s="345">
        <v>5</v>
      </c>
      <c r="V1200" s="345">
        <v>24</v>
      </c>
      <c r="W1200" s="345">
        <v>876.5</v>
      </c>
      <c r="X1200" s="345">
        <v>5</v>
      </c>
      <c r="Y1200" s="345">
        <v>18</v>
      </c>
      <c r="Z1200" s="345">
        <v>706</v>
      </c>
      <c r="AA1200">
        <f t="shared" si="18"/>
        <v>6.5</v>
      </c>
    </row>
    <row r="1201" spans="1:27" ht="28.8" x14ac:dyDescent="0.3">
      <c r="A1201" s="345" t="s">
        <v>2866</v>
      </c>
      <c r="B1201" s="805"/>
      <c r="C1201" s="802"/>
      <c r="D1201" s="802"/>
      <c r="E1201" s="803"/>
      <c r="F1201" s="805">
        <v>34</v>
      </c>
      <c r="G1201" s="803"/>
      <c r="H1201" s="345">
        <v>923.5</v>
      </c>
      <c r="I1201" s="345">
        <v>10.5</v>
      </c>
      <c r="J1201" s="345">
        <v>34.5</v>
      </c>
      <c r="K1201" s="345">
        <v>946</v>
      </c>
      <c r="L1201" s="346"/>
      <c r="M1201" s="346"/>
      <c r="N1201" s="346"/>
      <c r="O1201" s="345"/>
      <c r="P1201" s="345"/>
      <c r="Q1201" s="345"/>
      <c r="R1201" s="345">
        <v>9</v>
      </c>
      <c r="S1201" s="345">
        <v>29.8</v>
      </c>
      <c r="T1201" s="345">
        <v>799.1</v>
      </c>
      <c r="U1201" s="345">
        <v>9.5</v>
      </c>
      <c r="V1201" s="345">
        <v>33.5</v>
      </c>
      <c r="W1201" s="345">
        <v>886</v>
      </c>
      <c r="X1201" s="345">
        <v>9.5</v>
      </c>
      <c r="Y1201" s="345">
        <v>27.5</v>
      </c>
      <c r="Z1201" s="345">
        <v>715.5</v>
      </c>
      <c r="AA1201">
        <f t="shared" si="18"/>
        <v>10.5</v>
      </c>
    </row>
    <row r="1202" spans="1:27" ht="28.8" x14ac:dyDescent="0.3">
      <c r="A1202" s="345" t="s">
        <v>2867</v>
      </c>
      <c r="B1202" s="805"/>
      <c r="C1202" s="802"/>
      <c r="D1202" s="802"/>
      <c r="E1202" s="803"/>
      <c r="F1202" s="805">
        <v>73</v>
      </c>
      <c r="G1202" s="803"/>
      <c r="H1202" s="345">
        <v>962.5</v>
      </c>
      <c r="I1202" s="345">
        <v>43</v>
      </c>
      <c r="J1202" s="345">
        <v>77.5</v>
      </c>
      <c r="K1202" s="345">
        <v>989</v>
      </c>
      <c r="L1202" s="346"/>
      <c r="M1202" s="346"/>
      <c r="N1202" s="346"/>
      <c r="O1202" s="345"/>
      <c r="P1202" s="345"/>
      <c r="Q1202" s="345"/>
      <c r="R1202" s="345">
        <v>31.8</v>
      </c>
      <c r="S1202" s="345">
        <v>61.6</v>
      </c>
      <c r="T1202" s="345">
        <v>830.9</v>
      </c>
      <c r="U1202" s="345">
        <v>34</v>
      </c>
      <c r="V1202" s="345">
        <v>67.5</v>
      </c>
      <c r="W1202" s="345">
        <v>920</v>
      </c>
      <c r="X1202" s="345">
        <v>39</v>
      </c>
      <c r="Y1202" s="345">
        <v>66.5</v>
      </c>
      <c r="Z1202" s="345">
        <v>754.5</v>
      </c>
      <c r="AA1202">
        <f t="shared" si="18"/>
        <v>43</v>
      </c>
    </row>
    <row r="1203" spans="1:27" ht="28.8" x14ac:dyDescent="0.3">
      <c r="A1203" s="345" t="s">
        <v>2868</v>
      </c>
      <c r="B1203" s="805"/>
      <c r="C1203" s="802"/>
      <c r="D1203" s="802"/>
      <c r="E1203" s="803"/>
      <c r="F1203" s="805">
        <v>113</v>
      </c>
      <c r="G1203" s="803"/>
      <c r="H1203" s="345">
        <v>1002.5</v>
      </c>
      <c r="I1203" s="345">
        <v>34</v>
      </c>
      <c r="J1203" s="345">
        <v>111.5</v>
      </c>
      <c r="K1203" s="345">
        <v>1023</v>
      </c>
      <c r="L1203" s="346"/>
      <c r="M1203" s="346"/>
      <c r="N1203" s="346"/>
      <c r="O1203" s="345"/>
      <c r="P1203" s="345"/>
      <c r="Q1203" s="345"/>
      <c r="R1203" s="345">
        <v>39.200000000000003</v>
      </c>
      <c r="S1203" s="345">
        <v>100.8</v>
      </c>
      <c r="T1203" s="345">
        <v>870.1</v>
      </c>
      <c r="U1203" s="345">
        <v>43</v>
      </c>
      <c r="V1203" s="345">
        <v>110.5</v>
      </c>
      <c r="W1203" s="345">
        <v>963</v>
      </c>
      <c r="X1203" s="345">
        <v>37</v>
      </c>
      <c r="Y1203" s="345">
        <v>103.5</v>
      </c>
      <c r="Z1203" s="345">
        <v>791.5</v>
      </c>
      <c r="AA1203">
        <f t="shared" si="18"/>
        <v>34</v>
      </c>
    </row>
    <row r="1204" spans="1:27" ht="28.8" x14ac:dyDescent="0.3">
      <c r="A1204" s="345" t="s">
        <v>2869</v>
      </c>
      <c r="B1204" s="805"/>
      <c r="C1204" s="802"/>
      <c r="D1204" s="802"/>
      <c r="E1204" s="803"/>
      <c r="F1204" s="805">
        <v>161</v>
      </c>
      <c r="G1204" s="803"/>
      <c r="H1204" s="345">
        <v>1050.5</v>
      </c>
      <c r="I1204" s="345">
        <v>50</v>
      </c>
      <c r="J1204" s="345">
        <v>161.5</v>
      </c>
      <c r="K1204" s="345">
        <v>1073</v>
      </c>
      <c r="L1204" s="346"/>
      <c r="M1204" s="346"/>
      <c r="N1204" s="346"/>
      <c r="O1204" s="345"/>
      <c r="P1204" s="345"/>
      <c r="Q1204" s="345"/>
      <c r="R1204" s="345">
        <v>42</v>
      </c>
      <c r="S1204" s="345">
        <v>142.80000000000001</v>
      </c>
      <c r="T1204" s="345">
        <v>912.1</v>
      </c>
      <c r="U1204" s="345">
        <v>50</v>
      </c>
      <c r="V1204" s="345">
        <v>160.5</v>
      </c>
      <c r="W1204" s="345">
        <v>1013</v>
      </c>
      <c r="X1204" s="345">
        <v>45</v>
      </c>
      <c r="Y1204" s="345">
        <v>148.5</v>
      </c>
      <c r="Z1204" s="345">
        <v>836.5</v>
      </c>
      <c r="AA1204">
        <f t="shared" si="18"/>
        <v>50</v>
      </c>
    </row>
    <row r="1205" spans="1:27" ht="28.8" x14ac:dyDescent="0.3">
      <c r="A1205" s="345" t="s">
        <v>2870</v>
      </c>
      <c r="B1205" s="805"/>
      <c r="C1205" s="802"/>
      <c r="D1205" s="802"/>
      <c r="E1205" s="803"/>
      <c r="F1205" s="805">
        <v>164.5</v>
      </c>
      <c r="G1205" s="803"/>
      <c r="H1205" s="345">
        <v>1054</v>
      </c>
      <c r="I1205" s="345">
        <v>5</v>
      </c>
      <c r="J1205" s="345">
        <v>166.5</v>
      </c>
      <c r="K1205" s="345">
        <v>1078</v>
      </c>
      <c r="L1205" s="346"/>
      <c r="M1205" s="346"/>
      <c r="N1205" s="346"/>
      <c r="O1205" s="345"/>
      <c r="P1205" s="345"/>
      <c r="Q1205" s="345"/>
      <c r="R1205" s="345">
        <v>2.8</v>
      </c>
      <c r="S1205" s="345">
        <v>145.6</v>
      </c>
      <c r="T1205" s="345">
        <v>914.9</v>
      </c>
      <c r="U1205" s="345">
        <v>3</v>
      </c>
      <c r="V1205" s="345">
        <v>163.5</v>
      </c>
      <c r="W1205" s="345">
        <v>1016</v>
      </c>
      <c r="X1205" s="345">
        <v>2</v>
      </c>
      <c r="Y1205" s="345">
        <v>150.5</v>
      </c>
      <c r="Z1205" s="345">
        <v>838.5</v>
      </c>
      <c r="AA1205">
        <f t="shared" si="18"/>
        <v>5</v>
      </c>
    </row>
    <row r="1206" spans="1:27" ht="28.8" x14ac:dyDescent="0.3">
      <c r="A1206" s="345" t="s">
        <v>2871</v>
      </c>
      <c r="B1206" s="805"/>
      <c r="C1206" s="802"/>
      <c r="D1206" s="802"/>
      <c r="E1206" s="803"/>
      <c r="F1206" s="805">
        <v>168.5</v>
      </c>
      <c r="G1206" s="803"/>
      <c r="H1206" s="345">
        <v>1058</v>
      </c>
      <c r="I1206" s="345">
        <v>4.5</v>
      </c>
      <c r="J1206" s="345">
        <v>171</v>
      </c>
      <c r="K1206" s="345">
        <v>1082.5</v>
      </c>
      <c r="L1206" s="346"/>
      <c r="M1206" s="346"/>
      <c r="N1206" s="346"/>
      <c r="O1206" s="345"/>
      <c r="P1206" s="345"/>
      <c r="Q1206" s="345"/>
      <c r="R1206" s="345">
        <v>6</v>
      </c>
      <c r="S1206" s="345">
        <v>151.6</v>
      </c>
      <c r="T1206" s="345">
        <v>920.9</v>
      </c>
      <c r="U1206" s="345">
        <v>6.5</v>
      </c>
      <c r="V1206" s="345">
        <v>170</v>
      </c>
      <c r="W1206" s="345">
        <v>1022.5</v>
      </c>
      <c r="X1206" s="345">
        <v>4</v>
      </c>
      <c r="Y1206" s="345">
        <v>154.5</v>
      </c>
      <c r="Z1206" s="345">
        <v>842.5</v>
      </c>
      <c r="AA1206">
        <f t="shared" si="18"/>
        <v>4.5</v>
      </c>
    </row>
    <row r="1207" spans="1:27" ht="28.8" x14ac:dyDescent="0.3">
      <c r="A1207" s="345" t="s">
        <v>2872</v>
      </c>
      <c r="B1207" s="805"/>
      <c r="C1207" s="802"/>
      <c r="D1207" s="802"/>
      <c r="E1207" s="803"/>
      <c r="F1207" s="805">
        <v>169</v>
      </c>
      <c r="G1207" s="803"/>
      <c r="H1207" s="345">
        <v>1058.5</v>
      </c>
      <c r="I1207" s="345">
        <v>0.5</v>
      </c>
      <c r="J1207" s="345">
        <v>171.5</v>
      </c>
      <c r="K1207" s="345">
        <v>1083</v>
      </c>
      <c r="L1207" s="346"/>
      <c r="M1207" s="346"/>
      <c r="N1207" s="346"/>
      <c r="O1207" s="345"/>
      <c r="P1207" s="345"/>
      <c r="Q1207" s="345"/>
      <c r="R1207" s="345">
        <v>0.2</v>
      </c>
      <c r="S1207" s="345">
        <v>151.80000000000001</v>
      </c>
      <c r="T1207" s="345">
        <v>921.1</v>
      </c>
      <c r="U1207" s="345">
        <v>0.5</v>
      </c>
      <c r="V1207" s="345">
        <v>170.5</v>
      </c>
      <c r="W1207" s="345">
        <v>1023</v>
      </c>
      <c r="X1207" s="345">
        <v>0.5</v>
      </c>
      <c r="Y1207" s="345">
        <v>155</v>
      </c>
      <c r="Z1207" s="345">
        <v>843</v>
      </c>
      <c r="AA1207">
        <f t="shared" si="18"/>
        <v>0.5</v>
      </c>
    </row>
    <row r="1208" spans="1:27" ht="28.8" x14ac:dyDescent="0.3">
      <c r="A1208" s="345" t="s">
        <v>2873</v>
      </c>
      <c r="B1208" s="805"/>
      <c r="C1208" s="802"/>
      <c r="D1208" s="802"/>
      <c r="E1208" s="803"/>
      <c r="F1208" s="805">
        <v>176.5</v>
      </c>
      <c r="G1208" s="803"/>
      <c r="H1208" s="345">
        <v>1066</v>
      </c>
      <c r="I1208" s="345">
        <v>9</v>
      </c>
      <c r="J1208" s="345">
        <v>180.5</v>
      </c>
      <c r="K1208" s="345">
        <v>1092</v>
      </c>
      <c r="L1208" s="346"/>
      <c r="M1208" s="346"/>
      <c r="N1208" s="346"/>
      <c r="O1208" s="345"/>
      <c r="P1208" s="345"/>
      <c r="Q1208" s="345"/>
      <c r="R1208" s="345">
        <v>7.8</v>
      </c>
      <c r="S1208" s="345">
        <v>159.6</v>
      </c>
      <c r="T1208" s="345">
        <v>928.9</v>
      </c>
      <c r="U1208" s="345">
        <v>8</v>
      </c>
      <c r="V1208" s="345">
        <v>178.5</v>
      </c>
      <c r="W1208" s="345">
        <v>1031</v>
      </c>
      <c r="X1208" s="345">
        <v>5</v>
      </c>
      <c r="Y1208" s="345">
        <v>160</v>
      </c>
      <c r="Z1208" s="345">
        <v>848</v>
      </c>
      <c r="AA1208">
        <f t="shared" si="18"/>
        <v>9</v>
      </c>
    </row>
    <row r="1209" spans="1:27" ht="28.8" x14ac:dyDescent="0.3">
      <c r="A1209" s="345" t="s">
        <v>2874</v>
      </c>
      <c r="B1209" s="805"/>
      <c r="C1209" s="802"/>
      <c r="D1209" s="802"/>
      <c r="E1209" s="803"/>
      <c r="F1209" s="805">
        <v>209</v>
      </c>
      <c r="G1209" s="803"/>
      <c r="H1209" s="345">
        <v>1098.5</v>
      </c>
      <c r="I1209" s="345">
        <v>28</v>
      </c>
      <c r="J1209" s="345">
        <v>208.5</v>
      </c>
      <c r="K1209" s="345">
        <v>1120</v>
      </c>
      <c r="L1209" s="346"/>
      <c r="M1209" s="346"/>
      <c r="N1209" s="346"/>
      <c r="O1209" s="345"/>
      <c r="P1209" s="345"/>
      <c r="Q1209" s="345"/>
      <c r="R1209" s="345">
        <v>28.4</v>
      </c>
      <c r="S1209" s="345">
        <v>188</v>
      </c>
      <c r="T1209" s="345">
        <v>957.3</v>
      </c>
      <c r="U1209" s="345">
        <v>32</v>
      </c>
      <c r="V1209" s="345">
        <v>210.5</v>
      </c>
      <c r="W1209" s="345">
        <v>1063</v>
      </c>
      <c r="X1209" s="345">
        <v>31.5</v>
      </c>
      <c r="Y1209" s="345">
        <v>191.5</v>
      </c>
      <c r="Z1209" s="345">
        <v>879.5</v>
      </c>
      <c r="AA1209">
        <f t="shared" si="18"/>
        <v>28</v>
      </c>
    </row>
    <row r="1210" spans="1:27" ht="28.8" x14ac:dyDescent="0.3">
      <c r="A1210" s="345" t="s">
        <v>2875</v>
      </c>
      <c r="B1210" s="805"/>
      <c r="C1210" s="802"/>
      <c r="D1210" s="802"/>
      <c r="E1210" s="803"/>
      <c r="F1210" s="805">
        <v>209</v>
      </c>
      <c r="G1210" s="803"/>
      <c r="H1210" s="345">
        <v>1098.5</v>
      </c>
      <c r="I1210" s="345">
        <v>0</v>
      </c>
      <c r="J1210" s="345">
        <v>208.5</v>
      </c>
      <c r="K1210" s="345">
        <v>1120</v>
      </c>
      <c r="L1210" s="346"/>
      <c r="M1210" s="346"/>
      <c r="N1210" s="346"/>
      <c r="O1210" s="345"/>
      <c r="P1210" s="345"/>
      <c r="Q1210" s="345"/>
      <c r="R1210" s="345">
        <v>0</v>
      </c>
      <c r="S1210" s="345">
        <v>188</v>
      </c>
      <c r="T1210" s="345">
        <v>957.3</v>
      </c>
      <c r="U1210" s="345">
        <v>0</v>
      </c>
      <c r="V1210" s="345">
        <v>210.5</v>
      </c>
      <c r="W1210" s="345">
        <v>1063</v>
      </c>
      <c r="X1210" s="345">
        <v>0</v>
      </c>
      <c r="Y1210" s="345">
        <v>191.5</v>
      </c>
      <c r="Z1210" s="345">
        <v>879.5</v>
      </c>
      <c r="AA1210">
        <f t="shared" si="18"/>
        <v>0</v>
      </c>
    </row>
    <row r="1211" spans="1:27" ht="28.8" x14ac:dyDescent="0.3">
      <c r="A1211" s="345" t="s">
        <v>2876</v>
      </c>
      <c r="B1211" s="805"/>
      <c r="C1211" s="802"/>
      <c r="D1211" s="802"/>
      <c r="E1211" s="803"/>
      <c r="F1211" s="805">
        <v>212.5</v>
      </c>
      <c r="G1211" s="803"/>
      <c r="H1211" s="345">
        <v>1102</v>
      </c>
      <c r="I1211" s="345">
        <v>5</v>
      </c>
      <c r="J1211" s="345">
        <v>213.5</v>
      </c>
      <c r="K1211" s="345">
        <v>1125</v>
      </c>
      <c r="L1211" s="346"/>
      <c r="M1211" s="346"/>
      <c r="N1211" s="346"/>
      <c r="O1211" s="345"/>
      <c r="P1211" s="345"/>
      <c r="Q1211" s="345"/>
      <c r="R1211" s="345">
        <v>3.6</v>
      </c>
      <c r="S1211" s="345">
        <v>191.6</v>
      </c>
      <c r="T1211" s="345">
        <v>960.9</v>
      </c>
      <c r="U1211" s="345">
        <v>4.5</v>
      </c>
      <c r="V1211" s="345">
        <v>215</v>
      </c>
      <c r="W1211" s="345">
        <v>1067.5</v>
      </c>
      <c r="X1211" s="345">
        <v>3.5</v>
      </c>
      <c r="Y1211" s="345">
        <v>195</v>
      </c>
      <c r="Z1211" s="345">
        <v>883</v>
      </c>
      <c r="AA1211">
        <f t="shared" si="18"/>
        <v>5</v>
      </c>
    </row>
    <row r="1212" spans="1:27" ht="28.8" x14ac:dyDescent="0.3">
      <c r="A1212" s="345" t="s">
        <v>2877</v>
      </c>
      <c r="B1212" s="805"/>
      <c r="C1212" s="802"/>
      <c r="D1212" s="802"/>
      <c r="E1212" s="803"/>
      <c r="F1212" s="805">
        <v>212.5</v>
      </c>
      <c r="G1212" s="803"/>
      <c r="H1212" s="345">
        <v>1102</v>
      </c>
      <c r="I1212" s="345">
        <v>0</v>
      </c>
      <c r="J1212" s="345">
        <v>213.5</v>
      </c>
      <c r="K1212" s="345">
        <v>1125</v>
      </c>
      <c r="L1212" s="346"/>
      <c r="M1212" s="346"/>
      <c r="N1212" s="346"/>
      <c r="O1212" s="345"/>
      <c r="P1212" s="345"/>
      <c r="Q1212" s="345"/>
      <c r="R1212" s="345">
        <v>0</v>
      </c>
      <c r="S1212" s="345">
        <v>191.6</v>
      </c>
      <c r="T1212" s="345">
        <v>960.9</v>
      </c>
      <c r="U1212" s="345">
        <v>0</v>
      </c>
      <c r="V1212" s="345">
        <v>215</v>
      </c>
      <c r="W1212" s="345">
        <v>1067.5</v>
      </c>
      <c r="X1212" s="345">
        <v>0</v>
      </c>
      <c r="Y1212" s="345">
        <v>195</v>
      </c>
      <c r="Z1212" s="345">
        <v>883</v>
      </c>
      <c r="AA1212">
        <f t="shared" si="18"/>
        <v>0</v>
      </c>
    </row>
    <row r="1213" spans="1:27" ht="28.8" x14ac:dyDescent="0.3">
      <c r="A1213" s="345" t="s">
        <v>2878</v>
      </c>
      <c r="B1213" s="805"/>
      <c r="C1213" s="802"/>
      <c r="D1213" s="802"/>
      <c r="E1213" s="803"/>
      <c r="F1213" s="805">
        <v>212.5</v>
      </c>
      <c r="G1213" s="803"/>
      <c r="H1213" s="345">
        <v>1102</v>
      </c>
      <c r="I1213" s="345">
        <v>0</v>
      </c>
      <c r="J1213" s="345">
        <v>213.5</v>
      </c>
      <c r="K1213" s="345">
        <v>1125</v>
      </c>
      <c r="L1213" s="346"/>
      <c r="M1213" s="346"/>
      <c r="N1213" s="346"/>
      <c r="O1213" s="345"/>
      <c r="P1213" s="345"/>
      <c r="Q1213" s="345"/>
      <c r="R1213" s="345">
        <v>0</v>
      </c>
      <c r="S1213" s="345">
        <v>191.6</v>
      </c>
      <c r="T1213" s="345">
        <v>960.9</v>
      </c>
      <c r="U1213" s="345">
        <v>0</v>
      </c>
      <c r="V1213" s="345">
        <v>215</v>
      </c>
      <c r="W1213" s="345">
        <v>1067.5</v>
      </c>
      <c r="X1213" s="345">
        <v>0</v>
      </c>
      <c r="Y1213" s="345">
        <v>195</v>
      </c>
      <c r="Z1213" s="345">
        <v>883</v>
      </c>
      <c r="AA1213">
        <f t="shared" si="18"/>
        <v>0</v>
      </c>
    </row>
    <row r="1214" spans="1:27" ht="28.8" x14ac:dyDescent="0.3">
      <c r="A1214" s="345" t="s">
        <v>2879</v>
      </c>
      <c r="B1214" s="805"/>
      <c r="C1214" s="802"/>
      <c r="D1214" s="802"/>
      <c r="E1214" s="803"/>
      <c r="F1214" s="805">
        <v>212.5</v>
      </c>
      <c r="G1214" s="803"/>
      <c r="H1214" s="345">
        <v>1102</v>
      </c>
      <c r="I1214" s="345">
        <v>0</v>
      </c>
      <c r="J1214" s="345">
        <v>213.5</v>
      </c>
      <c r="K1214" s="345">
        <v>1125</v>
      </c>
      <c r="L1214" s="346"/>
      <c r="M1214" s="346"/>
      <c r="N1214" s="346"/>
      <c r="O1214" s="345"/>
      <c r="P1214" s="345"/>
      <c r="Q1214" s="345"/>
      <c r="R1214" s="345">
        <v>0</v>
      </c>
      <c r="S1214" s="345">
        <v>191.6</v>
      </c>
      <c r="T1214" s="345">
        <v>960.9</v>
      </c>
      <c r="U1214" s="345">
        <v>0</v>
      </c>
      <c r="V1214" s="345">
        <v>215</v>
      </c>
      <c r="W1214" s="345">
        <v>1067.5</v>
      </c>
      <c r="X1214" s="345">
        <v>0</v>
      </c>
      <c r="Y1214" s="345">
        <v>195</v>
      </c>
      <c r="Z1214" s="345">
        <v>883</v>
      </c>
      <c r="AA1214">
        <f t="shared" si="18"/>
        <v>0</v>
      </c>
    </row>
    <row r="1215" spans="1:27" ht="28.8" x14ac:dyDescent="0.3">
      <c r="A1215" s="345" t="s">
        <v>2880</v>
      </c>
      <c r="B1215" s="805"/>
      <c r="C1215" s="802"/>
      <c r="D1215" s="802"/>
      <c r="E1215" s="803"/>
      <c r="F1215" s="805">
        <v>212.5</v>
      </c>
      <c r="G1215" s="803"/>
      <c r="H1215" s="345">
        <v>1102</v>
      </c>
      <c r="I1215" s="345">
        <v>0</v>
      </c>
      <c r="J1215" s="345">
        <v>213.5</v>
      </c>
      <c r="K1215" s="345">
        <v>1125</v>
      </c>
      <c r="L1215" s="346"/>
      <c r="M1215" s="346"/>
      <c r="N1215" s="346"/>
      <c r="O1215" s="345"/>
      <c r="P1215" s="345"/>
      <c r="Q1215" s="345"/>
      <c r="R1215" s="345">
        <v>0.2</v>
      </c>
      <c r="S1215" s="345">
        <v>191.8</v>
      </c>
      <c r="T1215" s="345">
        <v>961.1</v>
      </c>
      <c r="U1215" s="345">
        <v>0</v>
      </c>
      <c r="V1215" s="345">
        <v>215</v>
      </c>
      <c r="W1215" s="345">
        <v>1067.5</v>
      </c>
      <c r="X1215" s="345">
        <v>0</v>
      </c>
      <c r="Y1215" s="345">
        <v>195</v>
      </c>
      <c r="Z1215" s="345">
        <v>883</v>
      </c>
      <c r="AA1215">
        <f t="shared" si="18"/>
        <v>0</v>
      </c>
    </row>
    <row r="1216" spans="1:27" ht="28.8" x14ac:dyDescent="0.3">
      <c r="A1216" s="345" t="s">
        <v>2881</v>
      </c>
      <c r="B1216" s="805"/>
      <c r="C1216" s="802"/>
      <c r="D1216" s="802"/>
      <c r="E1216" s="803"/>
      <c r="F1216" s="805">
        <v>212.5</v>
      </c>
      <c r="G1216" s="803"/>
      <c r="H1216" s="345">
        <v>1102</v>
      </c>
      <c r="I1216" s="345">
        <v>0</v>
      </c>
      <c r="J1216" s="345">
        <v>213.5</v>
      </c>
      <c r="K1216" s="345">
        <v>1125</v>
      </c>
      <c r="L1216" s="346"/>
      <c r="M1216" s="346"/>
      <c r="N1216" s="346"/>
      <c r="O1216" s="345"/>
      <c r="P1216" s="345"/>
      <c r="Q1216" s="345"/>
      <c r="R1216" s="345">
        <v>0</v>
      </c>
      <c r="S1216" s="345">
        <v>191.8</v>
      </c>
      <c r="T1216" s="345">
        <v>961.1</v>
      </c>
      <c r="U1216" s="345">
        <v>0</v>
      </c>
      <c r="V1216" s="345">
        <v>215</v>
      </c>
      <c r="W1216" s="345">
        <v>1067.5</v>
      </c>
      <c r="X1216" s="345">
        <v>0</v>
      </c>
      <c r="Y1216" s="345">
        <v>195</v>
      </c>
      <c r="Z1216" s="345">
        <v>883</v>
      </c>
      <c r="AA1216">
        <f t="shared" si="18"/>
        <v>0</v>
      </c>
    </row>
    <row r="1217" spans="1:27" ht="28.8" x14ac:dyDescent="0.3">
      <c r="A1217" s="345" t="s">
        <v>2882</v>
      </c>
      <c r="B1217" s="805"/>
      <c r="C1217" s="802"/>
      <c r="D1217" s="802"/>
      <c r="E1217" s="803"/>
      <c r="F1217" s="805">
        <v>212.5</v>
      </c>
      <c r="G1217" s="803"/>
      <c r="H1217" s="345">
        <v>1102</v>
      </c>
      <c r="I1217" s="345">
        <v>0</v>
      </c>
      <c r="J1217" s="345">
        <v>213.5</v>
      </c>
      <c r="K1217" s="345">
        <v>1125</v>
      </c>
      <c r="L1217" s="346"/>
      <c r="M1217" s="346"/>
      <c r="N1217" s="346"/>
      <c r="O1217" s="345"/>
      <c r="P1217" s="345"/>
      <c r="Q1217" s="345"/>
      <c r="R1217" s="345">
        <v>0.2</v>
      </c>
      <c r="S1217" s="345">
        <v>192</v>
      </c>
      <c r="T1217" s="345">
        <v>961.3</v>
      </c>
      <c r="U1217" s="345">
        <v>0</v>
      </c>
      <c r="V1217" s="345">
        <v>215</v>
      </c>
      <c r="W1217" s="345">
        <v>1067.5</v>
      </c>
      <c r="X1217" s="345">
        <v>0</v>
      </c>
      <c r="Y1217" s="345">
        <v>195</v>
      </c>
      <c r="Z1217" s="345">
        <v>883</v>
      </c>
      <c r="AA1217">
        <f t="shared" si="18"/>
        <v>0</v>
      </c>
    </row>
    <row r="1218" spans="1:27" s="362" customFormat="1" ht="28.8" x14ac:dyDescent="0.3">
      <c r="A1218" s="359" t="s">
        <v>2883</v>
      </c>
      <c r="B1218" s="811"/>
      <c r="C1218" s="812"/>
      <c r="D1218" s="812"/>
      <c r="E1218" s="813"/>
      <c r="F1218" s="811">
        <v>212.5</v>
      </c>
      <c r="G1218" s="813"/>
      <c r="H1218" s="359">
        <v>1102</v>
      </c>
      <c r="I1218" s="359">
        <v>0</v>
      </c>
      <c r="J1218" s="359">
        <v>213.5</v>
      </c>
      <c r="K1218" s="359">
        <v>1125</v>
      </c>
      <c r="L1218" s="359"/>
      <c r="M1218" s="359"/>
      <c r="N1218" s="359"/>
      <c r="O1218" s="359"/>
      <c r="P1218" s="359"/>
      <c r="Q1218" s="359"/>
      <c r="R1218" s="359">
        <v>0</v>
      </c>
      <c r="S1218" s="359">
        <v>192</v>
      </c>
      <c r="T1218" s="359">
        <v>961.3</v>
      </c>
      <c r="U1218" s="359">
        <v>0</v>
      </c>
      <c r="V1218" s="359">
        <v>215</v>
      </c>
      <c r="W1218" s="359">
        <v>1067.5</v>
      </c>
      <c r="X1218" s="359">
        <v>0</v>
      </c>
      <c r="Y1218" s="359">
        <v>195</v>
      </c>
      <c r="Z1218" s="359">
        <v>883</v>
      </c>
      <c r="AA1218" s="362">
        <f t="shared" si="18"/>
        <v>0</v>
      </c>
    </row>
    <row r="1219" spans="1:27" ht="28.8" x14ac:dyDescent="0.3">
      <c r="A1219" s="345" t="s">
        <v>2884</v>
      </c>
      <c r="B1219" s="805"/>
      <c r="C1219" s="802"/>
      <c r="D1219" s="802"/>
      <c r="E1219" s="803"/>
      <c r="F1219" s="805">
        <v>9</v>
      </c>
      <c r="G1219" s="803"/>
      <c r="H1219" s="345">
        <v>1111</v>
      </c>
      <c r="I1219" s="345">
        <v>8</v>
      </c>
      <c r="J1219" s="345">
        <v>8</v>
      </c>
      <c r="K1219" s="345">
        <v>1133</v>
      </c>
      <c r="L1219" s="346"/>
      <c r="M1219" s="346"/>
      <c r="N1219" s="346"/>
      <c r="O1219" s="345"/>
      <c r="P1219" s="345"/>
      <c r="Q1219" s="345"/>
      <c r="R1219" s="345">
        <v>7.6</v>
      </c>
      <c r="S1219" s="345">
        <v>7.6</v>
      </c>
      <c r="T1219" s="345">
        <v>968.9</v>
      </c>
      <c r="U1219" s="345">
        <v>9.5</v>
      </c>
      <c r="V1219" s="345">
        <v>9.5</v>
      </c>
      <c r="W1219" s="345">
        <v>1077</v>
      </c>
      <c r="X1219" s="345">
        <v>7.5</v>
      </c>
      <c r="Y1219" s="345">
        <v>7.5</v>
      </c>
      <c r="Z1219" s="345">
        <v>890.5</v>
      </c>
      <c r="AA1219">
        <f t="shared" si="18"/>
        <v>8</v>
      </c>
    </row>
    <row r="1220" spans="1:27" ht="28.8" x14ac:dyDescent="0.3">
      <c r="A1220" s="345" t="s">
        <v>2885</v>
      </c>
      <c r="B1220" s="805"/>
      <c r="C1220" s="802"/>
      <c r="D1220" s="802"/>
      <c r="E1220" s="803"/>
      <c r="F1220" s="805">
        <v>9</v>
      </c>
      <c r="G1220" s="803"/>
      <c r="H1220" s="345">
        <v>1111</v>
      </c>
      <c r="I1220" s="345">
        <v>0</v>
      </c>
      <c r="J1220" s="345">
        <v>8</v>
      </c>
      <c r="K1220" s="345">
        <v>1133</v>
      </c>
      <c r="L1220" s="346"/>
      <c r="M1220" s="346"/>
      <c r="N1220" s="346"/>
      <c r="O1220" s="345"/>
      <c r="P1220" s="345"/>
      <c r="Q1220" s="345"/>
      <c r="R1220" s="345">
        <v>0.2</v>
      </c>
      <c r="S1220" s="345">
        <v>7.8</v>
      </c>
      <c r="T1220" s="345">
        <v>969.1</v>
      </c>
      <c r="U1220" s="345">
        <v>0</v>
      </c>
      <c r="V1220" s="345">
        <v>9.5</v>
      </c>
      <c r="W1220" s="345">
        <v>1077</v>
      </c>
      <c r="X1220" s="345">
        <v>0</v>
      </c>
      <c r="Y1220" s="345">
        <v>7.5</v>
      </c>
      <c r="Z1220" s="345">
        <v>890.5</v>
      </c>
      <c r="AA1220">
        <f t="shared" si="18"/>
        <v>0</v>
      </c>
    </row>
    <row r="1221" spans="1:27" ht="28.8" x14ac:dyDescent="0.3">
      <c r="A1221" s="345" t="s">
        <v>2886</v>
      </c>
      <c r="B1221" s="805"/>
      <c r="C1221" s="802"/>
      <c r="D1221" s="802"/>
      <c r="E1221" s="803"/>
      <c r="F1221" s="805">
        <v>9</v>
      </c>
      <c r="G1221" s="803"/>
      <c r="H1221" s="345">
        <v>1111</v>
      </c>
      <c r="I1221" s="345">
        <v>0</v>
      </c>
      <c r="J1221" s="345">
        <v>8</v>
      </c>
      <c r="K1221" s="345">
        <v>1133</v>
      </c>
      <c r="L1221" s="346"/>
      <c r="M1221" s="346"/>
      <c r="N1221" s="346"/>
      <c r="O1221" s="345"/>
      <c r="P1221" s="345"/>
      <c r="Q1221" s="345"/>
      <c r="R1221" s="345">
        <v>0</v>
      </c>
      <c r="S1221" s="345">
        <v>7.8</v>
      </c>
      <c r="T1221" s="345">
        <v>969.1</v>
      </c>
      <c r="U1221" s="345">
        <v>0</v>
      </c>
      <c r="V1221" s="345">
        <v>9.5</v>
      </c>
      <c r="W1221" s="345">
        <v>1077</v>
      </c>
      <c r="X1221" s="345">
        <v>0</v>
      </c>
      <c r="Y1221" s="345">
        <v>7.5</v>
      </c>
      <c r="Z1221" s="345">
        <v>890.5</v>
      </c>
      <c r="AA1221">
        <f t="shared" si="18"/>
        <v>0</v>
      </c>
    </row>
    <row r="1222" spans="1:27" ht="28.8" x14ac:dyDescent="0.3">
      <c r="A1222" s="345" t="s">
        <v>2887</v>
      </c>
      <c r="B1222" s="805"/>
      <c r="C1222" s="802"/>
      <c r="D1222" s="802"/>
      <c r="E1222" s="803"/>
      <c r="F1222" s="805">
        <v>15</v>
      </c>
      <c r="G1222" s="803"/>
      <c r="H1222" s="345">
        <v>1117</v>
      </c>
      <c r="I1222" s="345">
        <v>4.5</v>
      </c>
      <c r="J1222" s="345">
        <v>12.5</v>
      </c>
      <c r="K1222" s="345">
        <v>1137.5</v>
      </c>
      <c r="L1222" s="346"/>
      <c r="M1222" s="346"/>
      <c r="N1222" s="346"/>
      <c r="O1222" s="345"/>
      <c r="P1222" s="345"/>
      <c r="Q1222" s="345"/>
      <c r="R1222" s="345">
        <v>5</v>
      </c>
      <c r="S1222" s="345">
        <v>12.8</v>
      </c>
      <c r="T1222" s="345">
        <v>974.1</v>
      </c>
      <c r="U1222" s="345">
        <v>4</v>
      </c>
      <c r="V1222" s="345">
        <v>13.5</v>
      </c>
      <c r="W1222" s="345">
        <v>1081</v>
      </c>
      <c r="X1222" s="345">
        <v>5.5</v>
      </c>
      <c r="Y1222" s="345">
        <v>13</v>
      </c>
      <c r="Z1222" s="345">
        <v>896</v>
      </c>
      <c r="AA1222">
        <f t="shared" si="18"/>
        <v>4.5</v>
      </c>
    </row>
    <row r="1223" spans="1:27" ht="28.8" x14ac:dyDescent="0.3">
      <c r="A1223" s="345" t="s">
        <v>2888</v>
      </c>
      <c r="B1223" s="805"/>
      <c r="C1223" s="802"/>
      <c r="D1223" s="802"/>
      <c r="E1223" s="803"/>
      <c r="F1223" s="805">
        <v>16.5</v>
      </c>
      <c r="G1223" s="803"/>
      <c r="H1223" s="345">
        <v>1118.5</v>
      </c>
      <c r="I1223" s="345">
        <v>1.5</v>
      </c>
      <c r="J1223" s="345">
        <v>14</v>
      </c>
      <c r="K1223" s="345">
        <v>1139</v>
      </c>
      <c r="L1223" s="346"/>
      <c r="M1223" s="346"/>
      <c r="N1223" s="346"/>
      <c r="O1223" s="345"/>
      <c r="P1223" s="345"/>
      <c r="Q1223" s="345"/>
      <c r="R1223" s="345">
        <v>1</v>
      </c>
      <c r="S1223" s="345">
        <v>13.8</v>
      </c>
      <c r="T1223" s="345">
        <v>975.1</v>
      </c>
      <c r="U1223" s="345">
        <v>1.5</v>
      </c>
      <c r="V1223" s="345">
        <v>15</v>
      </c>
      <c r="W1223" s="345">
        <v>1082.5</v>
      </c>
      <c r="X1223" s="345">
        <v>1</v>
      </c>
      <c r="Y1223" s="345">
        <v>14</v>
      </c>
      <c r="Z1223" s="345">
        <v>897</v>
      </c>
      <c r="AA1223">
        <f t="shared" si="18"/>
        <v>1.5</v>
      </c>
    </row>
    <row r="1224" spans="1:27" ht="28.8" x14ac:dyDescent="0.3">
      <c r="A1224" s="345" t="s">
        <v>2889</v>
      </c>
      <c r="B1224" s="805"/>
      <c r="C1224" s="802"/>
      <c r="D1224" s="802"/>
      <c r="E1224" s="803"/>
      <c r="F1224" s="805">
        <v>19.5</v>
      </c>
      <c r="G1224" s="803"/>
      <c r="H1224" s="345">
        <v>1121.5</v>
      </c>
      <c r="I1224" s="345">
        <v>2</v>
      </c>
      <c r="J1224" s="345">
        <v>16</v>
      </c>
      <c r="K1224" s="345">
        <v>1141</v>
      </c>
      <c r="L1224" s="346"/>
      <c r="M1224" s="346"/>
      <c r="N1224" s="346"/>
      <c r="O1224" s="345"/>
      <c r="P1224" s="345"/>
      <c r="Q1224" s="345"/>
      <c r="R1224" s="345">
        <v>2.2000000000000002</v>
      </c>
      <c r="S1224" s="345">
        <v>16</v>
      </c>
      <c r="T1224" s="345">
        <v>977.3</v>
      </c>
      <c r="U1224" s="345">
        <v>2.5</v>
      </c>
      <c r="V1224" s="345">
        <v>17.5</v>
      </c>
      <c r="W1224" s="345">
        <v>1085</v>
      </c>
      <c r="X1224" s="345">
        <v>2.5</v>
      </c>
      <c r="Y1224" s="345">
        <v>16.5</v>
      </c>
      <c r="Z1224" s="345">
        <v>899.5</v>
      </c>
      <c r="AA1224">
        <f t="shared" si="18"/>
        <v>2</v>
      </c>
    </row>
    <row r="1225" spans="1:27" ht="28.8" x14ac:dyDescent="0.3">
      <c r="A1225" s="345" t="s">
        <v>2890</v>
      </c>
      <c r="B1225" s="805"/>
      <c r="C1225" s="802"/>
      <c r="D1225" s="802"/>
      <c r="E1225" s="803"/>
      <c r="F1225" s="805">
        <v>28</v>
      </c>
      <c r="G1225" s="803"/>
      <c r="H1225" s="345">
        <v>1130</v>
      </c>
      <c r="I1225" s="345">
        <v>8</v>
      </c>
      <c r="J1225" s="345">
        <v>24</v>
      </c>
      <c r="K1225" s="345">
        <v>1149</v>
      </c>
      <c r="L1225" s="346"/>
      <c r="M1225" s="346"/>
      <c r="N1225" s="346"/>
      <c r="O1225" s="345"/>
      <c r="P1225" s="345"/>
      <c r="Q1225" s="345"/>
      <c r="R1225" s="345">
        <v>7.4</v>
      </c>
      <c r="S1225" s="345">
        <v>23.4</v>
      </c>
      <c r="T1225" s="345">
        <v>984.7</v>
      </c>
      <c r="U1225" s="345">
        <v>9</v>
      </c>
      <c r="V1225" s="345">
        <v>26.5</v>
      </c>
      <c r="W1225" s="345">
        <v>1094</v>
      </c>
      <c r="X1225" s="345">
        <v>7.5</v>
      </c>
      <c r="Y1225" s="345">
        <v>24</v>
      </c>
      <c r="Z1225" s="345">
        <v>907</v>
      </c>
      <c r="AA1225">
        <f t="shared" si="18"/>
        <v>8</v>
      </c>
    </row>
    <row r="1226" spans="1:27" ht="28.8" x14ac:dyDescent="0.3">
      <c r="A1226" s="345" t="s">
        <v>2891</v>
      </c>
      <c r="B1226" s="805"/>
      <c r="C1226" s="802"/>
      <c r="D1226" s="802"/>
      <c r="E1226" s="803"/>
      <c r="F1226" s="805">
        <v>34</v>
      </c>
      <c r="G1226" s="803"/>
      <c r="H1226" s="345">
        <v>1136</v>
      </c>
      <c r="I1226" s="345">
        <v>5.5</v>
      </c>
      <c r="J1226" s="345">
        <v>29.5</v>
      </c>
      <c r="K1226" s="345">
        <v>1154.5</v>
      </c>
      <c r="L1226" s="346"/>
      <c r="M1226" s="346"/>
      <c r="N1226" s="346"/>
      <c r="O1226" s="345"/>
      <c r="P1226" s="345"/>
      <c r="Q1226" s="345"/>
      <c r="R1226" s="345">
        <v>7.2</v>
      </c>
      <c r="S1226" s="345">
        <v>30.6</v>
      </c>
      <c r="T1226" s="345">
        <v>991.9</v>
      </c>
      <c r="U1226" s="345">
        <v>8</v>
      </c>
      <c r="V1226" s="345">
        <v>34.5</v>
      </c>
      <c r="W1226" s="345">
        <v>1102</v>
      </c>
      <c r="X1226" s="345">
        <v>5</v>
      </c>
      <c r="Y1226" s="345">
        <v>29</v>
      </c>
      <c r="Z1226" s="345">
        <v>912</v>
      </c>
      <c r="AA1226">
        <f t="shared" si="18"/>
        <v>5.5</v>
      </c>
    </row>
    <row r="1227" spans="1:27" ht="28.8" x14ac:dyDescent="0.3">
      <c r="A1227" s="345" t="s">
        <v>2892</v>
      </c>
      <c r="B1227" s="805"/>
      <c r="C1227" s="802"/>
      <c r="D1227" s="802"/>
      <c r="E1227" s="803"/>
      <c r="F1227" s="805">
        <v>44</v>
      </c>
      <c r="G1227" s="803"/>
      <c r="H1227" s="345">
        <v>1146</v>
      </c>
      <c r="I1227" s="345">
        <v>10.5</v>
      </c>
      <c r="J1227" s="345">
        <v>40</v>
      </c>
      <c r="K1227" s="345">
        <v>1165</v>
      </c>
      <c r="L1227" s="346"/>
      <c r="M1227" s="346"/>
      <c r="N1227" s="346"/>
      <c r="O1227" s="345"/>
      <c r="P1227" s="345"/>
      <c r="Q1227" s="345"/>
      <c r="R1227" s="345">
        <v>10.8</v>
      </c>
      <c r="S1227" s="345">
        <v>41.4</v>
      </c>
      <c r="T1227" s="345">
        <v>1002.7</v>
      </c>
      <c r="U1227" s="345">
        <v>8.5</v>
      </c>
      <c r="V1227" s="345">
        <v>43</v>
      </c>
      <c r="W1227" s="345">
        <v>1110.5</v>
      </c>
      <c r="X1227" s="345">
        <v>7.5</v>
      </c>
      <c r="Y1227" s="345">
        <v>36.5</v>
      </c>
      <c r="Z1227" s="345">
        <v>919.5</v>
      </c>
      <c r="AA1227">
        <f t="shared" si="18"/>
        <v>10.5</v>
      </c>
    </row>
    <row r="1228" spans="1:27" ht="28.8" x14ac:dyDescent="0.3">
      <c r="A1228" s="345" t="s">
        <v>2893</v>
      </c>
      <c r="B1228" s="805"/>
      <c r="C1228" s="802"/>
      <c r="D1228" s="802"/>
      <c r="E1228" s="803"/>
      <c r="F1228" s="805">
        <v>45</v>
      </c>
      <c r="G1228" s="803"/>
      <c r="H1228" s="345">
        <v>1147</v>
      </c>
      <c r="I1228" s="345">
        <v>1</v>
      </c>
      <c r="J1228" s="345">
        <v>41</v>
      </c>
      <c r="K1228" s="345">
        <v>1166</v>
      </c>
      <c r="L1228" s="346"/>
      <c r="M1228" s="346"/>
      <c r="N1228" s="346"/>
      <c r="O1228" s="345"/>
      <c r="P1228" s="345"/>
      <c r="Q1228" s="345"/>
      <c r="R1228" s="345">
        <v>0</v>
      </c>
      <c r="S1228" s="345">
        <v>41.4</v>
      </c>
      <c r="T1228" s="345">
        <v>1002.7</v>
      </c>
      <c r="U1228" s="345">
        <v>1</v>
      </c>
      <c r="V1228" s="345">
        <v>44</v>
      </c>
      <c r="W1228" s="345">
        <v>1111.5</v>
      </c>
      <c r="X1228" s="345">
        <v>0.5</v>
      </c>
      <c r="Y1228" s="345">
        <v>37</v>
      </c>
      <c r="Z1228" s="345">
        <v>920</v>
      </c>
      <c r="AA1228">
        <f t="shared" si="18"/>
        <v>1</v>
      </c>
    </row>
    <row r="1229" spans="1:27" ht="28.8" x14ac:dyDescent="0.3">
      <c r="A1229" s="345" t="s">
        <v>2894</v>
      </c>
      <c r="B1229" s="805"/>
      <c r="C1229" s="802"/>
      <c r="D1229" s="802"/>
      <c r="E1229" s="803"/>
      <c r="F1229" s="805">
        <v>51</v>
      </c>
      <c r="G1229" s="803"/>
      <c r="H1229" s="345">
        <v>1153</v>
      </c>
      <c r="I1229" s="345">
        <v>5.5</v>
      </c>
      <c r="J1229" s="345">
        <v>46.5</v>
      </c>
      <c r="K1229" s="345">
        <v>1171.5</v>
      </c>
      <c r="L1229" s="346"/>
      <c r="M1229" s="346"/>
      <c r="N1229" s="346"/>
      <c r="O1229" s="345"/>
      <c r="P1229" s="345"/>
      <c r="Q1229" s="345"/>
      <c r="R1229" s="345">
        <v>4</v>
      </c>
      <c r="S1229" s="345">
        <v>45.4</v>
      </c>
      <c r="T1229" s="345">
        <v>1006.7</v>
      </c>
      <c r="U1229" s="345">
        <v>4.5</v>
      </c>
      <c r="V1229" s="345">
        <v>48.5</v>
      </c>
      <c r="W1229" s="345">
        <v>1116</v>
      </c>
      <c r="X1229" s="345">
        <v>5</v>
      </c>
      <c r="Y1229" s="345">
        <v>42</v>
      </c>
      <c r="Z1229" s="345">
        <v>925</v>
      </c>
      <c r="AA1229">
        <f t="shared" si="18"/>
        <v>5.5</v>
      </c>
    </row>
    <row r="1230" spans="1:27" ht="28.8" x14ac:dyDescent="0.3">
      <c r="A1230" s="345" t="s">
        <v>2895</v>
      </c>
      <c r="B1230" s="805"/>
      <c r="C1230" s="802"/>
      <c r="D1230" s="802"/>
      <c r="E1230" s="803"/>
      <c r="F1230" s="805">
        <v>51</v>
      </c>
      <c r="G1230" s="803"/>
      <c r="H1230" s="345">
        <v>1153</v>
      </c>
      <c r="I1230" s="345">
        <v>0</v>
      </c>
      <c r="J1230" s="345">
        <v>46.5</v>
      </c>
      <c r="K1230" s="345">
        <v>1171.5</v>
      </c>
      <c r="L1230" s="346"/>
      <c r="M1230" s="346"/>
      <c r="N1230" s="346"/>
      <c r="O1230" s="345"/>
      <c r="P1230" s="345"/>
      <c r="Q1230" s="345"/>
      <c r="R1230" s="345">
        <v>0.2</v>
      </c>
      <c r="S1230" s="345">
        <v>45.6</v>
      </c>
      <c r="T1230" s="345">
        <v>1006.9</v>
      </c>
      <c r="U1230" s="345">
        <v>0</v>
      </c>
      <c r="V1230" s="345">
        <v>48.5</v>
      </c>
      <c r="W1230" s="345">
        <v>1116</v>
      </c>
      <c r="X1230" s="345">
        <v>0</v>
      </c>
      <c r="Y1230" s="345">
        <v>42</v>
      </c>
      <c r="Z1230" s="345">
        <v>925</v>
      </c>
      <c r="AA1230">
        <f t="shared" ref="AA1230:AA1296" si="19">MAX(B1230+I1230+L1230+O1230)</f>
        <v>0</v>
      </c>
    </row>
    <row r="1231" spans="1:27" ht="28.8" x14ac:dyDescent="0.3">
      <c r="A1231" s="345" t="s">
        <v>2896</v>
      </c>
      <c r="B1231" s="805"/>
      <c r="C1231" s="802"/>
      <c r="D1231" s="802"/>
      <c r="E1231" s="803"/>
      <c r="F1231" s="805">
        <v>51</v>
      </c>
      <c r="G1231" s="803"/>
      <c r="H1231" s="345">
        <v>1153</v>
      </c>
      <c r="I1231" s="345">
        <v>0</v>
      </c>
      <c r="J1231" s="345">
        <v>46.5</v>
      </c>
      <c r="K1231" s="345">
        <v>1171.5</v>
      </c>
      <c r="L1231" s="346"/>
      <c r="M1231" s="346"/>
      <c r="N1231" s="346"/>
      <c r="O1231" s="345"/>
      <c r="P1231" s="345"/>
      <c r="Q1231" s="345"/>
      <c r="R1231" s="345">
        <v>0.2</v>
      </c>
      <c r="S1231" s="345">
        <v>45.8</v>
      </c>
      <c r="T1231" s="345">
        <v>1007.1</v>
      </c>
      <c r="U1231" s="345">
        <v>0</v>
      </c>
      <c r="V1231" s="345">
        <v>48.5</v>
      </c>
      <c r="W1231" s="345">
        <v>1116</v>
      </c>
      <c r="X1231" s="345">
        <v>0</v>
      </c>
      <c r="Y1231" s="345">
        <v>42</v>
      </c>
      <c r="Z1231" s="345">
        <v>925</v>
      </c>
      <c r="AA1231">
        <f t="shared" si="19"/>
        <v>0</v>
      </c>
    </row>
    <row r="1232" spans="1:27" ht="28.8" x14ac:dyDescent="0.3">
      <c r="A1232" s="345" t="s">
        <v>2897</v>
      </c>
      <c r="B1232" s="805"/>
      <c r="C1232" s="802"/>
      <c r="D1232" s="802"/>
      <c r="E1232" s="803"/>
      <c r="F1232" s="805">
        <v>51</v>
      </c>
      <c r="G1232" s="803"/>
      <c r="H1232" s="345">
        <v>1153</v>
      </c>
      <c r="I1232" s="345">
        <v>0</v>
      </c>
      <c r="J1232" s="345">
        <v>46.5</v>
      </c>
      <c r="K1232" s="345">
        <v>1171.5</v>
      </c>
      <c r="L1232" s="346"/>
      <c r="M1232" s="346"/>
      <c r="N1232" s="346"/>
      <c r="O1232" s="345"/>
      <c r="P1232" s="345"/>
      <c r="Q1232" s="345"/>
      <c r="R1232" s="345">
        <v>1.2</v>
      </c>
      <c r="S1232" s="345">
        <v>47</v>
      </c>
      <c r="T1232" s="345">
        <v>1008.3</v>
      </c>
      <c r="U1232" s="345">
        <v>1</v>
      </c>
      <c r="V1232" s="345">
        <v>49.5</v>
      </c>
      <c r="W1232" s="345">
        <v>1117</v>
      </c>
      <c r="X1232" s="345">
        <v>0.5</v>
      </c>
      <c r="Y1232" s="345">
        <v>42.5</v>
      </c>
      <c r="Z1232" s="345">
        <v>925.5</v>
      </c>
      <c r="AA1232">
        <f t="shared" si="19"/>
        <v>0</v>
      </c>
    </row>
    <row r="1233" spans="1:27" ht="28.8" x14ac:dyDescent="0.3">
      <c r="A1233" s="345" t="s">
        <v>2898</v>
      </c>
      <c r="B1233" s="805"/>
      <c r="C1233" s="802"/>
      <c r="D1233" s="802"/>
      <c r="E1233" s="803"/>
      <c r="F1233" s="805">
        <v>59.5</v>
      </c>
      <c r="G1233" s="803"/>
      <c r="H1233" s="345">
        <v>1161.5</v>
      </c>
      <c r="I1233" s="345">
        <v>9</v>
      </c>
      <c r="J1233" s="345">
        <v>55.5</v>
      </c>
      <c r="K1233" s="345">
        <v>1180.5</v>
      </c>
      <c r="L1233" s="346"/>
      <c r="M1233" s="346"/>
      <c r="N1233" s="346"/>
      <c r="O1233" s="345"/>
      <c r="P1233" s="345"/>
      <c r="Q1233" s="345"/>
      <c r="R1233" s="345">
        <v>0</v>
      </c>
      <c r="S1233" s="345">
        <v>47</v>
      </c>
      <c r="T1233" s="345">
        <v>1008.3</v>
      </c>
      <c r="U1233" s="345">
        <v>7.5</v>
      </c>
      <c r="V1233" s="345">
        <v>57</v>
      </c>
      <c r="W1233" s="345">
        <v>1124.5</v>
      </c>
      <c r="X1233" s="345">
        <v>8</v>
      </c>
      <c r="Y1233" s="345">
        <v>50.5</v>
      </c>
      <c r="Z1233" s="345">
        <v>933.5</v>
      </c>
      <c r="AA1233">
        <f t="shared" si="19"/>
        <v>9</v>
      </c>
    </row>
    <row r="1234" spans="1:27" ht="28.8" x14ac:dyDescent="0.3">
      <c r="A1234" s="345" t="s">
        <v>2899</v>
      </c>
      <c r="B1234" s="805"/>
      <c r="C1234" s="802"/>
      <c r="D1234" s="802"/>
      <c r="E1234" s="803"/>
      <c r="F1234" s="805">
        <v>77</v>
      </c>
      <c r="G1234" s="803"/>
      <c r="H1234" s="345">
        <v>1179</v>
      </c>
      <c r="I1234" s="345">
        <v>11</v>
      </c>
      <c r="J1234" s="345">
        <v>66.5</v>
      </c>
      <c r="K1234" s="345">
        <v>1191.5</v>
      </c>
      <c r="L1234" s="346"/>
      <c r="M1234" s="346"/>
      <c r="N1234" s="346"/>
      <c r="O1234" s="345"/>
      <c r="P1234" s="345"/>
      <c r="Q1234" s="345"/>
      <c r="R1234" s="345">
        <v>0</v>
      </c>
      <c r="S1234" s="345">
        <v>47</v>
      </c>
      <c r="T1234" s="345">
        <v>1008.3</v>
      </c>
      <c r="U1234" s="345">
        <v>19.5</v>
      </c>
      <c r="V1234" s="345">
        <v>76.5</v>
      </c>
      <c r="W1234" s="345">
        <v>1144</v>
      </c>
      <c r="X1234" s="345">
        <v>18</v>
      </c>
      <c r="Y1234" s="345">
        <v>68.5</v>
      </c>
      <c r="Z1234" s="345">
        <v>951.5</v>
      </c>
      <c r="AA1234">
        <f t="shared" si="19"/>
        <v>11</v>
      </c>
    </row>
    <row r="1235" spans="1:27" ht="28.8" x14ac:dyDescent="0.3">
      <c r="A1235" s="345" t="s">
        <v>2900</v>
      </c>
      <c r="B1235" s="805"/>
      <c r="C1235" s="802"/>
      <c r="D1235" s="802"/>
      <c r="E1235" s="803"/>
      <c r="F1235" s="805">
        <v>84</v>
      </c>
      <c r="G1235" s="803"/>
      <c r="H1235" s="345">
        <v>1186</v>
      </c>
      <c r="I1235" s="345">
        <v>18</v>
      </c>
      <c r="J1235" s="345">
        <v>84.5</v>
      </c>
      <c r="K1235" s="345">
        <v>1209.5</v>
      </c>
      <c r="L1235" s="346"/>
      <c r="M1235" s="346"/>
      <c r="N1235" s="346"/>
      <c r="O1235" s="345"/>
      <c r="P1235" s="345"/>
      <c r="Q1235" s="345"/>
      <c r="R1235" s="345">
        <v>0</v>
      </c>
      <c r="S1235" s="345">
        <v>47</v>
      </c>
      <c r="T1235" s="345">
        <v>1008.3</v>
      </c>
      <c r="U1235" s="345">
        <v>8.5</v>
      </c>
      <c r="V1235" s="345">
        <v>85</v>
      </c>
      <c r="W1235" s="345">
        <v>1152.5</v>
      </c>
      <c r="X1235" s="345">
        <v>6</v>
      </c>
      <c r="Y1235" s="345">
        <v>74.5</v>
      </c>
      <c r="Z1235" s="345">
        <v>957.5</v>
      </c>
      <c r="AA1235">
        <f t="shared" si="19"/>
        <v>18</v>
      </c>
    </row>
    <row r="1236" spans="1:27" ht="28.8" x14ac:dyDescent="0.3">
      <c r="A1236" s="345" t="s">
        <v>2901</v>
      </c>
      <c r="B1236" s="805"/>
      <c r="C1236" s="802"/>
      <c r="D1236" s="802"/>
      <c r="E1236" s="803"/>
      <c r="F1236" s="805">
        <v>134.5</v>
      </c>
      <c r="G1236" s="803"/>
      <c r="H1236" s="345">
        <v>1236.5</v>
      </c>
      <c r="I1236" s="345">
        <v>58.5</v>
      </c>
      <c r="J1236" s="345">
        <v>143</v>
      </c>
      <c r="K1236" s="345">
        <v>1268</v>
      </c>
      <c r="L1236" s="346"/>
      <c r="M1236" s="346"/>
      <c r="N1236" s="346"/>
      <c r="O1236" s="345"/>
      <c r="P1236" s="345"/>
      <c r="Q1236" s="345"/>
      <c r="R1236" s="345">
        <v>0</v>
      </c>
      <c r="S1236" s="345">
        <v>47</v>
      </c>
      <c r="T1236" s="345">
        <v>1008.3</v>
      </c>
      <c r="U1236" s="345">
        <v>53</v>
      </c>
      <c r="V1236" s="345">
        <v>138</v>
      </c>
      <c r="W1236" s="345">
        <v>1205.5</v>
      </c>
      <c r="X1236" s="345">
        <v>60</v>
      </c>
      <c r="Y1236" s="345">
        <v>134.5</v>
      </c>
      <c r="Z1236" s="345">
        <v>1017.5</v>
      </c>
      <c r="AA1236">
        <f t="shared" si="19"/>
        <v>58.5</v>
      </c>
    </row>
    <row r="1237" spans="1:27" ht="28.8" x14ac:dyDescent="0.3">
      <c r="A1237" s="345" t="s">
        <v>2902</v>
      </c>
      <c r="B1237" s="805"/>
      <c r="C1237" s="802"/>
      <c r="D1237" s="802"/>
      <c r="E1237" s="803"/>
      <c r="F1237" s="805">
        <v>169</v>
      </c>
      <c r="G1237" s="803"/>
      <c r="H1237" s="345">
        <v>1271</v>
      </c>
      <c r="I1237" s="345">
        <v>31.5</v>
      </c>
      <c r="J1237" s="345">
        <v>174.5</v>
      </c>
      <c r="K1237" s="345">
        <v>1299.5</v>
      </c>
      <c r="L1237" s="346"/>
      <c r="M1237" s="346"/>
      <c r="N1237" s="346"/>
      <c r="O1237" s="345"/>
      <c r="P1237" s="345"/>
      <c r="Q1237" s="345"/>
      <c r="R1237" s="345">
        <v>0</v>
      </c>
      <c r="S1237" s="345">
        <v>47</v>
      </c>
      <c r="T1237" s="345">
        <v>1008.3</v>
      </c>
      <c r="U1237" s="345">
        <v>29</v>
      </c>
      <c r="V1237" s="345">
        <v>167</v>
      </c>
      <c r="W1237" s="345">
        <v>1234.5</v>
      </c>
      <c r="X1237" s="345">
        <v>25.5</v>
      </c>
      <c r="Y1237" s="345">
        <v>160</v>
      </c>
      <c r="Z1237" s="345">
        <v>1043</v>
      </c>
      <c r="AA1237">
        <f t="shared" si="19"/>
        <v>31.5</v>
      </c>
    </row>
    <row r="1238" spans="1:27" ht="28.8" x14ac:dyDescent="0.3">
      <c r="A1238" s="345" t="s">
        <v>2903</v>
      </c>
      <c r="B1238" s="805"/>
      <c r="C1238" s="802"/>
      <c r="D1238" s="802"/>
      <c r="E1238" s="803"/>
      <c r="F1238" s="805">
        <v>180.5</v>
      </c>
      <c r="G1238" s="803"/>
      <c r="H1238" s="345">
        <v>1282.5</v>
      </c>
      <c r="I1238" s="345">
        <v>10</v>
      </c>
      <c r="J1238" s="345">
        <v>184.5</v>
      </c>
      <c r="K1238" s="345">
        <v>1309.5</v>
      </c>
      <c r="L1238" s="346"/>
      <c r="M1238" s="346"/>
      <c r="N1238" s="346"/>
      <c r="O1238" s="345"/>
      <c r="P1238" s="345"/>
      <c r="Q1238" s="345"/>
      <c r="R1238" s="345">
        <v>0</v>
      </c>
      <c r="S1238" s="345">
        <v>47</v>
      </c>
      <c r="T1238" s="345">
        <v>1008.3</v>
      </c>
      <c r="U1238" s="345">
        <v>12</v>
      </c>
      <c r="V1238" s="345">
        <v>179</v>
      </c>
      <c r="W1238" s="345">
        <v>1246.5</v>
      </c>
      <c r="X1238" s="345">
        <v>10.5</v>
      </c>
      <c r="Y1238" s="345">
        <v>170.5</v>
      </c>
      <c r="Z1238" s="345">
        <v>1053.5</v>
      </c>
      <c r="AA1238">
        <f t="shared" si="19"/>
        <v>10</v>
      </c>
    </row>
    <row r="1239" spans="1:27" ht="28.8" x14ac:dyDescent="0.3">
      <c r="A1239" s="345" t="s">
        <v>2904</v>
      </c>
      <c r="B1239" s="805"/>
      <c r="C1239" s="802"/>
      <c r="D1239" s="802"/>
      <c r="E1239" s="803"/>
      <c r="F1239" s="805">
        <v>185.5</v>
      </c>
      <c r="G1239" s="803"/>
      <c r="H1239" s="345">
        <v>1287.5</v>
      </c>
      <c r="I1239" s="345">
        <v>4</v>
      </c>
      <c r="J1239" s="345">
        <v>188.5</v>
      </c>
      <c r="K1239" s="345">
        <v>1313.5</v>
      </c>
      <c r="L1239" s="346"/>
      <c r="M1239" s="346"/>
      <c r="N1239" s="346"/>
      <c r="O1239" s="345"/>
      <c r="P1239" s="345"/>
      <c r="Q1239" s="345"/>
      <c r="R1239" s="345">
        <v>0</v>
      </c>
      <c r="S1239" s="345">
        <v>47</v>
      </c>
      <c r="T1239" s="345">
        <v>1008.3</v>
      </c>
      <c r="U1239" s="345">
        <v>4</v>
      </c>
      <c r="V1239" s="345">
        <v>183</v>
      </c>
      <c r="W1239" s="345">
        <v>1250.5</v>
      </c>
      <c r="X1239" s="345">
        <v>4.5</v>
      </c>
      <c r="Y1239" s="345">
        <v>175</v>
      </c>
      <c r="Z1239" s="345">
        <v>1058</v>
      </c>
      <c r="AA1239">
        <f t="shared" si="19"/>
        <v>4</v>
      </c>
    </row>
    <row r="1240" spans="1:27" x14ac:dyDescent="0.3">
      <c r="A1240" s="345"/>
      <c r="B1240" s="345"/>
      <c r="C1240" s="341"/>
      <c r="D1240" s="341"/>
      <c r="E1240" s="342"/>
      <c r="F1240" s="345"/>
      <c r="G1240" s="342"/>
      <c r="H1240" s="345"/>
      <c r="I1240" s="345"/>
      <c r="J1240" s="345"/>
      <c r="K1240" s="345"/>
      <c r="L1240" s="346"/>
      <c r="M1240" s="346"/>
      <c r="N1240" s="346"/>
      <c r="O1240" s="345"/>
      <c r="P1240" s="345"/>
      <c r="Q1240" s="345"/>
      <c r="R1240" s="345"/>
      <c r="S1240" s="345"/>
      <c r="T1240" s="345"/>
      <c r="U1240" s="345"/>
      <c r="V1240" s="345"/>
      <c r="W1240" s="345"/>
      <c r="X1240" s="345"/>
      <c r="Y1240" s="345"/>
      <c r="Z1240" s="345"/>
    </row>
    <row r="1241" spans="1:27" ht="28.8" x14ac:dyDescent="0.3">
      <c r="A1241" s="345" t="s">
        <v>2905</v>
      </c>
      <c r="B1241" s="805"/>
      <c r="C1241" s="802"/>
      <c r="D1241" s="802"/>
      <c r="E1241" s="803"/>
      <c r="F1241" s="805">
        <v>191</v>
      </c>
      <c r="G1241" s="803"/>
      <c r="H1241" s="345">
        <v>1293</v>
      </c>
      <c r="I1241" s="345">
        <v>1.5</v>
      </c>
      <c r="J1241" s="345">
        <v>190</v>
      </c>
      <c r="K1241" s="345">
        <v>1315</v>
      </c>
      <c r="L1241" s="346"/>
      <c r="M1241" s="346"/>
      <c r="N1241" s="346"/>
      <c r="O1241" s="345"/>
      <c r="P1241" s="345"/>
      <c r="Q1241" s="345"/>
      <c r="R1241" s="345"/>
      <c r="S1241" s="345"/>
      <c r="T1241" s="345"/>
      <c r="U1241" s="345">
        <v>4</v>
      </c>
      <c r="V1241" s="345">
        <v>187</v>
      </c>
      <c r="W1241" s="345">
        <v>1254.5</v>
      </c>
      <c r="X1241" s="345">
        <v>3</v>
      </c>
      <c r="Y1241" s="345">
        <v>178</v>
      </c>
      <c r="Z1241" s="345">
        <v>1061</v>
      </c>
      <c r="AA1241">
        <f t="shared" si="19"/>
        <v>1.5</v>
      </c>
    </row>
    <row r="1242" spans="1:27" ht="28.8" x14ac:dyDescent="0.3">
      <c r="A1242" s="345" t="s">
        <v>2906</v>
      </c>
      <c r="B1242" s="805"/>
      <c r="C1242" s="802"/>
      <c r="D1242" s="802"/>
      <c r="E1242" s="803"/>
      <c r="F1242" s="805">
        <v>210</v>
      </c>
      <c r="G1242" s="803"/>
      <c r="H1242" s="345">
        <v>1312</v>
      </c>
      <c r="I1242" s="345">
        <v>23.5</v>
      </c>
      <c r="J1242" s="345">
        <v>213.5</v>
      </c>
      <c r="K1242" s="345">
        <v>1338.5</v>
      </c>
      <c r="L1242" s="346"/>
      <c r="M1242" s="346"/>
      <c r="N1242" s="346"/>
      <c r="O1242" s="345"/>
      <c r="P1242" s="345"/>
      <c r="Q1242" s="345"/>
      <c r="R1242" s="345">
        <v>0</v>
      </c>
      <c r="S1242" s="345">
        <v>47</v>
      </c>
      <c r="T1242" s="345">
        <v>1008.3</v>
      </c>
      <c r="U1242" s="345">
        <v>19.5</v>
      </c>
      <c r="V1242" s="345">
        <v>206.5</v>
      </c>
      <c r="W1242" s="345">
        <v>1274</v>
      </c>
      <c r="X1242" s="345">
        <v>17.5</v>
      </c>
      <c r="Y1242" s="345">
        <v>195.5</v>
      </c>
      <c r="Z1242" s="345">
        <v>1078.5</v>
      </c>
      <c r="AA1242">
        <f t="shared" si="19"/>
        <v>23.5</v>
      </c>
    </row>
    <row r="1243" spans="1:27" ht="28.8" x14ac:dyDescent="0.3">
      <c r="A1243" s="345" t="s">
        <v>2907</v>
      </c>
      <c r="B1243" s="805"/>
      <c r="C1243" s="802"/>
      <c r="D1243" s="802"/>
      <c r="E1243" s="803"/>
      <c r="F1243" s="805">
        <v>213.5</v>
      </c>
      <c r="G1243" s="803"/>
      <c r="H1243" s="345">
        <v>1315.5</v>
      </c>
      <c r="I1243" s="345">
        <v>2</v>
      </c>
      <c r="J1243" s="345">
        <v>215.5</v>
      </c>
      <c r="K1243" s="345">
        <v>1340.5</v>
      </c>
      <c r="L1243" s="346"/>
      <c r="M1243" s="346"/>
      <c r="N1243" s="346"/>
      <c r="O1243" s="345"/>
      <c r="P1243" s="345"/>
      <c r="Q1243" s="345"/>
      <c r="R1243" s="345">
        <v>0</v>
      </c>
      <c r="S1243" s="345">
        <v>47</v>
      </c>
      <c r="T1243" s="345">
        <v>1008.3</v>
      </c>
      <c r="U1243" s="345">
        <v>3</v>
      </c>
      <c r="V1243" s="345">
        <v>209.5</v>
      </c>
      <c r="W1243" s="345">
        <v>1277</v>
      </c>
      <c r="X1243" s="345">
        <v>3</v>
      </c>
      <c r="Y1243" s="345">
        <v>198.5</v>
      </c>
      <c r="Z1243" s="345">
        <v>1081.5</v>
      </c>
      <c r="AA1243">
        <f t="shared" si="19"/>
        <v>2</v>
      </c>
    </row>
    <row r="1244" spans="1:27" ht="28.8" x14ac:dyDescent="0.3">
      <c r="A1244" s="345" t="s">
        <v>2908</v>
      </c>
      <c r="B1244" s="805"/>
      <c r="C1244" s="802"/>
      <c r="D1244" s="802"/>
      <c r="E1244" s="803"/>
      <c r="F1244" s="805">
        <v>214.5</v>
      </c>
      <c r="G1244" s="803"/>
      <c r="H1244" s="345">
        <v>1316.5</v>
      </c>
      <c r="I1244" s="345">
        <v>1</v>
      </c>
      <c r="J1244" s="345">
        <v>216.5</v>
      </c>
      <c r="K1244" s="345">
        <v>1341.5</v>
      </c>
      <c r="L1244" s="346"/>
      <c r="M1244" s="346"/>
      <c r="N1244" s="346"/>
      <c r="O1244" s="345"/>
      <c r="P1244" s="345"/>
      <c r="Q1244" s="345"/>
      <c r="R1244" s="345">
        <v>0</v>
      </c>
      <c r="S1244" s="345">
        <v>47</v>
      </c>
      <c r="T1244" s="345">
        <v>1008.3</v>
      </c>
      <c r="U1244" s="345">
        <v>1</v>
      </c>
      <c r="V1244" s="345">
        <v>210.5</v>
      </c>
      <c r="W1244" s="345">
        <v>1278</v>
      </c>
      <c r="X1244" s="345">
        <v>1</v>
      </c>
      <c r="Y1244" s="345">
        <v>199.5</v>
      </c>
      <c r="Z1244" s="345">
        <v>1082.5</v>
      </c>
      <c r="AA1244">
        <f t="shared" si="19"/>
        <v>1</v>
      </c>
    </row>
    <row r="1245" spans="1:27" ht="28.8" x14ac:dyDescent="0.3">
      <c r="A1245" s="345" t="s">
        <v>2909</v>
      </c>
      <c r="B1245" s="805"/>
      <c r="C1245" s="802"/>
      <c r="D1245" s="802"/>
      <c r="E1245" s="803"/>
      <c r="F1245" s="805">
        <v>218</v>
      </c>
      <c r="G1245" s="803"/>
      <c r="H1245" s="345">
        <v>1320</v>
      </c>
      <c r="I1245" s="345">
        <v>3</v>
      </c>
      <c r="J1245" s="345">
        <v>219.5</v>
      </c>
      <c r="K1245" s="345">
        <v>1344.5</v>
      </c>
      <c r="L1245" s="346"/>
      <c r="M1245" s="346"/>
      <c r="N1245" s="346"/>
      <c r="O1245" s="345"/>
      <c r="P1245" s="345"/>
      <c r="Q1245" s="345"/>
      <c r="R1245" s="345"/>
      <c r="S1245" s="345"/>
      <c r="T1245" s="345"/>
      <c r="U1245" s="345">
        <v>2.5</v>
      </c>
      <c r="V1245" s="345">
        <v>213</v>
      </c>
      <c r="W1245" s="345">
        <v>1280.5</v>
      </c>
      <c r="X1245" s="345">
        <v>2</v>
      </c>
      <c r="Y1245" s="345">
        <v>201.5</v>
      </c>
      <c r="Z1245" s="345">
        <v>1084.5</v>
      </c>
      <c r="AA1245">
        <f t="shared" si="19"/>
        <v>3</v>
      </c>
    </row>
    <row r="1246" spans="1:27" ht="28.8" x14ac:dyDescent="0.3">
      <c r="A1246" s="345" t="s">
        <v>2910</v>
      </c>
      <c r="B1246" s="805"/>
      <c r="C1246" s="802"/>
      <c r="D1246" s="802"/>
      <c r="E1246" s="803"/>
      <c r="F1246" s="805">
        <v>221.5</v>
      </c>
      <c r="G1246" s="803"/>
      <c r="H1246" s="345">
        <v>1323.5</v>
      </c>
      <c r="I1246" s="345">
        <v>1</v>
      </c>
      <c r="J1246" s="345">
        <v>220.5</v>
      </c>
      <c r="K1246" s="345">
        <v>1345.5</v>
      </c>
      <c r="L1246" s="346"/>
      <c r="M1246" s="346"/>
      <c r="N1246" s="346"/>
      <c r="O1246" s="345"/>
      <c r="P1246" s="345"/>
      <c r="Q1246" s="345"/>
      <c r="R1246" s="345">
        <v>0</v>
      </c>
      <c r="S1246" s="345">
        <v>47</v>
      </c>
      <c r="T1246" s="345">
        <v>1008.3</v>
      </c>
      <c r="U1246" s="345">
        <v>2.5</v>
      </c>
      <c r="V1246" s="345">
        <v>215.5</v>
      </c>
      <c r="W1246" s="345">
        <v>1283</v>
      </c>
      <c r="X1246" s="345">
        <v>2</v>
      </c>
      <c r="Y1246" s="345">
        <v>203.5</v>
      </c>
      <c r="Z1246" s="345">
        <v>1086.5</v>
      </c>
      <c r="AA1246">
        <f t="shared" si="19"/>
        <v>1</v>
      </c>
    </row>
    <row r="1247" spans="1:27" x14ac:dyDescent="0.3">
      <c r="A1247" s="345"/>
      <c r="B1247" s="345"/>
      <c r="C1247" s="341"/>
      <c r="D1247" s="341"/>
      <c r="E1247" s="342"/>
      <c r="F1247" s="345"/>
      <c r="G1247" s="342"/>
      <c r="H1247" s="345"/>
      <c r="I1247" s="345"/>
      <c r="J1247" s="345"/>
      <c r="K1247" s="345"/>
      <c r="L1247" s="346"/>
      <c r="M1247" s="346"/>
      <c r="N1247" s="346"/>
      <c r="O1247" s="345"/>
      <c r="P1247" s="345"/>
      <c r="Q1247" s="345"/>
      <c r="R1247" s="345"/>
      <c r="S1247" s="345"/>
      <c r="T1247" s="345"/>
      <c r="U1247" s="345"/>
      <c r="V1247" s="345"/>
      <c r="W1247" s="345"/>
      <c r="X1247" s="345"/>
      <c r="Y1247" s="345"/>
      <c r="Z1247" s="345"/>
    </row>
    <row r="1248" spans="1:27" ht="28.8" x14ac:dyDescent="0.3">
      <c r="A1248" s="345" t="s">
        <v>2911</v>
      </c>
      <c r="B1248" s="805"/>
      <c r="C1248" s="802"/>
      <c r="D1248" s="802"/>
      <c r="E1248" s="803"/>
      <c r="F1248" s="805">
        <v>225.5</v>
      </c>
      <c r="G1248" s="803"/>
      <c r="H1248" s="345">
        <v>1327.5</v>
      </c>
      <c r="I1248" s="345">
        <v>5</v>
      </c>
      <c r="J1248" s="345">
        <v>225.5</v>
      </c>
      <c r="K1248" s="345">
        <v>1350.5</v>
      </c>
      <c r="L1248" s="346"/>
      <c r="M1248" s="346"/>
      <c r="N1248" s="346"/>
      <c r="O1248" s="345"/>
      <c r="P1248" s="345"/>
      <c r="Q1248" s="345"/>
      <c r="R1248" s="345">
        <v>0</v>
      </c>
      <c r="S1248" s="345">
        <v>47</v>
      </c>
      <c r="T1248" s="345">
        <v>1008.3</v>
      </c>
      <c r="U1248" s="345">
        <v>3.5</v>
      </c>
      <c r="V1248" s="345">
        <v>219</v>
      </c>
      <c r="W1248" s="345">
        <v>1286.5</v>
      </c>
      <c r="X1248" s="345">
        <v>3.5</v>
      </c>
      <c r="Y1248" s="345">
        <v>207</v>
      </c>
      <c r="Z1248" s="345">
        <v>1090</v>
      </c>
      <c r="AA1248">
        <f t="shared" si="19"/>
        <v>5</v>
      </c>
    </row>
    <row r="1249" spans="1:27" s="362" customFormat="1" ht="28.8" x14ac:dyDescent="0.3">
      <c r="A1249" s="359" t="s">
        <v>2912</v>
      </c>
      <c r="B1249" s="811"/>
      <c r="C1249" s="812"/>
      <c r="D1249" s="812"/>
      <c r="E1249" s="813"/>
      <c r="F1249" s="811">
        <v>229</v>
      </c>
      <c r="G1249" s="813"/>
      <c r="H1249" s="359">
        <v>1331</v>
      </c>
      <c r="I1249" s="359">
        <v>5</v>
      </c>
      <c r="J1249" s="359">
        <v>230.5</v>
      </c>
      <c r="K1249" s="359">
        <v>1355.5</v>
      </c>
      <c r="L1249" s="359"/>
      <c r="M1249" s="359"/>
      <c r="N1249" s="359"/>
      <c r="O1249" s="359"/>
      <c r="P1249" s="359"/>
      <c r="Q1249" s="359"/>
      <c r="R1249" s="359">
        <v>0</v>
      </c>
      <c r="S1249" s="359">
        <v>47</v>
      </c>
      <c r="T1249" s="359">
        <v>1008.3</v>
      </c>
      <c r="U1249" s="359">
        <v>5.5</v>
      </c>
      <c r="V1249" s="359">
        <v>224.5</v>
      </c>
      <c r="W1249" s="359">
        <v>1292</v>
      </c>
      <c r="X1249" s="359">
        <v>4.5</v>
      </c>
      <c r="Y1249" s="359">
        <v>211.5</v>
      </c>
      <c r="Z1249" s="359">
        <v>1094.5</v>
      </c>
      <c r="AA1249" s="362">
        <f t="shared" si="19"/>
        <v>5</v>
      </c>
    </row>
    <row r="1250" spans="1:27" ht="28.8" x14ac:dyDescent="0.3">
      <c r="A1250" s="345" t="s">
        <v>2913</v>
      </c>
      <c r="B1250" s="805"/>
      <c r="C1250" s="802"/>
      <c r="D1250" s="802"/>
      <c r="E1250" s="803"/>
      <c r="F1250" s="805">
        <v>2</v>
      </c>
      <c r="G1250" s="803"/>
      <c r="H1250" s="345">
        <v>1333</v>
      </c>
      <c r="I1250" s="345">
        <v>4</v>
      </c>
      <c r="J1250" s="345">
        <v>4</v>
      </c>
      <c r="K1250" s="345">
        <v>1359.5</v>
      </c>
      <c r="L1250" s="346"/>
      <c r="M1250" s="346"/>
      <c r="N1250" s="346"/>
      <c r="O1250" s="345"/>
      <c r="P1250" s="345"/>
      <c r="Q1250" s="345"/>
      <c r="R1250" s="345">
        <v>0</v>
      </c>
      <c r="S1250" s="345">
        <v>0</v>
      </c>
      <c r="T1250" s="345">
        <v>1008.3</v>
      </c>
      <c r="U1250" s="345">
        <v>2.5</v>
      </c>
      <c r="V1250" s="345">
        <v>2.5</v>
      </c>
      <c r="W1250" s="345">
        <v>1294.5</v>
      </c>
      <c r="X1250" s="345">
        <v>2.5</v>
      </c>
      <c r="Y1250" s="345">
        <v>2.5</v>
      </c>
      <c r="Z1250" s="345">
        <v>1097</v>
      </c>
      <c r="AA1250">
        <f t="shared" si="19"/>
        <v>4</v>
      </c>
    </row>
    <row r="1251" spans="1:27" ht="28.8" x14ac:dyDescent="0.3">
      <c r="A1251" s="345" t="s">
        <v>2914</v>
      </c>
      <c r="B1251" s="805"/>
      <c r="C1251" s="802"/>
      <c r="D1251" s="802"/>
      <c r="E1251" s="803"/>
      <c r="F1251" s="805">
        <v>2</v>
      </c>
      <c r="G1251" s="803"/>
      <c r="H1251" s="345">
        <v>1333</v>
      </c>
      <c r="I1251" s="345">
        <v>0</v>
      </c>
      <c r="J1251" s="345">
        <v>4</v>
      </c>
      <c r="K1251" s="345">
        <v>1359.5</v>
      </c>
      <c r="L1251" s="346"/>
      <c r="M1251" s="346"/>
      <c r="N1251" s="346"/>
      <c r="O1251" s="345"/>
      <c r="P1251" s="345"/>
      <c r="Q1251" s="345"/>
      <c r="R1251" s="345">
        <v>0</v>
      </c>
      <c r="S1251" s="345">
        <v>0</v>
      </c>
      <c r="T1251" s="345">
        <v>1008.3</v>
      </c>
      <c r="U1251" s="345">
        <v>0</v>
      </c>
      <c r="V1251" s="345">
        <v>2.5</v>
      </c>
      <c r="W1251" s="345">
        <v>1294.5</v>
      </c>
      <c r="X1251" s="345">
        <v>0</v>
      </c>
      <c r="Y1251" s="345">
        <v>2.5</v>
      </c>
      <c r="Z1251" s="345">
        <v>1097</v>
      </c>
      <c r="AA1251">
        <f t="shared" si="19"/>
        <v>0</v>
      </c>
    </row>
    <row r="1252" spans="1:27" x14ac:dyDescent="0.3">
      <c r="A1252" s="345"/>
      <c r="B1252" s="370"/>
      <c r="C1252" s="341"/>
      <c r="D1252" s="341"/>
      <c r="E1252" s="342"/>
      <c r="F1252" s="370"/>
      <c r="G1252" s="342"/>
      <c r="H1252" s="345"/>
      <c r="I1252" s="345"/>
      <c r="J1252" s="345"/>
      <c r="K1252" s="345"/>
      <c r="L1252" s="346"/>
      <c r="M1252" s="346"/>
      <c r="N1252" s="346"/>
      <c r="O1252" s="345"/>
      <c r="P1252" s="345"/>
      <c r="Q1252" s="345"/>
      <c r="R1252" s="345"/>
      <c r="S1252" s="345"/>
      <c r="T1252" s="345"/>
      <c r="U1252" s="345"/>
      <c r="V1252" s="345"/>
      <c r="W1252" s="345"/>
      <c r="X1252" s="345"/>
      <c r="Y1252" s="345"/>
      <c r="Z1252" s="345"/>
    </row>
    <row r="1253" spans="1:27" ht="28.8" x14ac:dyDescent="0.3">
      <c r="A1253" s="345" t="s">
        <v>2915</v>
      </c>
      <c r="B1253" s="814"/>
      <c r="C1253" s="815"/>
      <c r="D1253" s="815"/>
      <c r="E1253" s="816"/>
      <c r="F1253" s="814">
        <v>3</v>
      </c>
      <c r="G1253" s="816"/>
      <c r="H1253" s="345">
        <v>1334</v>
      </c>
      <c r="I1253" s="345">
        <v>0.5</v>
      </c>
      <c r="J1253" s="345">
        <v>4.5</v>
      </c>
      <c r="K1253" s="345">
        <v>1360</v>
      </c>
      <c r="L1253" s="346"/>
      <c r="M1253" s="346"/>
      <c r="N1253" s="346"/>
      <c r="O1253" s="345"/>
      <c r="P1253" s="345"/>
      <c r="Q1253" s="345"/>
      <c r="R1253" s="345">
        <v>0</v>
      </c>
      <c r="S1253" s="345">
        <v>0</v>
      </c>
      <c r="T1253" s="345">
        <v>1008.3</v>
      </c>
      <c r="U1253" s="345">
        <v>0.5</v>
      </c>
      <c r="V1253" s="345">
        <v>3</v>
      </c>
      <c r="W1253" s="345">
        <v>1295</v>
      </c>
      <c r="X1253" s="345">
        <v>0.5</v>
      </c>
      <c r="Y1253" s="345">
        <v>3</v>
      </c>
      <c r="Z1253" s="345">
        <v>1097.5</v>
      </c>
      <c r="AA1253">
        <f t="shared" si="19"/>
        <v>0.5</v>
      </c>
    </row>
    <row r="1254" spans="1:27" ht="28.8" x14ac:dyDescent="0.3">
      <c r="A1254" s="345" t="s">
        <v>2916</v>
      </c>
      <c r="B1254" s="805"/>
      <c r="C1254" s="802"/>
      <c r="D1254" s="802"/>
      <c r="E1254" s="803"/>
      <c r="F1254" s="805">
        <v>3</v>
      </c>
      <c r="G1254" s="803"/>
      <c r="H1254" s="345">
        <v>1334</v>
      </c>
      <c r="I1254" s="345">
        <v>0</v>
      </c>
      <c r="J1254" s="345">
        <v>4.5</v>
      </c>
      <c r="K1254" s="345">
        <v>1360</v>
      </c>
      <c r="L1254" s="346"/>
      <c r="M1254" s="346"/>
      <c r="N1254" s="346"/>
      <c r="O1254" s="345"/>
      <c r="P1254" s="345"/>
      <c r="Q1254" s="345"/>
      <c r="R1254" s="345">
        <v>0</v>
      </c>
      <c r="S1254" s="345">
        <v>0</v>
      </c>
      <c r="T1254" s="345">
        <v>1008.3</v>
      </c>
      <c r="U1254" s="345">
        <v>0</v>
      </c>
      <c r="V1254" s="345">
        <v>3</v>
      </c>
      <c r="W1254" s="345">
        <v>1295</v>
      </c>
      <c r="X1254" s="345">
        <v>0</v>
      </c>
      <c r="Y1254" s="345">
        <v>3</v>
      </c>
      <c r="Z1254" s="345">
        <v>1097.5</v>
      </c>
      <c r="AA1254">
        <f t="shared" si="19"/>
        <v>0</v>
      </c>
    </row>
    <row r="1255" spans="1:27" ht="28.8" x14ac:dyDescent="0.3">
      <c r="A1255" s="345" t="s">
        <v>2917</v>
      </c>
      <c r="B1255" s="805"/>
      <c r="C1255" s="802"/>
      <c r="D1255" s="802"/>
      <c r="E1255" s="803"/>
      <c r="F1255" s="805">
        <v>6</v>
      </c>
      <c r="G1255" s="803"/>
      <c r="H1255" s="345">
        <v>1337</v>
      </c>
      <c r="I1255" s="345">
        <v>3.5</v>
      </c>
      <c r="J1255" s="345">
        <v>8</v>
      </c>
      <c r="K1255" s="345">
        <v>1363.5</v>
      </c>
      <c r="L1255" s="346"/>
      <c r="M1255" s="346"/>
      <c r="N1255" s="346"/>
      <c r="O1255" s="345"/>
      <c r="P1255" s="345"/>
      <c r="Q1255" s="345"/>
      <c r="R1255" s="345">
        <v>0</v>
      </c>
      <c r="S1255" s="345">
        <v>0</v>
      </c>
      <c r="T1255" s="345">
        <v>1008.3</v>
      </c>
      <c r="U1255" s="345">
        <v>2.5</v>
      </c>
      <c r="V1255" s="345">
        <v>5.5</v>
      </c>
      <c r="W1255" s="345">
        <v>1297.5</v>
      </c>
      <c r="X1255" s="345">
        <v>2</v>
      </c>
      <c r="Y1255" s="345">
        <v>5</v>
      </c>
      <c r="Z1255" s="345">
        <v>1099.5</v>
      </c>
      <c r="AA1255">
        <f t="shared" si="19"/>
        <v>3.5</v>
      </c>
    </row>
    <row r="1256" spans="1:27" ht="28.8" x14ac:dyDescent="0.3">
      <c r="A1256" s="345" t="s">
        <v>2918</v>
      </c>
      <c r="B1256" s="805"/>
      <c r="C1256" s="802"/>
      <c r="D1256" s="802"/>
      <c r="E1256" s="803"/>
      <c r="F1256" s="805">
        <v>7</v>
      </c>
      <c r="G1256" s="803"/>
      <c r="H1256" s="345">
        <v>1338</v>
      </c>
      <c r="I1256" s="345">
        <v>0.5</v>
      </c>
      <c r="J1256" s="345">
        <v>8.5</v>
      </c>
      <c r="K1256" s="345">
        <v>1364</v>
      </c>
      <c r="L1256" s="346"/>
      <c r="M1256" s="346"/>
      <c r="N1256" s="346"/>
      <c r="O1256" s="345"/>
      <c r="P1256" s="345"/>
      <c r="Q1256" s="345"/>
      <c r="R1256" s="345">
        <v>0</v>
      </c>
      <c r="S1256" s="345">
        <v>0</v>
      </c>
      <c r="T1256" s="345">
        <v>1008.3</v>
      </c>
      <c r="U1256" s="345">
        <v>3</v>
      </c>
      <c r="V1256" s="345">
        <v>8.5</v>
      </c>
      <c r="W1256" s="345">
        <v>1300.5</v>
      </c>
      <c r="X1256" s="345">
        <v>9</v>
      </c>
      <c r="Y1256" s="345">
        <v>14</v>
      </c>
      <c r="Z1256" s="345">
        <v>1108.5</v>
      </c>
      <c r="AA1256">
        <f t="shared" si="19"/>
        <v>0.5</v>
      </c>
    </row>
    <row r="1257" spans="1:27" ht="28.8" x14ac:dyDescent="0.3">
      <c r="A1257" s="345" t="s">
        <v>2919</v>
      </c>
      <c r="B1257" s="805"/>
      <c r="C1257" s="802"/>
      <c r="D1257" s="802"/>
      <c r="E1257" s="803"/>
      <c r="F1257" s="805">
        <v>7</v>
      </c>
      <c r="G1257" s="803"/>
      <c r="H1257" s="345">
        <v>1338</v>
      </c>
      <c r="I1257" s="345">
        <v>0</v>
      </c>
      <c r="J1257" s="345">
        <v>8.5</v>
      </c>
      <c r="K1257" s="345">
        <v>1364</v>
      </c>
      <c r="L1257" s="346"/>
      <c r="M1257" s="346"/>
      <c r="N1257" s="346"/>
      <c r="O1257" s="345"/>
      <c r="P1257" s="345"/>
      <c r="Q1257" s="345"/>
      <c r="R1257" s="345">
        <v>0</v>
      </c>
      <c r="S1257" s="345">
        <v>0</v>
      </c>
      <c r="T1257" s="345">
        <v>1008.3</v>
      </c>
      <c r="U1257" s="345">
        <v>0</v>
      </c>
      <c r="V1257" s="345">
        <v>8.5</v>
      </c>
      <c r="W1257" s="345">
        <v>1300.5</v>
      </c>
      <c r="X1257" s="345">
        <v>0</v>
      </c>
      <c r="Y1257" s="345">
        <v>14</v>
      </c>
      <c r="Z1257" s="345">
        <v>1108.5</v>
      </c>
      <c r="AA1257">
        <f t="shared" si="19"/>
        <v>0</v>
      </c>
    </row>
    <row r="1258" spans="1:27" ht="28.8" x14ac:dyDescent="0.3">
      <c r="A1258" s="345" t="s">
        <v>2920</v>
      </c>
      <c r="B1258" s="805"/>
      <c r="C1258" s="802"/>
      <c r="D1258" s="802"/>
      <c r="E1258" s="803"/>
      <c r="F1258" s="805">
        <v>8</v>
      </c>
      <c r="G1258" s="803"/>
      <c r="H1258" s="345">
        <v>1339</v>
      </c>
      <c r="I1258" s="345">
        <v>0.5</v>
      </c>
      <c r="J1258" s="345">
        <v>9</v>
      </c>
      <c r="K1258" s="345">
        <v>1364.5</v>
      </c>
      <c r="L1258" s="346"/>
      <c r="M1258" s="346"/>
      <c r="N1258" s="346"/>
      <c r="O1258" s="345"/>
      <c r="P1258" s="345"/>
      <c r="Q1258" s="345"/>
      <c r="R1258" s="345">
        <v>0</v>
      </c>
      <c r="S1258" s="345">
        <v>0</v>
      </c>
      <c r="T1258" s="345">
        <v>1008.3</v>
      </c>
      <c r="U1258" s="345">
        <v>2</v>
      </c>
      <c r="V1258" s="345">
        <v>10.5</v>
      </c>
      <c r="W1258" s="345">
        <v>1302.5</v>
      </c>
      <c r="X1258" s="345">
        <v>2</v>
      </c>
      <c r="Y1258" s="345">
        <v>16</v>
      </c>
      <c r="Z1258" s="345">
        <v>1110.5</v>
      </c>
      <c r="AA1258">
        <f t="shared" si="19"/>
        <v>0.5</v>
      </c>
    </row>
    <row r="1259" spans="1:27" ht="28.8" x14ac:dyDescent="0.3">
      <c r="A1259" s="345" t="s">
        <v>2921</v>
      </c>
      <c r="B1259" s="805"/>
      <c r="C1259" s="802"/>
      <c r="D1259" s="802"/>
      <c r="E1259" s="803"/>
      <c r="F1259" s="805">
        <v>8</v>
      </c>
      <c r="G1259" s="803"/>
      <c r="H1259" s="345">
        <v>1339</v>
      </c>
      <c r="I1259" s="345">
        <v>0</v>
      </c>
      <c r="J1259" s="345">
        <v>9</v>
      </c>
      <c r="K1259" s="345">
        <v>1364.5</v>
      </c>
      <c r="L1259" s="346"/>
      <c r="M1259" s="346"/>
      <c r="N1259" s="346"/>
      <c r="O1259" s="345"/>
      <c r="P1259" s="345"/>
      <c r="Q1259" s="345"/>
      <c r="R1259" s="345">
        <v>0</v>
      </c>
      <c r="S1259" s="345">
        <v>0</v>
      </c>
      <c r="T1259" s="345">
        <v>1008.3</v>
      </c>
      <c r="U1259" s="345">
        <v>0.5</v>
      </c>
      <c r="V1259" s="345">
        <v>11</v>
      </c>
      <c r="W1259" s="345">
        <v>1303</v>
      </c>
      <c r="X1259" s="345">
        <v>0.5</v>
      </c>
      <c r="Y1259" s="345">
        <v>16.5</v>
      </c>
      <c r="Z1259" s="345">
        <v>1111</v>
      </c>
      <c r="AA1259">
        <f t="shared" si="19"/>
        <v>0</v>
      </c>
    </row>
    <row r="1260" spans="1:27" ht="28.8" x14ac:dyDescent="0.3">
      <c r="A1260" s="345" t="s">
        <v>2922</v>
      </c>
      <c r="B1260" s="805"/>
      <c r="C1260" s="802"/>
      <c r="D1260" s="802"/>
      <c r="E1260" s="803"/>
      <c r="F1260" s="805">
        <v>8</v>
      </c>
      <c r="G1260" s="803"/>
      <c r="H1260" s="345">
        <v>1339</v>
      </c>
      <c r="I1260" s="345">
        <v>0</v>
      </c>
      <c r="J1260" s="345">
        <v>9</v>
      </c>
      <c r="K1260" s="345">
        <v>1364.5</v>
      </c>
      <c r="L1260" s="346"/>
      <c r="M1260" s="346"/>
      <c r="N1260" s="346"/>
      <c r="O1260" s="345"/>
      <c r="P1260" s="345"/>
      <c r="Q1260" s="345"/>
      <c r="R1260" s="345">
        <v>0</v>
      </c>
      <c r="S1260" s="345">
        <v>0</v>
      </c>
      <c r="T1260" s="345">
        <v>1008.3</v>
      </c>
      <c r="U1260" s="345">
        <v>0</v>
      </c>
      <c r="V1260" s="345">
        <v>11</v>
      </c>
      <c r="W1260" s="345">
        <v>1303</v>
      </c>
      <c r="X1260" s="345">
        <v>0</v>
      </c>
      <c r="Y1260" s="345">
        <v>16.5</v>
      </c>
      <c r="Z1260" s="345">
        <v>1111</v>
      </c>
      <c r="AA1260">
        <f t="shared" si="19"/>
        <v>0</v>
      </c>
    </row>
    <row r="1261" spans="1:27" ht="28.8" x14ac:dyDescent="0.3">
      <c r="A1261" s="345" t="s">
        <v>2923</v>
      </c>
      <c r="B1261" s="805"/>
      <c r="C1261" s="802"/>
      <c r="D1261" s="802"/>
      <c r="E1261" s="803"/>
      <c r="F1261" s="805">
        <v>11.5</v>
      </c>
      <c r="G1261" s="803"/>
      <c r="H1261" s="345">
        <v>1342.5</v>
      </c>
      <c r="I1261" s="345">
        <v>4</v>
      </c>
      <c r="J1261" s="345">
        <v>13</v>
      </c>
      <c r="K1261" s="345">
        <v>1368.5</v>
      </c>
      <c r="L1261" s="346"/>
      <c r="M1261" s="346"/>
      <c r="N1261" s="346"/>
      <c r="O1261" s="345"/>
      <c r="P1261" s="345"/>
      <c r="Q1261" s="345"/>
      <c r="R1261" s="345"/>
      <c r="S1261" s="345"/>
      <c r="T1261" s="345"/>
      <c r="U1261" s="345">
        <v>3.5</v>
      </c>
      <c r="V1261" s="345">
        <v>14.5</v>
      </c>
      <c r="W1261" s="345">
        <v>1306.5</v>
      </c>
      <c r="X1261" s="345">
        <v>3</v>
      </c>
      <c r="Y1261" s="345">
        <v>19.5</v>
      </c>
      <c r="Z1261" s="345">
        <v>1114</v>
      </c>
      <c r="AA1261">
        <f t="shared" si="19"/>
        <v>4</v>
      </c>
    </row>
    <row r="1262" spans="1:27" ht="28.8" x14ac:dyDescent="0.3">
      <c r="A1262" s="345" t="s">
        <v>2924</v>
      </c>
      <c r="B1262" s="805"/>
      <c r="C1262" s="802"/>
      <c r="D1262" s="802"/>
      <c r="E1262" s="803"/>
      <c r="F1262" s="805">
        <v>11.5</v>
      </c>
      <c r="G1262" s="803"/>
      <c r="H1262" s="345">
        <v>1342.5</v>
      </c>
      <c r="I1262" s="345">
        <v>0</v>
      </c>
      <c r="J1262" s="345">
        <v>13</v>
      </c>
      <c r="K1262" s="345">
        <v>1368.5</v>
      </c>
      <c r="L1262" s="346"/>
      <c r="M1262" s="346"/>
      <c r="N1262" s="346"/>
      <c r="O1262" s="345"/>
      <c r="P1262" s="345"/>
      <c r="Q1262" s="345"/>
      <c r="R1262" s="345"/>
      <c r="S1262" s="345"/>
      <c r="T1262" s="345"/>
      <c r="U1262" s="345">
        <v>0</v>
      </c>
      <c r="V1262" s="345">
        <v>14.5</v>
      </c>
      <c r="W1262" s="345">
        <v>1306.5</v>
      </c>
      <c r="X1262" s="345">
        <v>0</v>
      </c>
      <c r="Y1262" s="345">
        <v>19.5</v>
      </c>
      <c r="Z1262" s="345">
        <v>1114</v>
      </c>
      <c r="AA1262">
        <f t="shared" si="19"/>
        <v>0</v>
      </c>
    </row>
    <row r="1263" spans="1:27" ht="28.8" x14ac:dyDescent="0.3">
      <c r="A1263" s="345" t="s">
        <v>2925</v>
      </c>
      <c r="B1263" s="805"/>
      <c r="C1263" s="802"/>
      <c r="D1263" s="802"/>
      <c r="E1263" s="803"/>
      <c r="F1263" s="805">
        <v>71.5</v>
      </c>
      <c r="G1263" s="803"/>
      <c r="H1263" s="345">
        <v>1402.5</v>
      </c>
      <c r="I1263" s="345">
        <v>68.5</v>
      </c>
      <c r="J1263" s="345">
        <v>81.5</v>
      </c>
      <c r="K1263" s="345">
        <v>1437</v>
      </c>
      <c r="L1263" s="346"/>
      <c r="M1263" s="346"/>
      <c r="N1263" s="346"/>
      <c r="O1263" s="345"/>
      <c r="P1263" s="345"/>
      <c r="Q1263" s="345"/>
      <c r="R1263" s="345"/>
      <c r="S1263" s="345"/>
      <c r="T1263" s="345"/>
      <c r="U1263" s="345">
        <v>59</v>
      </c>
      <c r="V1263" s="345">
        <v>73.5</v>
      </c>
      <c r="W1263" s="345">
        <v>1365.5</v>
      </c>
      <c r="X1263" s="345">
        <v>58.5</v>
      </c>
      <c r="Y1263" s="345">
        <v>78</v>
      </c>
      <c r="Z1263" s="345">
        <v>1172.5</v>
      </c>
      <c r="AA1263">
        <f t="shared" si="19"/>
        <v>68.5</v>
      </c>
    </row>
    <row r="1264" spans="1:27" ht="28.8" x14ac:dyDescent="0.3">
      <c r="A1264" s="345" t="s">
        <v>2926</v>
      </c>
      <c r="B1264" s="805"/>
      <c r="C1264" s="802"/>
      <c r="D1264" s="802"/>
      <c r="E1264" s="803"/>
      <c r="F1264" s="805">
        <v>71.5</v>
      </c>
      <c r="G1264" s="803"/>
      <c r="H1264" s="345">
        <v>1402.5</v>
      </c>
      <c r="I1264" s="345">
        <v>0</v>
      </c>
      <c r="J1264" s="345">
        <v>81.5</v>
      </c>
      <c r="K1264" s="345">
        <v>1437</v>
      </c>
      <c r="L1264" s="346"/>
      <c r="M1264" s="346"/>
      <c r="N1264" s="346"/>
      <c r="O1264" s="345"/>
      <c r="P1264" s="345"/>
      <c r="Q1264" s="345"/>
      <c r="R1264" s="345"/>
      <c r="S1264" s="345"/>
      <c r="T1264" s="345"/>
      <c r="U1264" s="345">
        <v>0.5</v>
      </c>
      <c r="V1264" s="345">
        <v>74</v>
      </c>
      <c r="W1264" s="345">
        <v>1366</v>
      </c>
      <c r="X1264" s="345">
        <v>0.5</v>
      </c>
      <c r="Y1264" s="345">
        <v>78.5</v>
      </c>
      <c r="Z1264" s="345">
        <v>1173</v>
      </c>
      <c r="AA1264">
        <f t="shared" si="19"/>
        <v>0</v>
      </c>
    </row>
    <row r="1265" spans="1:27" ht="28.8" x14ac:dyDescent="0.3">
      <c r="A1265" s="345" t="s">
        <v>2927</v>
      </c>
      <c r="B1265" s="805"/>
      <c r="C1265" s="802"/>
      <c r="D1265" s="802"/>
      <c r="E1265" s="803"/>
      <c r="F1265" s="805">
        <v>74</v>
      </c>
      <c r="G1265" s="803"/>
      <c r="H1265" s="345">
        <v>1405</v>
      </c>
      <c r="I1265" s="345">
        <v>2</v>
      </c>
      <c r="J1265" s="345">
        <v>83.5</v>
      </c>
      <c r="K1265" s="345">
        <v>1439</v>
      </c>
      <c r="L1265" s="346"/>
      <c r="M1265" s="346"/>
      <c r="N1265" s="346"/>
      <c r="O1265" s="345"/>
      <c r="P1265" s="345"/>
      <c r="Q1265" s="345"/>
      <c r="R1265" s="345"/>
      <c r="S1265" s="345"/>
      <c r="T1265" s="345"/>
      <c r="U1265" s="345">
        <v>2</v>
      </c>
      <c r="V1265" s="345">
        <v>76</v>
      </c>
      <c r="W1265" s="345">
        <v>1368</v>
      </c>
      <c r="X1265" s="345">
        <v>2.5</v>
      </c>
      <c r="Y1265" s="345">
        <v>81</v>
      </c>
      <c r="Z1265" s="345">
        <v>1175.5</v>
      </c>
      <c r="AA1265">
        <f t="shared" si="19"/>
        <v>2</v>
      </c>
    </row>
    <row r="1266" spans="1:27" ht="28.8" x14ac:dyDescent="0.3">
      <c r="A1266" s="345" t="s">
        <v>2928</v>
      </c>
      <c r="B1266" s="805"/>
      <c r="C1266" s="802"/>
      <c r="D1266" s="802"/>
      <c r="E1266" s="803"/>
      <c r="F1266" s="805">
        <v>75.5</v>
      </c>
      <c r="G1266" s="803"/>
      <c r="H1266" s="345">
        <v>1406.5</v>
      </c>
      <c r="I1266" s="345">
        <v>2</v>
      </c>
      <c r="J1266" s="345">
        <v>85.5</v>
      </c>
      <c r="K1266" s="345">
        <v>1441</v>
      </c>
      <c r="L1266" s="346"/>
      <c r="M1266" s="346"/>
      <c r="N1266" s="346"/>
      <c r="O1266" s="345"/>
      <c r="P1266" s="345"/>
      <c r="Q1266" s="345"/>
      <c r="R1266" s="345"/>
      <c r="S1266" s="345"/>
      <c r="T1266" s="345"/>
      <c r="U1266" s="345">
        <v>0.5</v>
      </c>
      <c r="V1266" s="345">
        <v>76.5</v>
      </c>
      <c r="W1266" s="345">
        <v>1368.5</v>
      </c>
      <c r="X1266" s="345">
        <v>0.5</v>
      </c>
      <c r="Y1266" s="345">
        <v>81.5</v>
      </c>
      <c r="Z1266" s="345">
        <v>1176</v>
      </c>
      <c r="AA1266">
        <f t="shared" si="19"/>
        <v>2</v>
      </c>
    </row>
    <row r="1267" spans="1:27" ht="28.8" x14ac:dyDescent="0.3">
      <c r="A1267" s="345" t="s">
        <v>2929</v>
      </c>
      <c r="B1267" s="805"/>
      <c r="C1267" s="802"/>
      <c r="D1267" s="802"/>
      <c r="E1267" s="803"/>
      <c r="F1267" s="805">
        <v>77</v>
      </c>
      <c r="G1267" s="803"/>
      <c r="H1267" s="345">
        <v>1408</v>
      </c>
      <c r="I1267" s="345">
        <v>2</v>
      </c>
      <c r="J1267" s="345">
        <v>87.5</v>
      </c>
      <c r="K1267" s="345">
        <v>1443</v>
      </c>
      <c r="L1267" s="346"/>
      <c r="M1267" s="346"/>
      <c r="N1267" s="346"/>
      <c r="O1267" s="345"/>
      <c r="P1267" s="345"/>
      <c r="Q1267" s="345"/>
      <c r="R1267" s="345"/>
      <c r="S1267" s="345"/>
      <c r="T1267" s="345"/>
      <c r="U1267" s="345">
        <v>2</v>
      </c>
      <c r="V1267" s="345">
        <v>78.5</v>
      </c>
      <c r="W1267" s="345">
        <v>1370.5</v>
      </c>
      <c r="X1267" s="345">
        <v>1.5</v>
      </c>
      <c r="Y1267" s="345">
        <v>83</v>
      </c>
      <c r="Z1267" s="345">
        <v>1177.5</v>
      </c>
      <c r="AA1267">
        <f t="shared" si="19"/>
        <v>2</v>
      </c>
    </row>
    <row r="1268" spans="1:27" ht="28.8" x14ac:dyDescent="0.3">
      <c r="A1268" s="345" t="s">
        <v>2930</v>
      </c>
      <c r="B1268" s="805"/>
      <c r="C1268" s="802"/>
      <c r="D1268" s="802"/>
      <c r="E1268" s="803"/>
      <c r="F1268" s="805">
        <v>95</v>
      </c>
      <c r="G1268" s="803"/>
      <c r="H1268" s="345">
        <v>1426</v>
      </c>
      <c r="I1268" s="345">
        <v>18.5</v>
      </c>
      <c r="J1268" s="345">
        <v>106</v>
      </c>
      <c r="K1268" s="345">
        <v>1461.5</v>
      </c>
      <c r="L1268" s="346"/>
      <c r="M1268" s="346"/>
      <c r="N1268" s="346"/>
      <c r="O1268" s="345"/>
      <c r="P1268" s="345"/>
      <c r="Q1268" s="345"/>
      <c r="R1268" s="345"/>
      <c r="S1268" s="345"/>
      <c r="T1268" s="345"/>
      <c r="U1268" s="345">
        <v>16.5</v>
      </c>
      <c r="V1268" s="345">
        <v>95</v>
      </c>
      <c r="W1268" s="345">
        <v>1387</v>
      </c>
      <c r="X1268" s="345">
        <v>15.5</v>
      </c>
      <c r="Y1268" s="345">
        <v>98.5</v>
      </c>
      <c r="Z1268" s="345">
        <v>1193</v>
      </c>
      <c r="AA1268">
        <f t="shared" si="19"/>
        <v>18.5</v>
      </c>
    </row>
    <row r="1269" spans="1:27" ht="28.8" x14ac:dyDescent="0.3">
      <c r="A1269" s="345" t="s">
        <v>2931</v>
      </c>
      <c r="B1269" s="805"/>
      <c r="C1269" s="802"/>
      <c r="D1269" s="802"/>
      <c r="E1269" s="803"/>
      <c r="F1269" s="805">
        <v>95</v>
      </c>
      <c r="G1269" s="803"/>
      <c r="H1269" s="345">
        <v>1426</v>
      </c>
      <c r="I1269" s="345">
        <v>0</v>
      </c>
      <c r="J1269" s="345">
        <v>106</v>
      </c>
      <c r="K1269" s="345">
        <v>1461.5</v>
      </c>
      <c r="L1269" s="346"/>
      <c r="M1269" s="346"/>
      <c r="N1269" s="346"/>
      <c r="O1269" s="345"/>
      <c r="P1269" s="345"/>
      <c r="Q1269" s="345"/>
      <c r="R1269" s="345"/>
      <c r="S1269" s="345"/>
      <c r="T1269" s="345"/>
      <c r="U1269" s="345">
        <v>0</v>
      </c>
      <c r="V1269" s="345">
        <v>95</v>
      </c>
      <c r="W1269" s="345">
        <v>1387</v>
      </c>
      <c r="X1269" s="345">
        <v>0</v>
      </c>
      <c r="Y1269" s="345">
        <v>98.5</v>
      </c>
      <c r="Z1269" s="345">
        <v>1193</v>
      </c>
      <c r="AA1269">
        <f t="shared" si="19"/>
        <v>0</v>
      </c>
    </row>
    <row r="1270" spans="1:27" ht="28.8" x14ac:dyDescent="0.3">
      <c r="A1270" s="345" t="s">
        <v>2932</v>
      </c>
      <c r="B1270" s="805"/>
      <c r="C1270" s="802"/>
      <c r="D1270" s="802"/>
      <c r="E1270" s="803"/>
      <c r="F1270" s="805">
        <v>96.5</v>
      </c>
      <c r="G1270" s="803"/>
      <c r="H1270" s="345">
        <v>1427.5</v>
      </c>
      <c r="I1270" s="345">
        <v>1.5</v>
      </c>
      <c r="J1270" s="345">
        <v>107.5</v>
      </c>
      <c r="K1270" s="345">
        <v>1463</v>
      </c>
      <c r="L1270" s="346"/>
      <c r="M1270" s="346"/>
      <c r="N1270" s="346"/>
      <c r="O1270" s="345"/>
      <c r="P1270" s="345"/>
      <c r="Q1270" s="345"/>
      <c r="R1270" s="345"/>
      <c r="S1270" s="345"/>
      <c r="T1270" s="345"/>
      <c r="U1270" s="345">
        <v>1.5</v>
      </c>
      <c r="V1270" s="345">
        <v>96.5</v>
      </c>
      <c r="W1270" s="345">
        <v>1388.5</v>
      </c>
      <c r="X1270" s="345">
        <v>1</v>
      </c>
      <c r="Y1270" s="345">
        <v>99.5</v>
      </c>
      <c r="Z1270" s="345">
        <v>1194</v>
      </c>
      <c r="AA1270">
        <f t="shared" si="19"/>
        <v>1.5</v>
      </c>
    </row>
    <row r="1271" spans="1:27" ht="28.8" x14ac:dyDescent="0.3">
      <c r="A1271" s="345" t="s">
        <v>2933</v>
      </c>
      <c r="B1271" s="805"/>
      <c r="C1271" s="802"/>
      <c r="D1271" s="802"/>
      <c r="E1271" s="803"/>
      <c r="F1271" s="805">
        <v>100</v>
      </c>
      <c r="G1271" s="803"/>
      <c r="H1271" s="345">
        <v>1431</v>
      </c>
      <c r="I1271" s="345">
        <v>2.5</v>
      </c>
      <c r="J1271" s="345">
        <v>110</v>
      </c>
      <c r="K1271" s="345">
        <v>1465.5</v>
      </c>
      <c r="L1271" s="346"/>
      <c r="M1271" s="346"/>
      <c r="N1271" s="346"/>
      <c r="O1271" s="345"/>
      <c r="P1271" s="345"/>
      <c r="Q1271" s="345"/>
      <c r="R1271" s="345"/>
      <c r="S1271" s="345"/>
      <c r="T1271" s="345"/>
      <c r="U1271" s="345">
        <v>2</v>
      </c>
      <c r="V1271" s="345">
        <v>98.5</v>
      </c>
      <c r="W1271" s="345">
        <v>1390.5</v>
      </c>
      <c r="X1271" s="345">
        <v>2</v>
      </c>
      <c r="Y1271" s="345">
        <v>101.5</v>
      </c>
      <c r="Z1271" s="345">
        <v>1196</v>
      </c>
      <c r="AA1271">
        <f t="shared" si="19"/>
        <v>2.5</v>
      </c>
    </row>
    <row r="1272" spans="1:27" ht="28.8" x14ac:dyDescent="0.3">
      <c r="A1272" s="345" t="s">
        <v>2934</v>
      </c>
      <c r="B1272" s="805"/>
      <c r="C1272" s="802"/>
      <c r="D1272" s="802"/>
      <c r="E1272" s="803"/>
      <c r="F1272" s="805">
        <v>100</v>
      </c>
      <c r="G1272" s="803"/>
      <c r="H1272" s="345">
        <v>1431</v>
      </c>
      <c r="I1272" s="345">
        <v>0</v>
      </c>
      <c r="J1272" s="345">
        <v>110</v>
      </c>
      <c r="K1272" s="345">
        <v>1465.5</v>
      </c>
      <c r="L1272" s="346"/>
      <c r="M1272" s="346"/>
      <c r="N1272" s="346"/>
      <c r="O1272" s="345"/>
      <c r="P1272" s="345"/>
      <c r="Q1272" s="345"/>
      <c r="R1272" s="345">
        <v>0</v>
      </c>
      <c r="S1272" s="345">
        <v>0</v>
      </c>
      <c r="T1272" s="345">
        <v>1008.3</v>
      </c>
      <c r="U1272" s="345">
        <v>0</v>
      </c>
      <c r="V1272" s="345">
        <v>98.5</v>
      </c>
      <c r="W1272" s="345">
        <v>1390.5</v>
      </c>
      <c r="X1272" s="345">
        <v>0</v>
      </c>
      <c r="Y1272" s="345">
        <v>101.5</v>
      </c>
      <c r="Z1272" s="345">
        <v>1196</v>
      </c>
      <c r="AA1272">
        <f t="shared" si="19"/>
        <v>0</v>
      </c>
    </row>
    <row r="1273" spans="1:27" ht="28.8" x14ac:dyDescent="0.3">
      <c r="A1273" s="345" t="s">
        <v>2935</v>
      </c>
      <c r="B1273" s="805"/>
      <c r="C1273" s="802"/>
      <c r="D1273" s="802"/>
      <c r="E1273" s="803"/>
      <c r="F1273" s="805">
        <v>100.5</v>
      </c>
      <c r="G1273" s="803"/>
      <c r="H1273" s="345">
        <v>1431.5</v>
      </c>
      <c r="I1273" s="345">
        <v>0.5</v>
      </c>
      <c r="J1273" s="345">
        <v>110.5</v>
      </c>
      <c r="K1273" s="345">
        <v>1466</v>
      </c>
      <c r="L1273" s="346"/>
      <c r="M1273" s="346"/>
      <c r="N1273" s="346"/>
      <c r="O1273" s="345"/>
      <c r="P1273" s="345"/>
      <c r="Q1273" s="345"/>
      <c r="R1273" s="345"/>
      <c r="S1273" s="345"/>
      <c r="T1273" s="345"/>
      <c r="U1273" s="345">
        <v>0.5</v>
      </c>
      <c r="V1273" s="345">
        <v>99</v>
      </c>
      <c r="W1273" s="345">
        <v>1391</v>
      </c>
      <c r="X1273" s="345">
        <v>0.5</v>
      </c>
      <c r="Y1273" s="345">
        <v>102</v>
      </c>
      <c r="Z1273" s="345">
        <v>1196.5</v>
      </c>
      <c r="AA1273">
        <f t="shared" si="19"/>
        <v>0.5</v>
      </c>
    </row>
    <row r="1274" spans="1:27" ht="28.8" x14ac:dyDescent="0.3">
      <c r="A1274" s="345" t="s">
        <v>2936</v>
      </c>
      <c r="B1274" s="805"/>
      <c r="C1274" s="802"/>
      <c r="D1274" s="802"/>
      <c r="E1274" s="803"/>
      <c r="F1274" s="805">
        <v>100.5</v>
      </c>
      <c r="G1274" s="803"/>
      <c r="H1274" s="345">
        <v>1431.5</v>
      </c>
      <c r="I1274" s="345">
        <v>0</v>
      </c>
      <c r="J1274" s="345">
        <v>110.5</v>
      </c>
      <c r="K1274" s="345">
        <v>1466</v>
      </c>
      <c r="L1274" s="346"/>
      <c r="M1274" s="346"/>
      <c r="N1274" s="346"/>
      <c r="O1274" s="345"/>
      <c r="P1274" s="345"/>
      <c r="Q1274" s="345"/>
      <c r="R1274" s="345"/>
      <c r="S1274" s="345"/>
      <c r="T1274" s="345"/>
      <c r="U1274" s="345">
        <v>0</v>
      </c>
      <c r="V1274" s="345">
        <v>99</v>
      </c>
      <c r="W1274" s="345">
        <v>1391</v>
      </c>
      <c r="X1274" s="345">
        <v>0</v>
      </c>
      <c r="Y1274" s="345">
        <v>102</v>
      </c>
      <c r="Z1274" s="345">
        <v>1196.5</v>
      </c>
      <c r="AA1274">
        <f t="shared" si="19"/>
        <v>0</v>
      </c>
    </row>
    <row r="1275" spans="1:27" ht="28.8" x14ac:dyDescent="0.3">
      <c r="A1275" s="345" t="s">
        <v>2937</v>
      </c>
      <c r="B1275" s="805"/>
      <c r="C1275" s="802"/>
      <c r="D1275" s="802"/>
      <c r="E1275" s="803"/>
      <c r="F1275" s="805">
        <v>104</v>
      </c>
      <c r="G1275" s="803"/>
      <c r="H1275" s="345">
        <v>1435</v>
      </c>
      <c r="I1275" s="345">
        <v>4.5</v>
      </c>
      <c r="J1275" s="345">
        <v>115</v>
      </c>
      <c r="K1275" s="345">
        <v>1470.5</v>
      </c>
      <c r="L1275" s="346"/>
      <c r="M1275" s="346"/>
      <c r="N1275" s="346"/>
      <c r="O1275" s="345"/>
      <c r="P1275" s="345"/>
      <c r="Q1275" s="345"/>
      <c r="R1275" s="345"/>
      <c r="S1275" s="345"/>
      <c r="T1275" s="345"/>
      <c r="U1275" s="345">
        <v>4.5</v>
      </c>
      <c r="V1275" s="345">
        <v>103.5</v>
      </c>
      <c r="W1275" s="345">
        <v>1395.5</v>
      </c>
      <c r="X1275" s="345">
        <v>4</v>
      </c>
      <c r="Y1275" s="345">
        <v>106</v>
      </c>
      <c r="Z1275" s="345">
        <v>1200.5</v>
      </c>
      <c r="AA1275">
        <f t="shared" si="19"/>
        <v>4.5</v>
      </c>
    </row>
    <row r="1276" spans="1:27" ht="28.8" x14ac:dyDescent="0.3">
      <c r="A1276" s="345" t="s">
        <v>2938</v>
      </c>
      <c r="B1276" s="805"/>
      <c r="C1276" s="802"/>
      <c r="D1276" s="802"/>
      <c r="E1276" s="803"/>
      <c r="F1276" s="805">
        <v>108</v>
      </c>
      <c r="G1276" s="803"/>
      <c r="H1276" s="345">
        <v>1439</v>
      </c>
      <c r="I1276" s="345">
        <v>4.5</v>
      </c>
      <c r="J1276" s="345">
        <v>119.5</v>
      </c>
      <c r="K1276" s="345">
        <v>1475</v>
      </c>
      <c r="L1276" s="346"/>
      <c r="M1276" s="346"/>
      <c r="N1276" s="346"/>
      <c r="O1276" s="345"/>
      <c r="P1276" s="345"/>
      <c r="Q1276" s="345"/>
      <c r="R1276" s="345"/>
      <c r="S1276" s="345"/>
      <c r="T1276" s="345"/>
      <c r="U1276" s="345">
        <v>4.5</v>
      </c>
      <c r="V1276" s="345">
        <v>108</v>
      </c>
      <c r="W1276" s="345">
        <v>1400</v>
      </c>
      <c r="X1276" s="345">
        <v>3.5</v>
      </c>
      <c r="Y1276" s="345">
        <v>109.5</v>
      </c>
      <c r="Z1276" s="345">
        <v>1204</v>
      </c>
      <c r="AA1276">
        <f t="shared" si="19"/>
        <v>4.5</v>
      </c>
    </row>
    <row r="1277" spans="1:27" ht="28.8" x14ac:dyDescent="0.3">
      <c r="A1277" s="345" t="s">
        <v>2939</v>
      </c>
      <c r="B1277" s="805"/>
      <c r="C1277" s="802"/>
      <c r="D1277" s="802"/>
      <c r="E1277" s="803"/>
      <c r="F1277" s="805">
        <v>108</v>
      </c>
      <c r="G1277" s="803"/>
      <c r="H1277" s="345">
        <v>1439</v>
      </c>
      <c r="I1277" s="345">
        <v>0</v>
      </c>
      <c r="J1277" s="345">
        <v>119.5</v>
      </c>
      <c r="K1277" s="345">
        <v>1475</v>
      </c>
      <c r="L1277" s="346"/>
      <c r="M1277" s="346"/>
      <c r="N1277" s="346"/>
      <c r="O1277" s="345"/>
      <c r="P1277" s="345"/>
      <c r="Q1277" s="345"/>
      <c r="R1277" s="345">
        <v>0</v>
      </c>
      <c r="S1277" s="345">
        <v>0</v>
      </c>
      <c r="T1277" s="345">
        <v>1008.3</v>
      </c>
      <c r="U1277" s="345">
        <v>0</v>
      </c>
      <c r="V1277" s="345">
        <v>108</v>
      </c>
      <c r="W1277" s="345">
        <v>1400</v>
      </c>
      <c r="X1277" s="345">
        <v>0</v>
      </c>
      <c r="Y1277" s="345">
        <v>109.5</v>
      </c>
      <c r="Z1277" s="345">
        <v>1204</v>
      </c>
      <c r="AA1277">
        <f t="shared" si="19"/>
        <v>0</v>
      </c>
    </row>
    <row r="1278" spans="1:27" ht="28.8" x14ac:dyDescent="0.3">
      <c r="A1278" s="345" t="s">
        <v>2940</v>
      </c>
      <c r="B1278" s="805"/>
      <c r="C1278" s="802"/>
      <c r="D1278" s="802"/>
      <c r="E1278" s="803"/>
      <c r="F1278" s="805">
        <v>113.5</v>
      </c>
      <c r="G1278" s="803"/>
      <c r="H1278" s="345">
        <v>1444.5</v>
      </c>
      <c r="I1278" s="345">
        <v>4</v>
      </c>
      <c r="J1278" s="345">
        <v>123.5</v>
      </c>
      <c r="K1278" s="345">
        <v>1479</v>
      </c>
      <c r="L1278" s="346"/>
      <c r="M1278" s="346"/>
      <c r="N1278" s="346"/>
      <c r="O1278" s="345"/>
      <c r="P1278" s="345"/>
      <c r="Q1278" s="345"/>
      <c r="R1278" s="345">
        <v>0</v>
      </c>
      <c r="S1278" s="345">
        <v>0</v>
      </c>
      <c r="T1278" s="345">
        <v>1008.3</v>
      </c>
      <c r="U1278" s="345">
        <v>3</v>
      </c>
      <c r="V1278" s="345">
        <v>111</v>
      </c>
      <c r="W1278" s="345">
        <v>1403</v>
      </c>
      <c r="X1278" s="345">
        <v>3</v>
      </c>
      <c r="Y1278" s="345">
        <v>112.5</v>
      </c>
      <c r="Z1278" s="345">
        <v>1207</v>
      </c>
      <c r="AA1278">
        <f t="shared" si="19"/>
        <v>4</v>
      </c>
    </row>
    <row r="1279" spans="1:27" s="362" customFormat="1" ht="28.8" x14ac:dyDescent="0.3">
      <c r="A1279" s="359" t="s">
        <v>2941</v>
      </c>
      <c r="B1279" s="811"/>
      <c r="C1279" s="812"/>
      <c r="D1279" s="812"/>
      <c r="E1279" s="813"/>
      <c r="F1279" s="811">
        <v>141</v>
      </c>
      <c r="G1279" s="813"/>
      <c r="H1279" s="359">
        <v>1472</v>
      </c>
      <c r="I1279" s="359">
        <v>30</v>
      </c>
      <c r="J1279" s="359">
        <v>153.5</v>
      </c>
      <c r="K1279" s="359">
        <v>1509</v>
      </c>
      <c r="L1279" s="359"/>
      <c r="M1279" s="359"/>
      <c r="N1279" s="359"/>
      <c r="O1279" s="359"/>
      <c r="P1279" s="359"/>
      <c r="Q1279" s="359"/>
      <c r="R1279" s="359"/>
      <c r="S1279" s="359"/>
      <c r="T1279" s="359"/>
      <c r="U1279" s="359">
        <v>33.5</v>
      </c>
      <c r="V1279" s="359">
        <v>144.5</v>
      </c>
      <c r="W1279" s="359">
        <v>1436.5</v>
      </c>
      <c r="X1279" s="359">
        <v>28</v>
      </c>
      <c r="Y1279" s="359">
        <v>140.5</v>
      </c>
      <c r="Z1279" s="359">
        <v>1235</v>
      </c>
      <c r="AA1279" s="362">
        <f t="shared" si="19"/>
        <v>30</v>
      </c>
    </row>
    <row r="1280" spans="1:27" x14ac:dyDescent="0.3">
      <c r="A1280" s="345" t="s">
        <v>2942</v>
      </c>
      <c r="B1280" s="805"/>
      <c r="C1280" s="802"/>
      <c r="D1280" s="802"/>
      <c r="E1280" s="803"/>
      <c r="F1280" s="805">
        <v>10.5</v>
      </c>
      <c r="G1280" s="803"/>
      <c r="H1280" s="345">
        <v>1482.5</v>
      </c>
      <c r="I1280" s="345">
        <v>11.5</v>
      </c>
      <c r="J1280" s="345">
        <v>11.5</v>
      </c>
      <c r="K1280" s="345">
        <v>1520.5</v>
      </c>
      <c r="L1280" s="346"/>
      <c r="M1280" s="346"/>
      <c r="N1280" s="346"/>
      <c r="O1280" s="345"/>
      <c r="P1280" s="345"/>
      <c r="Q1280" s="345"/>
      <c r="R1280" s="345"/>
      <c r="S1280" s="345"/>
      <c r="T1280" s="345"/>
      <c r="U1280" s="345">
        <v>7</v>
      </c>
      <c r="V1280" s="345">
        <v>7</v>
      </c>
      <c r="W1280" s="345">
        <v>1443.5</v>
      </c>
      <c r="X1280" s="345">
        <v>8</v>
      </c>
      <c r="Y1280" s="345">
        <v>8</v>
      </c>
      <c r="Z1280" s="345">
        <v>1243</v>
      </c>
      <c r="AA1280">
        <f t="shared" si="19"/>
        <v>11.5</v>
      </c>
    </row>
    <row r="1281" spans="1:27" x14ac:dyDescent="0.3">
      <c r="A1281" s="345" t="s">
        <v>2943</v>
      </c>
      <c r="B1281" s="805"/>
      <c r="C1281" s="802"/>
      <c r="D1281" s="802"/>
      <c r="E1281" s="803"/>
      <c r="F1281" s="805">
        <v>46.5</v>
      </c>
      <c r="G1281" s="803"/>
      <c r="H1281" s="345">
        <v>1518.5</v>
      </c>
      <c r="I1281" s="345">
        <v>33</v>
      </c>
      <c r="J1281" s="345">
        <v>44.5</v>
      </c>
      <c r="K1281" s="345">
        <v>1553.5</v>
      </c>
      <c r="L1281" s="346"/>
      <c r="M1281" s="346"/>
      <c r="N1281" s="346"/>
      <c r="O1281" s="345"/>
      <c r="P1281" s="345"/>
      <c r="Q1281" s="345"/>
      <c r="R1281" s="345"/>
      <c r="S1281" s="345"/>
      <c r="T1281" s="345"/>
      <c r="U1281" s="345">
        <v>30</v>
      </c>
      <c r="V1281" s="345">
        <v>37</v>
      </c>
      <c r="W1281" s="345">
        <v>1473.5</v>
      </c>
      <c r="X1281" s="345">
        <v>31.5</v>
      </c>
      <c r="Y1281" s="345">
        <v>39.5</v>
      </c>
      <c r="Z1281" s="345">
        <v>1274.5</v>
      </c>
      <c r="AA1281">
        <f t="shared" si="19"/>
        <v>33</v>
      </c>
    </row>
    <row r="1282" spans="1:27" x14ac:dyDescent="0.3">
      <c r="A1282" s="345" t="s">
        <v>2944</v>
      </c>
      <c r="B1282" s="805"/>
      <c r="C1282" s="802"/>
      <c r="D1282" s="802"/>
      <c r="E1282" s="803"/>
      <c r="F1282" s="805">
        <v>56</v>
      </c>
      <c r="G1282" s="803"/>
      <c r="H1282" s="345">
        <v>1528</v>
      </c>
      <c r="I1282" s="345">
        <v>13</v>
      </c>
      <c r="J1282" s="345">
        <v>57.5</v>
      </c>
      <c r="K1282" s="345">
        <v>1566.5</v>
      </c>
      <c r="L1282" s="346"/>
      <c r="M1282" s="346"/>
      <c r="N1282" s="346"/>
      <c r="O1282" s="345"/>
      <c r="P1282" s="345"/>
      <c r="Q1282" s="345"/>
      <c r="R1282" s="345"/>
      <c r="S1282" s="345"/>
      <c r="T1282" s="345"/>
      <c r="U1282" s="345">
        <v>12</v>
      </c>
      <c r="V1282" s="345">
        <v>49</v>
      </c>
      <c r="W1282" s="345">
        <v>1485.5</v>
      </c>
      <c r="X1282" s="345">
        <v>9</v>
      </c>
      <c r="Y1282" s="345">
        <v>48.5</v>
      </c>
      <c r="Z1282" s="345">
        <v>1283.5</v>
      </c>
      <c r="AA1282">
        <f t="shared" si="19"/>
        <v>13</v>
      </c>
    </row>
    <row r="1283" spans="1:27" x14ac:dyDescent="0.3">
      <c r="A1283" s="345" t="s">
        <v>2945</v>
      </c>
      <c r="B1283" s="805"/>
      <c r="C1283" s="802"/>
      <c r="D1283" s="802"/>
      <c r="E1283" s="803"/>
      <c r="F1283" s="805">
        <v>62.5</v>
      </c>
      <c r="G1283" s="803"/>
      <c r="H1283" s="345">
        <v>1534.5</v>
      </c>
      <c r="I1283" s="345">
        <v>7.5</v>
      </c>
      <c r="J1283" s="345">
        <v>65</v>
      </c>
      <c r="K1283" s="345">
        <v>1574</v>
      </c>
      <c r="L1283" s="346"/>
      <c r="M1283" s="346"/>
      <c r="N1283" s="346"/>
      <c r="O1283" s="345"/>
      <c r="P1283" s="345"/>
      <c r="Q1283" s="345"/>
      <c r="R1283" s="345"/>
      <c r="S1283" s="345"/>
      <c r="T1283" s="345"/>
      <c r="U1283" s="345">
        <v>7.5</v>
      </c>
      <c r="V1283" s="345">
        <v>56.5</v>
      </c>
      <c r="W1283" s="345">
        <v>1493</v>
      </c>
      <c r="X1283" s="345">
        <v>7</v>
      </c>
      <c r="Y1283" s="345">
        <v>55.5</v>
      </c>
      <c r="Z1283" s="345">
        <v>1290.5</v>
      </c>
      <c r="AA1283">
        <f t="shared" si="19"/>
        <v>7.5</v>
      </c>
    </row>
    <row r="1284" spans="1:27" x14ac:dyDescent="0.3">
      <c r="A1284" s="345" t="s">
        <v>2946</v>
      </c>
      <c r="B1284" s="805"/>
      <c r="C1284" s="802"/>
      <c r="D1284" s="802"/>
      <c r="E1284" s="803"/>
      <c r="F1284" s="805">
        <v>64.5</v>
      </c>
      <c r="G1284" s="803"/>
      <c r="H1284" s="345">
        <v>1536.5</v>
      </c>
      <c r="I1284" s="345">
        <v>1.5</v>
      </c>
      <c r="J1284" s="345">
        <v>66.5</v>
      </c>
      <c r="K1284" s="345">
        <v>1575.5</v>
      </c>
      <c r="L1284" s="346"/>
      <c r="M1284" s="346"/>
      <c r="N1284" s="346"/>
      <c r="O1284" s="345"/>
      <c r="P1284" s="345"/>
      <c r="Q1284" s="345"/>
      <c r="R1284" s="345"/>
      <c r="S1284" s="345"/>
      <c r="T1284" s="345"/>
      <c r="U1284" s="345">
        <v>1.5</v>
      </c>
      <c r="V1284" s="345">
        <v>58</v>
      </c>
      <c r="W1284" s="345">
        <v>1494.5</v>
      </c>
      <c r="X1284" s="345">
        <v>0.5</v>
      </c>
      <c r="Y1284" s="345">
        <v>56</v>
      </c>
      <c r="Z1284" s="345">
        <v>1291</v>
      </c>
      <c r="AA1284">
        <f t="shared" si="19"/>
        <v>1.5</v>
      </c>
    </row>
    <row r="1285" spans="1:27" x14ac:dyDescent="0.3">
      <c r="A1285" s="345" t="s">
        <v>2947</v>
      </c>
      <c r="B1285" s="805"/>
      <c r="C1285" s="802"/>
      <c r="D1285" s="802"/>
      <c r="E1285" s="803"/>
      <c r="F1285" s="805">
        <v>65</v>
      </c>
      <c r="G1285" s="803"/>
      <c r="H1285" s="345">
        <v>1537</v>
      </c>
      <c r="I1285" s="345">
        <v>0.5</v>
      </c>
      <c r="J1285" s="345">
        <v>67</v>
      </c>
      <c r="K1285" s="345">
        <v>1576</v>
      </c>
      <c r="L1285" s="346"/>
      <c r="M1285" s="346"/>
      <c r="N1285" s="346"/>
      <c r="O1285" s="345"/>
      <c r="P1285" s="345"/>
      <c r="Q1285" s="345"/>
      <c r="R1285" s="345"/>
      <c r="S1285" s="345"/>
      <c r="T1285" s="345"/>
      <c r="U1285" s="345">
        <v>0.5</v>
      </c>
      <c r="V1285" s="345">
        <v>58.5</v>
      </c>
      <c r="W1285" s="345">
        <v>1495</v>
      </c>
      <c r="X1285" s="345">
        <v>0.5</v>
      </c>
      <c r="Y1285" s="345">
        <v>56.5</v>
      </c>
      <c r="Z1285" s="345">
        <v>1291.5</v>
      </c>
      <c r="AA1285">
        <f t="shared" si="19"/>
        <v>0.5</v>
      </c>
    </row>
    <row r="1286" spans="1:27" x14ac:dyDescent="0.3">
      <c r="A1286" s="345" t="s">
        <v>2948</v>
      </c>
      <c r="B1286" s="805"/>
      <c r="C1286" s="802"/>
      <c r="D1286" s="802"/>
      <c r="E1286" s="803"/>
      <c r="F1286" s="805">
        <v>67</v>
      </c>
      <c r="G1286" s="803"/>
      <c r="H1286" s="345">
        <v>1539</v>
      </c>
      <c r="I1286" s="345">
        <v>2</v>
      </c>
      <c r="J1286" s="345">
        <v>69</v>
      </c>
      <c r="K1286" s="345">
        <v>1578</v>
      </c>
      <c r="L1286" s="346"/>
      <c r="M1286" s="346"/>
      <c r="N1286" s="346"/>
      <c r="O1286" s="345"/>
      <c r="P1286" s="345"/>
      <c r="Q1286" s="345"/>
      <c r="R1286" s="345"/>
      <c r="S1286" s="345"/>
      <c r="T1286" s="345"/>
      <c r="U1286" s="345">
        <v>1.5</v>
      </c>
      <c r="V1286" s="345">
        <v>60</v>
      </c>
      <c r="W1286" s="345">
        <v>1496.5</v>
      </c>
      <c r="X1286" s="345">
        <v>1.5</v>
      </c>
      <c r="Y1286" s="345">
        <v>58</v>
      </c>
      <c r="Z1286" s="345">
        <v>1293</v>
      </c>
      <c r="AA1286">
        <f t="shared" si="19"/>
        <v>2</v>
      </c>
    </row>
    <row r="1287" spans="1:27" x14ac:dyDescent="0.3">
      <c r="A1287" s="345" t="s">
        <v>2949</v>
      </c>
      <c r="B1287" s="805"/>
      <c r="C1287" s="802"/>
      <c r="D1287" s="802"/>
      <c r="E1287" s="803"/>
      <c r="F1287" s="805">
        <v>69</v>
      </c>
      <c r="G1287" s="803"/>
      <c r="H1287" s="345">
        <v>1541</v>
      </c>
      <c r="I1287" s="345">
        <v>2</v>
      </c>
      <c r="J1287" s="345">
        <v>71</v>
      </c>
      <c r="K1287" s="345">
        <v>1580</v>
      </c>
      <c r="L1287" s="346"/>
      <c r="M1287" s="346"/>
      <c r="N1287" s="346"/>
      <c r="O1287" s="345"/>
      <c r="P1287" s="345"/>
      <c r="Q1287" s="345"/>
      <c r="R1287" s="345"/>
      <c r="S1287" s="345"/>
      <c r="T1287" s="345"/>
      <c r="U1287" s="345">
        <v>2.5</v>
      </c>
      <c r="V1287" s="345">
        <v>62.5</v>
      </c>
      <c r="W1287" s="345">
        <v>1499</v>
      </c>
      <c r="X1287" s="345">
        <v>2.5</v>
      </c>
      <c r="Y1287" s="345">
        <v>60.5</v>
      </c>
      <c r="Z1287" s="345">
        <v>1295.5</v>
      </c>
      <c r="AA1287">
        <f t="shared" si="19"/>
        <v>2</v>
      </c>
    </row>
    <row r="1288" spans="1:27" x14ac:dyDescent="0.3">
      <c r="A1288" s="345" t="s">
        <v>2950</v>
      </c>
      <c r="B1288" s="805"/>
      <c r="C1288" s="802"/>
      <c r="D1288" s="802"/>
      <c r="E1288" s="803"/>
      <c r="F1288" s="805">
        <v>76</v>
      </c>
      <c r="G1288" s="803"/>
      <c r="H1288" s="345">
        <v>1548</v>
      </c>
      <c r="I1288" s="345">
        <v>8</v>
      </c>
      <c r="J1288" s="345">
        <v>79</v>
      </c>
      <c r="K1288" s="345">
        <v>1588</v>
      </c>
      <c r="L1288" s="346"/>
      <c r="M1288" s="346"/>
      <c r="N1288" s="346"/>
      <c r="O1288" s="345"/>
      <c r="P1288" s="345"/>
      <c r="Q1288" s="345"/>
      <c r="R1288" s="345"/>
      <c r="S1288" s="345"/>
      <c r="T1288" s="345"/>
      <c r="U1288" s="345">
        <v>9</v>
      </c>
      <c r="V1288" s="345">
        <v>71.5</v>
      </c>
      <c r="W1288" s="345">
        <v>1508</v>
      </c>
      <c r="X1288" s="345">
        <v>6.5</v>
      </c>
      <c r="Y1288" s="345">
        <v>67</v>
      </c>
      <c r="Z1288" s="345">
        <v>1302</v>
      </c>
      <c r="AA1288">
        <f t="shared" si="19"/>
        <v>8</v>
      </c>
    </row>
    <row r="1289" spans="1:27" x14ac:dyDescent="0.3">
      <c r="A1289" s="345" t="s">
        <v>2951</v>
      </c>
      <c r="B1289" s="805"/>
      <c r="C1289" s="802"/>
      <c r="D1289" s="802"/>
      <c r="E1289" s="803"/>
      <c r="F1289" s="805">
        <v>94</v>
      </c>
      <c r="G1289" s="803"/>
      <c r="H1289" s="345">
        <v>1566</v>
      </c>
      <c r="I1289" s="345">
        <v>16</v>
      </c>
      <c r="J1289" s="345">
        <v>95</v>
      </c>
      <c r="K1289" s="345">
        <v>1604</v>
      </c>
      <c r="L1289" s="346"/>
      <c r="M1289" s="346"/>
      <c r="N1289" s="346"/>
      <c r="O1289" s="345"/>
      <c r="P1289" s="345"/>
      <c r="Q1289" s="345"/>
      <c r="R1289" s="345"/>
      <c r="S1289" s="345"/>
      <c r="T1289" s="345"/>
      <c r="U1289" s="345">
        <v>18</v>
      </c>
      <c r="V1289" s="345">
        <v>89.5</v>
      </c>
      <c r="W1289" s="345">
        <v>1526</v>
      </c>
      <c r="X1289" s="345">
        <v>17.5</v>
      </c>
      <c r="Y1289" s="345">
        <v>84.5</v>
      </c>
      <c r="Z1289" s="345">
        <v>1319.5</v>
      </c>
      <c r="AA1289">
        <f t="shared" si="19"/>
        <v>16</v>
      </c>
    </row>
    <row r="1290" spans="1:27" x14ac:dyDescent="0.3">
      <c r="A1290" s="345" t="s">
        <v>2952</v>
      </c>
      <c r="B1290" s="805"/>
      <c r="C1290" s="802"/>
      <c r="D1290" s="802"/>
      <c r="E1290" s="803"/>
      <c r="F1290" s="805">
        <v>97.5</v>
      </c>
      <c r="G1290" s="803"/>
      <c r="H1290" s="345">
        <v>1569.5</v>
      </c>
      <c r="I1290" s="345">
        <v>4.5</v>
      </c>
      <c r="J1290" s="345">
        <v>99.5</v>
      </c>
      <c r="K1290" s="345">
        <v>1608.5</v>
      </c>
      <c r="L1290" s="346"/>
      <c r="M1290" s="346"/>
      <c r="N1290" s="346"/>
      <c r="O1290" s="345"/>
      <c r="P1290" s="345"/>
      <c r="Q1290" s="345"/>
      <c r="R1290" s="345"/>
      <c r="S1290" s="345"/>
      <c r="T1290" s="345"/>
      <c r="U1290" s="345">
        <v>5</v>
      </c>
      <c r="V1290" s="345">
        <v>94.5</v>
      </c>
      <c r="W1290" s="345">
        <v>1531</v>
      </c>
      <c r="X1290" s="345">
        <v>4</v>
      </c>
      <c r="Y1290" s="345">
        <v>88.5</v>
      </c>
      <c r="Z1290" s="345">
        <v>1323.5</v>
      </c>
      <c r="AA1290">
        <f t="shared" si="19"/>
        <v>4.5</v>
      </c>
    </row>
    <row r="1291" spans="1:27" x14ac:dyDescent="0.3">
      <c r="A1291" s="345" t="s">
        <v>2953</v>
      </c>
      <c r="B1291" s="805"/>
      <c r="C1291" s="802"/>
      <c r="D1291" s="802"/>
      <c r="E1291" s="803"/>
      <c r="F1291" s="805">
        <v>100.5</v>
      </c>
      <c r="G1291" s="803"/>
      <c r="H1291" s="345">
        <v>1572.5</v>
      </c>
      <c r="I1291" s="345">
        <v>2.5</v>
      </c>
      <c r="J1291" s="345">
        <v>102</v>
      </c>
      <c r="K1291" s="345">
        <v>1611</v>
      </c>
      <c r="L1291" s="346"/>
      <c r="M1291" s="346"/>
      <c r="N1291" s="346"/>
      <c r="O1291" s="345"/>
      <c r="P1291" s="345"/>
      <c r="Q1291" s="345"/>
      <c r="R1291" s="345"/>
      <c r="S1291" s="345"/>
      <c r="T1291" s="345"/>
      <c r="U1291" s="345">
        <v>2</v>
      </c>
      <c r="V1291" s="345">
        <v>96.5</v>
      </c>
      <c r="W1291" s="345">
        <v>1533</v>
      </c>
      <c r="X1291" s="345">
        <v>2.5</v>
      </c>
      <c r="Y1291" s="345">
        <v>91</v>
      </c>
      <c r="Z1291" s="345">
        <v>1326</v>
      </c>
      <c r="AA1291">
        <f t="shared" si="19"/>
        <v>2.5</v>
      </c>
    </row>
    <row r="1292" spans="1:27" x14ac:dyDescent="0.3">
      <c r="A1292" s="345" t="s">
        <v>2954</v>
      </c>
      <c r="B1292" s="805"/>
      <c r="C1292" s="802"/>
      <c r="D1292" s="802"/>
      <c r="E1292" s="803"/>
      <c r="F1292" s="805">
        <v>100.5</v>
      </c>
      <c r="G1292" s="803"/>
      <c r="H1292" s="345">
        <v>1572.5</v>
      </c>
      <c r="I1292" s="345">
        <v>0.5</v>
      </c>
      <c r="J1292" s="345">
        <v>102.5</v>
      </c>
      <c r="K1292" s="345">
        <v>1611.5</v>
      </c>
      <c r="L1292" s="346"/>
      <c r="M1292" s="346"/>
      <c r="N1292" s="346"/>
      <c r="O1292" s="345"/>
      <c r="P1292" s="345"/>
      <c r="Q1292" s="345"/>
      <c r="R1292" s="345"/>
      <c r="S1292" s="345"/>
      <c r="T1292" s="345"/>
      <c r="U1292" s="345">
        <v>0.5</v>
      </c>
      <c r="V1292" s="345">
        <v>97</v>
      </c>
      <c r="W1292" s="345">
        <v>1533.5</v>
      </c>
      <c r="X1292" s="345">
        <v>0</v>
      </c>
      <c r="Y1292" s="345">
        <v>91</v>
      </c>
      <c r="Z1292" s="345">
        <v>1326</v>
      </c>
      <c r="AA1292">
        <f t="shared" si="19"/>
        <v>0.5</v>
      </c>
    </row>
    <row r="1293" spans="1:27" x14ac:dyDescent="0.3">
      <c r="A1293" s="345" t="s">
        <v>2955</v>
      </c>
      <c r="B1293" s="805"/>
      <c r="C1293" s="802"/>
      <c r="D1293" s="802"/>
      <c r="E1293" s="803"/>
      <c r="F1293" s="805">
        <v>107.5</v>
      </c>
      <c r="G1293" s="803"/>
      <c r="H1293" s="345">
        <v>1579.5</v>
      </c>
      <c r="I1293" s="345">
        <v>4.5</v>
      </c>
      <c r="J1293" s="345">
        <v>107</v>
      </c>
      <c r="K1293" s="345">
        <v>1616</v>
      </c>
      <c r="L1293" s="346"/>
      <c r="M1293" s="346"/>
      <c r="N1293" s="346"/>
      <c r="O1293" s="345"/>
      <c r="P1293" s="345"/>
      <c r="Q1293" s="345"/>
      <c r="R1293" s="345"/>
      <c r="S1293" s="345"/>
      <c r="T1293" s="345"/>
      <c r="U1293" s="345">
        <v>6.5</v>
      </c>
      <c r="V1293" s="345">
        <v>103.5</v>
      </c>
      <c r="W1293" s="345">
        <v>1540</v>
      </c>
      <c r="X1293" s="345">
        <v>4.5</v>
      </c>
      <c r="Y1293" s="345">
        <v>95.5</v>
      </c>
      <c r="Z1293" s="345">
        <v>1330.5</v>
      </c>
      <c r="AA1293">
        <f t="shared" si="19"/>
        <v>4.5</v>
      </c>
    </row>
    <row r="1294" spans="1:27" x14ac:dyDescent="0.3">
      <c r="A1294" s="345" t="s">
        <v>2956</v>
      </c>
      <c r="B1294" s="805"/>
      <c r="C1294" s="802"/>
      <c r="D1294" s="802"/>
      <c r="E1294" s="803"/>
      <c r="F1294" s="805">
        <v>109.5</v>
      </c>
      <c r="G1294" s="803"/>
      <c r="H1294" s="345">
        <v>1581.5</v>
      </c>
      <c r="I1294" s="345">
        <v>1.5</v>
      </c>
      <c r="J1294" s="345">
        <v>108.5</v>
      </c>
      <c r="K1294" s="345">
        <v>1617.5</v>
      </c>
      <c r="L1294" s="346"/>
      <c r="M1294" s="346"/>
      <c r="N1294" s="346"/>
      <c r="O1294" s="345"/>
      <c r="P1294" s="345"/>
      <c r="Q1294" s="345"/>
      <c r="R1294" s="345"/>
      <c r="S1294" s="345"/>
      <c r="T1294" s="345"/>
      <c r="U1294" s="345">
        <v>1.5</v>
      </c>
      <c r="V1294" s="345">
        <v>105</v>
      </c>
      <c r="W1294" s="345">
        <v>1541.5</v>
      </c>
      <c r="X1294" s="345">
        <v>1</v>
      </c>
      <c r="Y1294" s="345">
        <v>96.5</v>
      </c>
      <c r="Z1294" s="345">
        <v>1331.5</v>
      </c>
      <c r="AA1294">
        <f t="shared" si="19"/>
        <v>1.5</v>
      </c>
    </row>
    <row r="1295" spans="1:27" x14ac:dyDescent="0.3">
      <c r="A1295" s="345" t="s">
        <v>2957</v>
      </c>
      <c r="B1295" s="805"/>
      <c r="C1295" s="802"/>
      <c r="D1295" s="802"/>
      <c r="E1295" s="803"/>
      <c r="F1295" s="805">
        <v>149.5</v>
      </c>
      <c r="G1295" s="803"/>
      <c r="H1295" s="345">
        <v>1621.5</v>
      </c>
      <c r="I1295" s="345">
        <v>40.5</v>
      </c>
      <c r="J1295" s="345">
        <v>149</v>
      </c>
      <c r="K1295" s="345">
        <v>1658</v>
      </c>
      <c r="L1295" s="346"/>
      <c r="M1295" s="346"/>
      <c r="N1295" s="346"/>
      <c r="O1295" s="345"/>
      <c r="P1295" s="345"/>
      <c r="Q1295" s="345"/>
      <c r="R1295" s="345"/>
      <c r="S1295" s="345"/>
      <c r="T1295" s="345"/>
      <c r="U1295" s="345">
        <v>39</v>
      </c>
      <c r="V1295" s="345">
        <v>144</v>
      </c>
      <c r="W1295" s="345">
        <v>1580.5</v>
      </c>
      <c r="X1295" s="345">
        <v>38.5</v>
      </c>
      <c r="Y1295" s="345">
        <v>135</v>
      </c>
      <c r="Z1295" s="345">
        <v>1370</v>
      </c>
      <c r="AA1295">
        <f t="shared" si="19"/>
        <v>40.5</v>
      </c>
    </row>
    <row r="1296" spans="1:27" x14ac:dyDescent="0.3">
      <c r="A1296" s="345" t="s">
        <v>2958</v>
      </c>
      <c r="B1296" s="805"/>
      <c r="C1296" s="802"/>
      <c r="D1296" s="802"/>
      <c r="E1296" s="803"/>
      <c r="F1296" s="805">
        <v>149.5</v>
      </c>
      <c r="G1296" s="803"/>
      <c r="H1296" s="345">
        <v>1621.5</v>
      </c>
      <c r="I1296" s="345">
        <v>0</v>
      </c>
      <c r="J1296" s="345">
        <v>149</v>
      </c>
      <c r="K1296" s="345">
        <v>1658</v>
      </c>
      <c r="L1296" s="346"/>
      <c r="M1296" s="346"/>
      <c r="N1296" s="346"/>
      <c r="O1296" s="345"/>
      <c r="P1296" s="345"/>
      <c r="Q1296" s="345"/>
      <c r="R1296" s="345"/>
      <c r="S1296" s="345"/>
      <c r="T1296" s="345"/>
      <c r="U1296" s="345">
        <v>0</v>
      </c>
      <c r="V1296" s="345">
        <v>144</v>
      </c>
      <c r="W1296" s="345">
        <v>1580.5</v>
      </c>
      <c r="X1296" s="345">
        <v>0</v>
      </c>
      <c r="Y1296" s="345">
        <v>135</v>
      </c>
      <c r="Z1296" s="345">
        <v>1370</v>
      </c>
      <c r="AA1296">
        <f t="shared" si="19"/>
        <v>0</v>
      </c>
    </row>
    <row r="1297" spans="1:27" x14ac:dyDescent="0.3">
      <c r="A1297" s="345" t="s">
        <v>2959</v>
      </c>
      <c r="B1297" s="805"/>
      <c r="C1297" s="802"/>
      <c r="D1297" s="802"/>
      <c r="E1297" s="803"/>
      <c r="F1297" s="805">
        <v>149.5</v>
      </c>
      <c r="G1297" s="803"/>
      <c r="H1297" s="345">
        <v>1621.5</v>
      </c>
      <c r="I1297" s="345">
        <v>0</v>
      </c>
      <c r="J1297" s="345">
        <v>149</v>
      </c>
      <c r="K1297" s="345">
        <v>1658</v>
      </c>
      <c r="L1297" s="346"/>
      <c r="M1297" s="346"/>
      <c r="N1297" s="346"/>
      <c r="O1297" s="345"/>
      <c r="P1297" s="345"/>
      <c r="Q1297" s="345"/>
      <c r="R1297" s="345"/>
      <c r="S1297" s="345"/>
      <c r="T1297" s="345"/>
      <c r="U1297" s="345">
        <v>0</v>
      </c>
      <c r="V1297" s="345">
        <v>144</v>
      </c>
      <c r="W1297" s="345">
        <v>1580.5</v>
      </c>
      <c r="X1297" s="345">
        <v>0</v>
      </c>
      <c r="Y1297" s="345">
        <v>135</v>
      </c>
      <c r="Z1297" s="345">
        <v>1370</v>
      </c>
      <c r="AA1297">
        <f t="shared" ref="AA1297:AA1361" si="20">MAX(B1297+I1297+L1297+O1297)</f>
        <v>0</v>
      </c>
    </row>
    <row r="1298" spans="1:27" x14ac:dyDescent="0.3">
      <c r="A1298" s="345" t="s">
        <v>2960</v>
      </c>
      <c r="B1298" s="805"/>
      <c r="C1298" s="802"/>
      <c r="D1298" s="802"/>
      <c r="E1298" s="803"/>
      <c r="F1298" s="805">
        <v>149.5</v>
      </c>
      <c r="G1298" s="803"/>
      <c r="H1298" s="345">
        <v>1621.5</v>
      </c>
      <c r="I1298" s="345">
        <v>0</v>
      </c>
      <c r="J1298" s="345">
        <v>149</v>
      </c>
      <c r="K1298" s="345">
        <v>1658</v>
      </c>
      <c r="L1298" s="346"/>
      <c r="M1298" s="346"/>
      <c r="N1298" s="346"/>
      <c r="O1298" s="345"/>
      <c r="P1298" s="345"/>
      <c r="Q1298" s="345"/>
      <c r="R1298" s="345">
        <v>0</v>
      </c>
      <c r="S1298" s="345">
        <v>0</v>
      </c>
      <c r="T1298" s="345">
        <v>1008.3</v>
      </c>
      <c r="U1298" s="345">
        <v>0</v>
      </c>
      <c r="V1298" s="345">
        <v>144</v>
      </c>
      <c r="W1298" s="345">
        <v>1580.5</v>
      </c>
      <c r="X1298" s="345">
        <v>0</v>
      </c>
      <c r="Y1298" s="345">
        <v>135</v>
      </c>
      <c r="Z1298" s="345">
        <v>1370</v>
      </c>
      <c r="AA1298">
        <f t="shared" si="20"/>
        <v>0</v>
      </c>
    </row>
    <row r="1299" spans="1:27" x14ac:dyDescent="0.3">
      <c r="A1299" s="345" t="s">
        <v>2961</v>
      </c>
      <c r="B1299" s="805"/>
      <c r="C1299" s="802"/>
      <c r="D1299" s="802"/>
      <c r="E1299" s="803"/>
      <c r="F1299" s="805">
        <v>149.5</v>
      </c>
      <c r="G1299" s="803"/>
      <c r="H1299" s="345">
        <v>1621.5</v>
      </c>
      <c r="I1299" s="345">
        <v>0</v>
      </c>
      <c r="J1299" s="345">
        <v>149</v>
      </c>
      <c r="K1299" s="345">
        <v>1658</v>
      </c>
      <c r="L1299" s="346"/>
      <c r="M1299" s="346"/>
      <c r="N1299" s="346"/>
      <c r="O1299" s="345"/>
      <c r="P1299" s="345"/>
      <c r="Q1299" s="345"/>
      <c r="R1299" s="345">
        <v>0</v>
      </c>
      <c r="S1299" s="345">
        <v>0</v>
      </c>
      <c r="T1299" s="345">
        <v>1008.3</v>
      </c>
      <c r="U1299" s="345">
        <v>0</v>
      </c>
      <c r="V1299" s="345">
        <v>144</v>
      </c>
      <c r="W1299" s="345">
        <v>1580.5</v>
      </c>
      <c r="X1299" s="345">
        <v>0</v>
      </c>
      <c r="Y1299" s="345">
        <v>135</v>
      </c>
      <c r="Z1299" s="345">
        <v>1370</v>
      </c>
      <c r="AA1299">
        <f t="shared" si="20"/>
        <v>0</v>
      </c>
    </row>
    <row r="1300" spans="1:27" x14ac:dyDescent="0.3">
      <c r="A1300" s="345" t="s">
        <v>2962</v>
      </c>
      <c r="B1300" s="805"/>
      <c r="C1300" s="802"/>
      <c r="D1300" s="802"/>
      <c r="E1300" s="803"/>
      <c r="F1300" s="805">
        <v>149.5</v>
      </c>
      <c r="G1300" s="803"/>
      <c r="H1300" s="345">
        <v>1621.5</v>
      </c>
      <c r="I1300" s="345">
        <v>0</v>
      </c>
      <c r="J1300" s="345">
        <v>149</v>
      </c>
      <c r="K1300" s="345">
        <v>1658</v>
      </c>
      <c r="L1300" s="346"/>
      <c r="M1300" s="346"/>
      <c r="N1300" s="346"/>
      <c r="O1300" s="345"/>
      <c r="P1300" s="345"/>
      <c r="Q1300" s="345"/>
      <c r="R1300" s="345">
        <v>0</v>
      </c>
      <c r="S1300" s="345">
        <v>0</v>
      </c>
      <c r="T1300" s="345">
        <v>1008.3</v>
      </c>
      <c r="U1300" s="345">
        <v>0</v>
      </c>
      <c r="V1300" s="345">
        <v>144</v>
      </c>
      <c r="W1300" s="345">
        <v>1580.5</v>
      </c>
      <c r="X1300" s="345">
        <v>0</v>
      </c>
      <c r="Y1300" s="345">
        <v>135</v>
      </c>
      <c r="Z1300" s="345">
        <v>1370</v>
      </c>
      <c r="AA1300">
        <f t="shared" si="20"/>
        <v>0</v>
      </c>
    </row>
    <row r="1301" spans="1:27" x14ac:dyDescent="0.3">
      <c r="A1301" s="345" t="s">
        <v>2963</v>
      </c>
      <c r="B1301" s="805"/>
      <c r="C1301" s="802"/>
      <c r="D1301" s="802"/>
      <c r="E1301" s="803"/>
      <c r="F1301" s="805">
        <v>180.5</v>
      </c>
      <c r="G1301" s="803"/>
      <c r="H1301" s="345">
        <v>1652.5</v>
      </c>
      <c r="I1301" s="345">
        <v>42</v>
      </c>
      <c r="J1301" s="345">
        <v>191</v>
      </c>
      <c r="K1301" s="345">
        <v>1700</v>
      </c>
      <c r="L1301" s="346"/>
      <c r="M1301" s="346"/>
      <c r="N1301" s="346"/>
      <c r="O1301" s="345"/>
      <c r="P1301" s="345"/>
      <c r="Q1301" s="345"/>
      <c r="R1301" s="345">
        <v>0</v>
      </c>
      <c r="S1301" s="345">
        <v>0</v>
      </c>
      <c r="T1301" s="345">
        <v>1008.3</v>
      </c>
      <c r="U1301" s="345">
        <v>37.5</v>
      </c>
      <c r="V1301" s="345">
        <v>181.5</v>
      </c>
      <c r="W1301" s="345">
        <v>1618</v>
      </c>
      <c r="X1301" s="345">
        <v>29.5</v>
      </c>
      <c r="Y1301" s="345">
        <v>164.5</v>
      </c>
      <c r="Z1301" s="345">
        <v>1399.5</v>
      </c>
      <c r="AA1301">
        <f t="shared" si="20"/>
        <v>42</v>
      </c>
    </row>
    <row r="1302" spans="1:27" x14ac:dyDescent="0.3">
      <c r="A1302" s="345" t="s">
        <v>2964</v>
      </c>
      <c r="B1302" s="805"/>
      <c r="C1302" s="802"/>
      <c r="D1302" s="802"/>
      <c r="E1302" s="803"/>
      <c r="F1302" s="805">
        <v>180.5</v>
      </c>
      <c r="G1302" s="803"/>
      <c r="H1302" s="345">
        <v>1652.5</v>
      </c>
      <c r="I1302" s="345">
        <v>0</v>
      </c>
      <c r="J1302" s="345">
        <v>191</v>
      </c>
      <c r="K1302" s="345">
        <v>1700</v>
      </c>
      <c r="L1302" s="346"/>
      <c r="M1302" s="346"/>
      <c r="N1302" s="346"/>
      <c r="O1302" s="345"/>
      <c r="P1302" s="345"/>
      <c r="Q1302" s="345"/>
      <c r="R1302" s="345">
        <v>0</v>
      </c>
      <c r="S1302" s="345">
        <v>0</v>
      </c>
      <c r="T1302" s="345">
        <v>1008.3</v>
      </c>
      <c r="U1302" s="345">
        <v>0</v>
      </c>
      <c r="V1302" s="345">
        <v>181.5</v>
      </c>
      <c r="W1302" s="345">
        <v>1618</v>
      </c>
      <c r="X1302" s="345">
        <v>0</v>
      </c>
      <c r="Y1302" s="345">
        <v>164.5</v>
      </c>
      <c r="Z1302" s="345">
        <v>1399.5</v>
      </c>
      <c r="AA1302">
        <f t="shared" si="20"/>
        <v>0</v>
      </c>
    </row>
    <row r="1303" spans="1:27" x14ac:dyDescent="0.3">
      <c r="A1303" s="345"/>
      <c r="B1303" s="345"/>
      <c r="C1303" s="341"/>
      <c r="D1303" s="341"/>
      <c r="E1303" s="342"/>
      <c r="F1303" s="345"/>
      <c r="G1303" s="342"/>
      <c r="H1303" s="345"/>
      <c r="I1303" s="345"/>
      <c r="J1303" s="345"/>
      <c r="K1303" s="345"/>
      <c r="L1303" s="346"/>
      <c r="M1303" s="346"/>
      <c r="N1303" s="346"/>
      <c r="O1303" s="345"/>
      <c r="P1303" s="345"/>
      <c r="Q1303" s="345"/>
      <c r="R1303" s="345"/>
      <c r="S1303" s="345"/>
      <c r="T1303" s="345"/>
      <c r="U1303" s="345"/>
      <c r="V1303" s="345"/>
      <c r="W1303" s="345"/>
      <c r="X1303" s="345"/>
      <c r="Y1303" s="345"/>
      <c r="Z1303" s="345"/>
    </row>
    <row r="1304" spans="1:27" x14ac:dyDescent="0.3">
      <c r="A1304" s="345" t="s">
        <v>2965</v>
      </c>
      <c r="B1304" s="805"/>
      <c r="C1304" s="802"/>
      <c r="D1304" s="802"/>
      <c r="E1304" s="803"/>
      <c r="F1304" s="805">
        <v>180.5</v>
      </c>
      <c r="G1304" s="803"/>
      <c r="H1304" s="345">
        <v>1652.5</v>
      </c>
      <c r="I1304" s="345">
        <v>0</v>
      </c>
      <c r="J1304" s="345">
        <v>191</v>
      </c>
      <c r="K1304" s="345">
        <v>1700</v>
      </c>
      <c r="L1304" s="346"/>
      <c r="M1304" s="346"/>
      <c r="N1304" s="346"/>
      <c r="O1304" s="345"/>
      <c r="P1304" s="345"/>
      <c r="Q1304" s="345"/>
      <c r="R1304" s="345">
        <v>0</v>
      </c>
      <c r="S1304" s="345">
        <v>0</v>
      </c>
      <c r="T1304" s="345">
        <v>1008.3</v>
      </c>
      <c r="U1304" s="345">
        <v>0</v>
      </c>
      <c r="V1304" s="345">
        <v>181.5</v>
      </c>
      <c r="W1304" s="345">
        <v>1618</v>
      </c>
      <c r="X1304" s="345">
        <v>0</v>
      </c>
      <c r="Y1304" s="345">
        <v>164.5</v>
      </c>
      <c r="Z1304" s="345">
        <v>1399.5</v>
      </c>
      <c r="AA1304">
        <f t="shared" si="20"/>
        <v>0</v>
      </c>
    </row>
    <row r="1305" spans="1:27" x14ac:dyDescent="0.3">
      <c r="A1305" s="345" t="s">
        <v>2966</v>
      </c>
      <c r="B1305" s="805"/>
      <c r="C1305" s="802"/>
      <c r="D1305" s="802"/>
      <c r="E1305" s="803"/>
      <c r="F1305" s="805">
        <v>181</v>
      </c>
      <c r="G1305" s="803"/>
      <c r="H1305" s="345">
        <v>1653</v>
      </c>
      <c r="I1305" s="345">
        <v>0</v>
      </c>
      <c r="J1305" s="345">
        <v>191</v>
      </c>
      <c r="K1305" s="345">
        <v>1700</v>
      </c>
      <c r="L1305" s="346"/>
      <c r="M1305" s="346"/>
      <c r="N1305" s="346"/>
      <c r="O1305" s="345"/>
      <c r="P1305" s="345"/>
      <c r="Q1305" s="345"/>
      <c r="R1305" s="345">
        <v>0</v>
      </c>
      <c r="S1305" s="345">
        <v>0</v>
      </c>
      <c r="T1305" s="345">
        <v>1008.3</v>
      </c>
      <c r="U1305" s="345">
        <v>0.5</v>
      </c>
      <c r="V1305" s="345">
        <v>182</v>
      </c>
      <c r="W1305" s="345">
        <v>1618.5</v>
      </c>
      <c r="X1305" s="345">
        <v>0.5</v>
      </c>
      <c r="Y1305" s="345">
        <v>165</v>
      </c>
      <c r="Z1305" s="345">
        <v>1400</v>
      </c>
      <c r="AA1305">
        <f t="shared" si="20"/>
        <v>0</v>
      </c>
    </row>
    <row r="1306" spans="1:27" x14ac:dyDescent="0.3">
      <c r="A1306" s="345" t="s">
        <v>2967</v>
      </c>
      <c r="B1306" s="805"/>
      <c r="C1306" s="802"/>
      <c r="D1306" s="802"/>
      <c r="E1306" s="803"/>
      <c r="F1306" s="805">
        <v>181.5</v>
      </c>
      <c r="G1306" s="803"/>
      <c r="H1306" s="345">
        <v>1653.5</v>
      </c>
      <c r="I1306" s="345">
        <v>0</v>
      </c>
      <c r="J1306" s="345">
        <v>191</v>
      </c>
      <c r="K1306" s="345">
        <v>1700</v>
      </c>
      <c r="L1306" s="346"/>
      <c r="M1306" s="346"/>
      <c r="N1306" s="346"/>
      <c r="O1306" s="345"/>
      <c r="P1306" s="345"/>
      <c r="Q1306" s="345"/>
      <c r="R1306" s="345">
        <v>0</v>
      </c>
      <c r="S1306" s="345">
        <v>0</v>
      </c>
      <c r="T1306" s="345">
        <v>1008.3</v>
      </c>
      <c r="U1306" s="345">
        <v>0.5</v>
      </c>
      <c r="V1306" s="345">
        <v>182.5</v>
      </c>
      <c r="W1306" s="345">
        <v>1619</v>
      </c>
      <c r="X1306" s="345">
        <v>0</v>
      </c>
      <c r="Y1306" s="345">
        <v>165</v>
      </c>
      <c r="Z1306" s="345">
        <v>1400</v>
      </c>
      <c r="AA1306">
        <f t="shared" si="20"/>
        <v>0</v>
      </c>
    </row>
    <row r="1307" spans="1:27" x14ac:dyDescent="0.3">
      <c r="A1307" s="345" t="s">
        <v>2968</v>
      </c>
      <c r="B1307" s="805"/>
      <c r="C1307" s="802"/>
      <c r="D1307" s="802"/>
      <c r="E1307" s="803"/>
      <c r="F1307" s="805">
        <v>181.5</v>
      </c>
      <c r="G1307" s="803"/>
      <c r="H1307" s="345">
        <v>1653.5</v>
      </c>
      <c r="I1307" s="345">
        <v>0</v>
      </c>
      <c r="J1307" s="345">
        <v>191</v>
      </c>
      <c r="K1307" s="345">
        <v>1700</v>
      </c>
      <c r="L1307" s="346"/>
      <c r="M1307" s="346"/>
      <c r="N1307" s="346"/>
      <c r="O1307" s="345"/>
      <c r="P1307" s="345"/>
      <c r="Q1307" s="345"/>
      <c r="R1307" s="345">
        <v>0</v>
      </c>
      <c r="S1307" s="345">
        <v>0</v>
      </c>
      <c r="T1307" s="345">
        <v>1008.3</v>
      </c>
      <c r="U1307" s="345">
        <v>0</v>
      </c>
      <c r="V1307" s="345">
        <v>182.5</v>
      </c>
      <c r="W1307" s="345">
        <v>1619</v>
      </c>
      <c r="X1307" s="345">
        <v>0</v>
      </c>
      <c r="Y1307" s="345">
        <v>165</v>
      </c>
      <c r="Z1307" s="345">
        <v>1400</v>
      </c>
      <c r="AA1307">
        <f t="shared" si="20"/>
        <v>0</v>
      </c>
    </row>
    <row r="1308" spans="1:27" x14ac:dyDescent="0.3">
      <c r="A1308" s="345" t="s">
        <v>2969</v>
      </c>
      <c r="B1308" s="805"/>
      <c r="C1308" s="802"/>
      <c r="D1308" s="802"/>
      <c r="E1308" s="803"/>
      <c r="F1308" s="805">
        <v>181.5</v>
      </c>
      <c r="G1308" s="803"/>
      <c r="H1308" s="345">
        <v>1653.5</v>
      </c>
      <c r="I1308" s="345">
        <v>0</v>
      </c>
      <c r="J1308" s="345">
        <v>191</v>
      </c>
      <c r="K1308" s="345">
        <v>1700</v>
      </c>
      <c r="L1308" s="346"/>
      <c r="M1308" s="346"/>
      <c r="N1308" s="346"/>
      <c r="O1308" s="345"/>
      <c r="P1308" s="345"/>
      <c r="Q1308" s="345"/>
      <c r="R1308" s="345">
        <v>0</v>
      </c>
      <c r="S1308" s="345">
        <v>0</v>
      </c>
      <c r="T1308" s="345">
        <v>1008.3</v>
      </c>
      <c r="U1308" s="345">
        <v>0</v>
      </c>
      <c r="V1308" s="345">
        <v>182.5</v>
      </c>
      <c r="W1308" s="345">
        <v>1619</v>
      </c>
      <c r="X1308" s="345">
        <v>0</v>
      </c>
      <c r="Y1308" s="345">
        <v>165</v>
      </c>
      <c r="Z1308" s="345">
        <v>1400</v>
      </c>
      <c r="AA1308">
        <f t="shared" si="20"/>
        <v>0</v>
      </c>
    </row>
    <row r="1309" spans="1:27" x14ac:dyDescent="0.3">
      <c r="A1309" s="345" t="s">
        <v>2970</v>
      </c>
      <c r="B1309" s="805"/>
      <c r="C1309" s="802"/>
      <c r="D1309" s="802"/>
      <c r="E1309" s="803"/>
      <c r="F1309" s="805">
        <v>182</v>
      </c>
      <c r="G1309" s="803"/>
      <c r="H1309" s="345">
        <v>1654</v>
      </c>
      <c r="I1309" s="345">
        <v>1</v>
      </c>
      <c r="J1309" s="345">
        <v>192</v>
      </c>
      <c r="K1309" s="345">
        <v>1701</v>
      </c>
      <c r="L1309" s="346"/>
      <c r="M1309" s="346"/>
      <c r="N1309" s="346"/>
      <c r="O1309" s="345"/>
      <c r="P1309" s="345"/>
      <c r="Q1309" s="345"/>
      <c r="R1309" s="345">
        <v>0</v>
      </c>
      <c r="S1309" s="345">
        <v>0</v>
      </c>
      <c r="T1309" s="345">
        <v>1008.3</v>
      </c>
      <c r="U1309" s="345">
        <v>0.5</v>
      </c>
      <c r="V1309" s="345">
        <v>183</v>
      </c>
      <c r="W1309" s="345">
        <v>1619.5</v>
      </c>
      <c r="X1309" s="345">
        <v>0.5</v>
      </c>
      <c r="Y1309" s="345">
        <v>165.5</v>
      </c>
      <c r="Z1309" s="345">
        <v>1400.5</v>
      </c>
      <c r="AA1309">
        <f t="shared" si="20"/>
        <v>1</v>
      </c>
    </row>
    <row r="1310" spans="1:27" s="362" customFormat="1" x14ac:dyDescent="0.3">
      <c r="A1310" s="359" t="s">
        <v>2971</v>
      </c>
      <c r="B1310" s="811"/>
      <c r="C1310" s="812"/>
      <c r="D1310" s="812"/>
      <c r="E1310" s="813"/>
      <c r="F1310" s="811">
        <v>185</v>
      </c>
      <c r="G1310" s="813"/>
      <c r="H1310" s="359">
        <v>1657</v>
      </c>
      <c r="I1310" s="359">
        <v>2</v>
      </c>
      <c r="J1310" s="359">
        <v>194</v>
      </c>
      <c r="K1310" s="359">
        <v>1703</v>
      </c>
      <c r="L1310" s="359"/>
      <c r="M1310" s="359"/>
      <c r="N1310" s="359"/>
      <c r="O1310" s="359"/>
      <c r="P1310" s="359"/>
      <c r="Q1310" s="359"/>
      <c r="R1310" s="359">
        <v>0</v>
      </c>
      <c r="S1310" s="359">
        <v>0</v>
      </c>
      <c r="T1310" s="359">
        <v>1008.3</v>
      </c>
      <c r="U1310" s="359">
        <v>2.5</v>
      </c>
      <c r="V1310" s="359">
        <v>185.5</v>
      </c>
      <c r="W1310" s="359">
        <v>1622</v>
      </c>
      <c r="X1310" s="359">
        <v>2</v>
      </c>
      <c r="Y1310" s="359">
        <v>167.5</v>
      </c>
      <c r="Z1310" s="359">
        <v>1402.5</v>
      </c>
      <c r="AA1310" s="362">
        <f t="shared" si="20"/>
        <v>2</v>
      </c>
    </row>
    <row r="1311" spans="1:27" ht="28.8" x14ac:dyDescent="0.3">
      <c r="A1311" s="345" t="s">
        <v>2972</v>
      </c>
      <c r="B1311" s="805"/>
      <c r="C1311" s="802"/>
      <c r="D1311" s="802"/>
      <c r="E1311" s="803"/>
      <c r="F1311" s="805">
        <v>0</v>
      </c>
      <c r="G1311" s="803"/>
      <c r="H1311" s="345">
        <v>1657</v>
      </c>
      <c r="I1311" s="345">
        <v>0</v>
      </c>
      <c r="J1311" s="345">
        <v>0</v>
      </c>
      <c r="K1311" s="345">
        <v>1703</v>
      </c>
      <c r="L1311" s="346"/>
      <c r="M1311" s="346"/>
      <c r="N1311" s="346"/>
      <c r="O1311" s="345"/>
      <c r="P1311" s="345"/>
      <c r="Q1311" s="345"/>
      <c r="R1311" s="345">
        <v>0</v>
      </c>
      <c r="S1311" s="345">
        <v>0</v>
      </c>
      <c r="T1311" s="345">
        <v>1008.3</v>
      </c>
      <c r="U1311" s="345">
        <v>0.5</v>
      </c>
      <c r="V1311" s="345">
        <v>0.5</v>
      </c>
      <c r="W1311" s="345">
        <v>1622.5</v>
      </c>
      <c r="X1311" s="345">
        <v>0.5</v>
      </c>
      <c r="Y1311" s="345">
        <v>0.5</v>
      </c>
      <c r="Z1311" s="345">
        <v>1403</v>
      </c>
      <c r="AA1311">
        <f t="shared" si="20"/>
        <v>0</v>
      </c>
    </row>
    <row r="1312" spans="1:27" ht="28.8" x14ac:dyDescent="0.3">
      <c r="A1312" s="345" t="s">
        <v>2973</v>
      </c>
      <c r="B1312" s="805"/>
      <c r="C1312" s="802"/>
      <c r="D1312" s="802"/>
      <c r="E1312" s="803"/>
      <c r="F1312" s="805">
        <v>1.5</v>
      </c>
      <c r="G1312" s="803"/>
      <c r="H1312" s="345">
        <v>1658.5</v>
      </c>
      <c r="I1312" s="345">
        <v>1</v>
      </c>
      <c r="J1312" s="345">
        <v>1</v>
      </c>
      <c r="K1312" s="345">
        <v>1704</v>
      </c>
      <c r="L1312" s="346"/>
      <c r="M1312" s="346"/>
      <c r="N1312" s="346"/>
      <c r="O1312" s="345"/>
      <c r="P1312" s="345"/>
      <c r="Q1312" s="345"/>
      <c r="R1312" s="345">
        <v>0</v>
      </c>
      <c r="S1312" s="345">
        <v>0</v>
      </c>
      <c r="T1312" s="345">
        <v>1008.3</v>
      </c>
      <c r="U1312" s="345">
        <v>3.5</v>
      </c>
      <c r="V1312" s="345">
        <v>4</v>
      </c>
      <c r="W1312" s="345">
        <v>1626</v>
      </c>
      <c r="X1312" s="345">
        <v>1.5</v>
      </c>
      <c r="Y1312" s="345">
        <v>2</v>
      </c>
      <c r="Z1312" s="345">
        <v>1404.5</v>
      </c>
      <c r="AA1312">
        <f t="shared" si="20"/>
        <v>1</v>
      </c>
    </row>
    <row r="1313" spans="1:27" ht="28.8" x14ac:dyDescent="0.3">
      <c r="A1313" s="345" t="s">
        <v>2974</v>
      </c>
      <c r="B1313" s="805"/>
      <c r="C1313" s="802"/>
      <c r="D1313" s="802"/>
      <c r="E1313" s="803"/>
      <c r="F1313" s="805">
        <v>1.5</v>
      </c>
      <c r="G1313" s="803"/>
      <c r="H1313" s="345">
        <v>1658.5</v>
      </c>
      <c r="I1313" s="345">
        <v>0</v>
      </c>
      <c r="J1313" s="345">
        <v>1</v>
      </c>
      <c r="K1313" s="345">
        <v>1704</v>
      </c>
      <c r="L1313" s="346"/>
      <c r="M1313" s="346"/>
      <c r="N1313" s="346"/>
      <c r="O1313" s="345"/>
      <c r="P1313" s="345"/>
      <c r="Q1313" s="345"/>
      <c r="R1313" s="345">
        <v>0</v>
      </c>
      <c r="S1313" s="345">
        <v>0</v>
      </c>
      <c r="T1313" s="345">
        <v>1008.3</v>
      </c>
      <c r="U1313" s="345">
        <v>0</v>
      </c>
      <c r="V1313" s="345">
        <v>4</v>
      </c>
      <c r="W1313" s="345">
        <v>1626</v>
      </c>
      <c r="X1313" s="345">
        <v>0</v>
      </c>
      <c r="Y1313" s="345">
        <v>2</v>
      </c>
      <c r="Z1313" s="345">
        <v>1404.5</v>
      </c>
      <c r="AA1313">
        <f t="shared" si="20"/>
        <v>0</v>
      </c>
    </row>
    <row r="1314" spans="1:27" ht="28.8" x14ac:dyDescent="0.3">
      <c r="A1314" s="345" t="s">
        <v>2975</v>
      </c>
      <c r="B1314" s="805"/>
      <c r="C1314" s="802"/>
      <c r="D1314" s="802"/>
      <c r="E1314" s="803"/>
      <c r="F1314" s="805">
        <v>5</v>
      </c>
      <c r="G1314" s="803"/>
      <c r="H1314" s="345">
        <v>1662</v>
      </c>
      <c r="I1314" s="345">
        <v>2.5</v>
      </c>
      <c r="J1314" s="345">
        <v>3.5</v>
      </c>
      <c r="K1314" s="345">
        <v>1706.5</v>
      </c>
      <c r="L1314" s="346"/>
      <c r="M1314" s="346"/>
      <c r="N1314" s="346"/>
      <c r="O1314" s="345"/>
      <c r="P1314" s="345"/>
      <c r="Q1314" s="345"/>
      <c r="R1314" s="345">
        <v>0</v>
      </c>
      <c r="S1314" s="345">
        <v>0</v>
      </c>
      <c r="T1314" s="345">
        <v>1008.3</v>
      </c>
      <c r="U1314" s="345">
        <v>2.5</v>
      </c>
      <c r="V1314" s="345">
        <v>6.5</v>
      </c>
      <c r="W1314" s="345">
        <v>1628.5</v>
      </c>
      <c r="X1314" s="345">
        <v>1</v>
      </c>
      <c r="Y1314" s="345">
        <v>3</v>
      </c>
      <c r="Z1314" s="345">
        <v>1405.5</v>
      </c>
      <c r="AA1314">
        <f t="shared" si="20"/>
        <v>2.5</v>
      </c>
    </row>
    <row r="1315" spans="1:27" ht="28.8" x14ac:dyDescent="0.3">
      <c r="A1315" s="345" t="s">
        <v>2976</v>
      </c>
      <c r="B1315" s="805"/>
      <c r="C1315" s="802"/>
      <c r="D1315" s="802"/>
      <c r="E1315" s="803"/>
      <c r="F1315" s="805">
        <v>5</v>
      </c>
      <c r="G1315" s="803"/>
      <c r="H1315" s="345">
        <v>1662</v>
      </c>
      <c r="I1315" s="345">
        <v>0</v>
      </c>
      <c r="J1315" s="345">
        <v>3.5</v>
      </c>
      <c r="K1315" s="345">
        <v>1706.5</v>
      </c>
      <c r="L1315" s="346"/>
      <c r="M1315" s="346"/>
      <c r="N1315" s="346"/>
      <c r="O1315" s="345"/>
      <c r="P1315" s="345"/>
      <c r="Q1315" s="345"/>
      <c r="R1315" s="345">
        <v>0</v>
      </c>
      <c r="S1315" s="345">
        <v>0</v>
      </c>
      <c r="T1315" s="345">
        <v>1008.3</v>
      </c>
      <c r="U1315" s="345">
        <v>0.5</v>
      </c>
      <c r="V1315" s="345">
        <v>7</v>
      </c>
      <c r="W1315" s="345">
        <v>1629</v>
      </c>
      <c r="X1315" s="345">
        <v>0.5</v>
      </c>
      <c r="Y1315" s="345">
        <v>3.5</v>
      </c>
      <c r="Z1315" s="345">
        <v>1406</v>
      </c>
      <c r="AA1315">
        <f t="shared" si="20"/>
        <v>0</v>
      </c>
    </row>
    <row r="1316" spans="1:27" ht="28.8" x14ac:dyDescent="0.3">
      <c r="A1316" s="345" t="s">
        <v>2977</v>
      </c>
      <c r="B1316" s="805"/>
      <c r="C1316" s="802"/>
      <c r="D1316" s="802"/>
      <c r="E1316" s="803"/>
      <c r="F1316" s="805">
        <v>90</v>
      </c>
      <c r="G1316" s="803"/>
      <c r="H1316" s="345">
        <v>1747</v>
      </c>
      <c r="I1316" s="345">
        <v>110</v>
      </c>
      <c r="J1316" s="345">
        <v>113.5</v>
      </c>
      <c r="K1316" s="345">
        <v>1816.5</v>
      </c>
      <c r="L1316" s="346"/>
      <c r="M1316" s="346"/>
      <c r="N1316" s="346"/>
      <c r="O1316" s="345"/>
      <c r="P1316" s="345"/>
      <c r="Q1316" s="345"/>
      <c r="R1316" s="345">
        <v>0</v>
      </c>
      <c r="S1316" s="345">
        <v>0</v>
      </c>
      <c r="T1316" s="345">
        <v>1008.3</v>
      </c>
      <c r="U1316" s="345">
        <v>85</v>
      </c>
      <c r="V1316" s="345">
        <v>92</v>
      </c>
      <c r="W1316" s="345">
        <v>1714</v>
      </c>
      <c r="X1316" s="345">
        <v>88</v>
      </c>
      <c r="Y1316" s="345">
        <v>91.5</v>
      </c>
      <c r="Z1316" s="345">
        <v>1494</v>
      </c>
      <c r="AA1316">
        <f t="shared" si="20"/>
        <v>110</v>
      </c>
    </row>
    <row r="1317" spans="1:27" ht="28.8" x14ac:dyDescent="0.3">
      <c r="A1317" s="345" t="s">
        <v>2978</v>
      </c>
      <c r="B1317" s="805"/>
      <c r="C1317" s="802"/>
      <c r="D1317" s="802"/>
      <c r="E1317" s="803"/>
      <c r="F1317" s="805">
        <v>93</v>
      </c>
      <c r="G1317" s="803"/>
      <c r="H1317" s="345">
        <v>1750</v>
      </c>
      <c r="I1317" s="345">
        <v>3</v>
      </c>
      <c r="J1317" s="345">
        <v>116.5</v>
      </c>
      <c r="K1317" s="345">
        <v>1819.5</v>
      </c>
      <c r="L1317" s="346"/>
      <c r="M1317" s="346"/>
      <c r="N1317" s="346"/>
      <c r="O1317" s="345"/>
      <c r="P1317" s="345"/>
      <c r="Q1317" s="345"/>
      <c r="R1317" s="345">
        <v>0</v>
      </c>
      <c r="S1317" s="345">
        <v>0</v>
      </c>
      <c r="T1317" s="345">
        <v>1008.3</v>
      </c>
      <c r="U1317" s="345">
        <v>2.5</v>
      </c>
      <c r="V1317" s="345">
        <v>94.5</v>
      </c>
      <c r="W1317" s="345">
        <v>1716.5</v>
      </c>
      <c r="X1317" s="345">
        <v>2.5</v>
      </c>
      <c r="Y1317" s="345">
        <v>94</v>
      </c>
      <c r="Z1317" s="345">
        <v>1496.5</v>
      </c>
      <c r="AA1317">
        <f t="shared" si="20"/>
        <v>3</v>
      </c>
    </row>
    <row r="1318" spans="1:27" ht="28.8" x14ac:dyDescent="0.3">
      <c r="A1318" s="345" t="s">
        <v>2979</v>
      </c>
      <c r="B1318" s="805"/>
      <c r="C1318" s="802"/>
      <c r="D1318" s="802"/>
      <c r="E1318" s="803"/>
      <c r="F1318" s="805">
        <v>93</v>
      </c>
      <c r="G1318" s="803"/>
      <c r="H1318" s="345">
        <v>1750</v>
      </c>
      <c r="I1318" s="345">
        <v>0</v>
      </c>
      <c r="J1318" s="345">
        <v>116.5</v>
      </c>
      <c r="K1318" s="345">
        <v>1819.5</v>
      </c>
      <c r="L1318" s="346"/>
      <c r="M1318" s="346"/>
      <c r="N1318" s="346"/>
      <c r="O1318" s="345"/>
      <c r="P1318" s="345"/>
      <c r="Q1318" s="345"/>
      <c r="R1318" s="345">
        <v>0</v>
      </c>
      <c r="S1318" s="345">
        <v>0</v>
      </c>
      <c r="T1318" s="345">
        <v>1008.3</v>
      </c>
      <c r="U1318" s="345">
        <v>0</v>
      </c>
      <c r="V1318" s="345">
        <v>94.5</v>
      </c>
      <c r="W1318" s="345">
        <v>1716.5</v>
      </c>
      <c r="X1318" s="345">
        <v>0</v>
      </c>
      <c r="Y1318" s="345">
        <v>94</v>
      </c>
      <c r="Z1318" s="345">
        <v>1496.5</v>
      </c>
      <c r="AA1318">
        <f t="shared" si="20"/>
        <v>0</v>
      </c>
    </row>
    <row r="1319" spans="1:27" ht="28.8" x14ac:dyDescent="0.3">
      <c r="A1319" s="345" t="s">
        <v>2980</v>
      </c>
      <c r="B1319" s="805"/>
      <c r="C1319" s="802"/>
      <c r="D1319" s="802"/>
      <c r="E1319" s="803"/>
      <c r="F1319" s="805">
        <v>130</v>
      </c>
      <c r="G1319" s="803"/>
      <c r="H1319" s="345">
        <v>1787</v>
      </c>
      <c r="I1319" s="345">
        <v>38</v>
      </c>
      <c r="J1319" s="345">
        <v>154.5</v>
      </c>
      <c r="K1319" s="345">
        <v>1857.5</v>
      </c>
      <c r="L1319" s="346"/>
      <c r="M1319" s="346"/>
      <c r="N1319" s="346"/>
      <c r="O1319" s="345"/>
      <c r="P1319" s="345"/>
      <c r="Q1319" s="345"/>
      <c r="R1319" s="345">
        <v>0</v>
      </c>
      <c r="S1319" s="345">
        <v>0</v>
      </c>
      <c r="T1319" s="345">
        <v>1008.3</v>
      </c>
      <c r="U1319" s="345">
        <v>33</v>
      </c>
      <c r="V1319" s="345">
        <v>127.5</v>
      </c>
      <c r="W1319" s="345">
        <v>1749.5</v>
      </c>
      <c r="X1319" s="345">
        <v>31</v>
      </c>
      <c r="Y1319" s="345">
        <v>125</v>
      </c>
      <c r="Z1319" s="345">
        <v>1527.5</v>
      </c>
      <c r="AA1319">
        <f t="shared" si="20"/>
        <v>38</v>
      </c>
    </row>
    <row r="1320" spans="1:27" ht="28.8" x14ac:dyDescent="0.3">
      <c r="A1320" s="345" t="s">
        <v>2981</v>
      </c>
      <c r="B1320" s="805"/>
      <c r="C1320" s="802"/>
      <c r="D1320" s="802"/>
      <c r="E1320" s="803"/>
      <c r="F1320" s="805">
        <v>130.5</v>
      </c>
      <c r="G1320" s="803"/>
      <c r="H1320" s="345">
        <v>1787.5</v>
      </c>
      <c r="I1320" s="345">
        <v>2</v>
      </c>
      <c r="J1320" s="345">
        <v>156.5</v>
      </c>
      <c r="K1320" s="345">
        <v>1859.5</v>
      </c>
      <c r="L1320" s="346"/>
      <c r="M1320" s="346"/>
      <c r="N1320" s="346"/>
      <c r="O1320" s="345"/>
      <c r="P1320" s="345"/>
      <c r="Q1320" s="345"/>
      <c r="R1320" s="345">
        <v>0</v>
      </c>
      <c r="S1320" s="345">
        <v>0</v>
      </c>
      <c r="T1320" s="345">
        <v>1008.3</v>
      </c>
      <c r="U1320" s="345">
        <v>2.5</v>
      </c>
      <c r="V1320" s="345">
        <v>130</v>
      </c>
      <c r="W1320" s="345">
        <v>1752</v>
      </c>
      <c r="X1320" s="345">
        <v>1</v>
      </c>
      <c r="Y1320" s="345">
        <v>126</v>
      </c>
      <c r="Z1320" s="345">
        <v>1528.5</v>
      </c>
      <c r="AA1320">
        <f t="shared" si="20"/>
        <v>2</v>
      </c>
    </row>
    <row r="1321" spans="1:27" ht="28.8" x14ac:dyDescent="0.3">
      <c r="A1321" s="345" t="s">
        <v>2982</v>
      </c>
      <c r="B1321" s="805"/>
      <c r="C1321" s="802"/>
      <c r="D1321" s="802"/>
      <c r="E1321" s="803"/>
      <c r="F1321" s="805">
        <v>138.5</v>
      </c>
      <c r="G1321" s="803"/>
      <c r="H1321" s="345">
        <v>1795.5</v>
      </c>
      <c r="I1321" s="345">
        <v>6</v>
      </c>
      <c r="J1321" s="345">
        <v>162.5</v>
      </c>
      <c r="K1321" s="345">
        <v>1865.5</v>
      </c>
      <c r="L1321" s="346"/>
      <c r="M1321" s="346"/>
      <c r="N1321" s="346"/>
      <c r="O1321" s="345"/>
      <c r="P1321" s="345"/>
      <c r="Q1321" s="345"/>
      <c r="R1321" s="345">
        <v>0</v>
      </c>
      <c r="S1321" s="345">
        <v>0</v>
      </c>
      <c r="T1321" s="345">
        <v>1008.3</v>
      </c>
      <c r="U1321" s="345">
        <v>17.5</v>
      </c>
      <c r="V1321" s="345">
        <v>147.5</v>
      </c>
      <c r="W1321" s="345">
        <v>1769.5</v>
      </c>
      <c r="X1321" s="345">
        <v>12.5</v>
      </c>
      <c r="Y1321" s="345">
        <v>138.5</v>
      </c>
      <c r="Z1321" s="345">
        <v>1541</v>
      </c>
      <c r="AA1321">
        <f t="shared" si="20"/>
        <v>6</v>
      </c>
    </row>
    <row r="1322" spans="1:27" ht="28.8" x14ac:dyDescent="0.3">
      <c r="A1322" s="345" t="s">
        <v>2983</v>
      </c>
      <c r="B1322" s="805"/>
      <c r="C1322" s="802"/>
      <c r="D1322" s="802"/>
      <c r="E1322" s="803"/>
      <c r="F1322" s="805">
        <v>141</v>
      </c>
      <c r="G1322" s="803"/>
      <c r="H1322" s="345">
        <v>1798</v>
      </c>
      <c r="I1322" s="345">
        <v>2.5</v>
      </c>
      <c r="J1322" s="345">
        <v>165</v>
      </c>
      <c r="K1322" s="345">
        <v>1868</v>
      </c>
      <c r="L1322" s="346"/>
      <c r="M1322" s="346"/>
      <c r="N1322" s="346"/>
      <c r="O1322" s="345"/>
      <c r="P1322" s="345"/>
      <c r="Q1322" s="345"/>
      <c r="R1322" s="345">
        <v>0</v>
      </c>
      <c r="S1322" s="345">
        <v>0</v>
      </c>
      <c r="T1322" s="345">
        <v>1008.3</v>
      </c>
      <c r="U1322" s="345">
        <v>2</v>
      </c>
      <c r="V1322" s="345">
        <v>149.5</v>
      </c>
      <c r="W1322" s="345">
        <v>1771.5</v>
      </c>
      <c r="X1322" s="345">
        <v>2.5</v>
      </c>
      <c r="Y1322" s="345">
        <v>141</v>
      </c>
      <c r="Z1322" s="345">
        <v>1543.5</v>
      </c>
      <c r="AA1322">
        <f t="shared" si="20"/>
        <v>2.5</v>
      </c>
    </row>
    <row r="1323" spans="1:27" ht="28.8" x14ac:dyDescent="0.3">
      <c r="A1323" s="345" t="s">
        <v>2984</v>
      </c>
      <c r="B1323" s="805"/>
      <c r="C1323" s="802"/>
      <c r="D1323" s="802"/>
      <c r="E1323" s="803"/>
      <c r="F1323" s="805">
        <v>142.5</v>
      </c>
      <c r="G1323" s="803"/>
      <c r="H1323" s="345">
        <v>1799.5</v>
      </c>
      <c r="I1323" s="345">
        <v>1.5</v>
      </c>
      <c r="J1323" s="345">
        <v>166.5</v>
      </c>
      <c r="K1323" s="345">
        <v>1869.5</v>
      </c>
      <c r="L1323" s="346"/>
      <c r="M1323" s="346"/>
      <c r="N1323" s="346"/>
      <c r="O1323" s="345"/>
      <c r="P1323" s="345"/>
      <c r="Q1323" s="345"/>
      <c r="R1323" s="345">
        <v>0</v>
      </c>
      <c r="S1323" s="345">
        <v>0</v>
      </c>
      <c r="T1323" s="345">
        <v>1008.3</v>
      </c>
      <c r="U1323" s="345">
        <v>1</v>
      </c>
      <c r="V1323" s="345">
        <v>150.5</v>
      </c>
      <c r="W1323" s="345">
        <v>1772.5</v>
      </c>
      <c r="X1323" s="345">
        <v>1</v>
      </c>
      <c r="Y1323" s="345">
        <v>142</v>
      </c>
      <c r="Z1323" s="345">
        <v>1544.5</v>
      </c>
      <c r="AA1323">
        <f t="shared" si="20"/>
        <v>1.5</v>
      </c>
    </row>
    <row r="1324" spans="1:27" ht="28.8" x14ac:dyDescent="0.3">
      <c r="A1324" s="345" t="s">
        <v>2985</v>
      </c>
      <c r="B1324" s="805"/>
      <c r="C1324" s="802"/>
      <c r="D1324" s="802"/>
      <c r="E1324" s="803"/>
      <c r="F1324" s="805">
        <v>176.5</v>
      </c>
      <c r="G1324" s="803"/>
      <c r="H1324" s="345">
        <v>1833.5</v>
      </c>
      <c r="I1324" s="345">
        <v>43.5</v>
      </c>
      <c r="J1324" s="345">
        <v>210</v>
      </c>
      <c r="K1324" s="345">
        <v>1913</v>
      </c>
      <c r="L1324" s="346"/>
      <c r="M1324" s="346"/>
      <c r="N1324" s="346"/>
      <c r="O1324" s="345"/>
      <c r="P1324" s="345"/>
      <c r="Q1324" s="345"/>
      <c r="R1324" s="345">
        <v>0</v>
      </c>
      <c r="S1324" s="345">
        <v>0</v>
      </c>
      <c r="T1324" s="345">
        <v>1008.3</v>
      </c>
      <c r="U1324" s="345">
        <v>44</v>
      </c>
      <c r="V1324" s="345">
        <v>194.5</v>
      </c>
      <c r="W1324" s="345">
        <v>1816.5</v>
      </c>
      <c r="X1324" s="345">
        <v>30.5</v>
      </c>
      <c r="Y1324" s="345">
        <v>172.5</v>
      </c>
      <c r="Z1324" s="345">
        <v>1575</v>
      </c>
      <c r="AA1324">
        <f t="shared" si="20"/>
        <v>43.5</v>
      </c>
    </row>
    <row r="1325" spans="1:27" ht="28.8" x14ac:dyDescent="0.3">
      <c r="A1325" s="345" t="s">
        <v>2986</v>
      </c>
      <c r="B1325" s="805"/>
      <c r="C1325" s="802"/>
      <c r="D1325" s="802"/>
      <c r="E1325" s="803"/>
      <c r="F1325" s="805">
        <v>221</v>
      </c>
      <c r="G1325" s="803"/>
      <c r="H1325" s="345">
        <v>1878</v>
      </c>
      <c r="I1325" s="345">
        <v>39.5</v>
      </c>
      <c r="J1325" s="345">
        <v>249.5</v>
      </c>
      <c r="K1325" s="345">
        <v>1952.5</v>
      </c>
      <c r="L1325" s="346"/>
      <c r="M1325" s="346"/>
      <c r="N1325" s="346"/>
      <c r="O1325" s="345"/>
      <c r="P1325" s="345"/>
      <c r="Q1325" s="345"/>
      <c r="R1325" s="345">
        <v>0</v>
      </c>
      <c r="S1325" s="345">
        <v>0</v>
      </c>
      <c r="T1325" s="345">
        <v>1008.3</v>
      </c>
      <c r="U1325" s="345">
        <v>36.5</v>
      </c>
      <c r="V1325" s="345">
        <v>231</v>
      </c>
      <c r="W1325" s="345">
        <v>1853</v>
      </c>
      <c r="X1325" s="345">
        <v>34.5</v>
      </c>
      <c r="Y1325" s="345">
        <v>207</v>
      </c>
      <c r="Z1325" s="345">
        <v>1609.5</v>
      </c>
      <c r="AA1325">
        <f t="shared" si="20"/>
        <v>39.5</v>
      </c>
    </row>
    <row r="1326" spans="1:27" ht="28.8" x14ac:dyDescent="0.3">
      <c r="A1326" s="345" t="s">
        <v>2987</v>
      </c>
      <c r="B1326" s="805"/>
      <c r="C1326" s="802"/>
      <c r="D1326" s="802"/>
      <c r="E1326" s="803"/>
      <c r="F1326" s="805">
        <v>227</v>
      </c>
      <c r="G1326" s="803"/>
      <c r="H1326" s="345">
        <v>1884</v>
      </c>
      <c r="I1326" s="345">
        <v>13</v>
      </c>
      <c r="J1326" s="345">
        <v>262.5</v>
      </c>
      <c r="K1326" s="345">
        <v>1965.5</v>
      </c>
      <c r="L1326" s="346"/>
      <c r="M1326" s="346"/>
      <c r="N1326" s="346"/>
      <c r="O1326" s="345"/>
      <c r="P1326" s="345"/>
      <c r="Q1326" s="345"/>
      <c r="R1326" s="345">
        <v>0</v>
      </c>
      <c r="S1326" s="345">
        <v>0</v>
      </c>
      <c r="T1326" s="345">
        <v>1008.3</v>
      </c>
      <c r="U1326" s="345">
        <v>6</v>
      </c>
      <c r="V1326" s="345">
        <v>237</v>
      </c>
      <c r="W1326" s="345">
        <v>1859</v>
      </c>
      <c r="X1326" s="345">
        <v>5.5</v>
      </c>
      <c r="Y1326" s="345">
        <v>212.5</v>
      </c>
      <c r="Z1326" s="345">
        <v>1615</v>
      </c>
      <c r="AA1326">
        <f t="shared" si="20"/>
        <v>13</v>
      </c>
    </row>
    <row r="1327" spans="1:27" ht="28.8" x14ac:dyDescent="0.3">
      <c r="A1327" s="345" t="s">
        <v>2988</v>
      </c>
      <c r="B1327" s="805"/>
      <c r="C1327" s="802"/>
      <c r="D1327" s="802"/>
      <c r="E1327" s="803"/>
      <c r="F1327" s="805">
        <v>227</v>
      </c>
      <c r="G1327" s="803"/>
      <c r="H1327" s="345">
        <v>1884</v>
      </c>
      <c r="I1327" s="345">
        <v>0</v>
      </c>
      <c r="J1327" s="345">
        <v>262.5</v>
      </c>
      <c r="K1327" s="345">
        <v>1965.5</v>
      </c>
      <c r="L1327" s="346"/>
      <c r="M1327" s="346"/>
      <c r="N1327" s="346"/>
      <c r="O1327" s="345"/>
      <c r="P1327" s="345"/>
      <c r="Q1327" s="345"/>
      <c r="R1327" s="345">
        <v>0</v>
      </c>
      <c r="S1327" s="345">
        <v>0</v>
      </c>
      <c r="T1327" s="345">
        <v>1008.3</v>
      </c>
      <c r="U1327" s="345">
        <v>0</v>
      </c>
      <c r="V1327" s="345">
        <v>237</v>
      </c>
      <c r="W1327" s="345">
        <v>1859</v>
      </c>
      <c r="X1327" s="345">
        <v>0</v>
      </c>
      <c r="Y1327" s="345">
        <v>212.5</v>
      </c>
      <c r="Z1327" s="345">
        <v>1615</v>
      </c>
      <c r="AA1327">
        <f t="shared" si="20"/>
        <v>0</v>
      </c>
    </row>
    <row r="1328" spans="1:27" ht="28.8" x14ac:dyDescent="0.3">
      <c r="A1328" s="345" t="s">
        <v>2989</v>
      </c>
      <c r="B1328" s="805"/>
      <c r="C1328" s="802"/>
      <c r="D1328" s="802"/>
      <c r="E1328" s="803"/>
      <c r="F1328" s="805">
        <v>230</v>
      </c>
      <c r="G1328" s="803"/>
      <c r="H1328" s="345">
        <v>1887</v>
      </c>
      <c r="I1328" s="345">
        <v>4.5</v>
      </c>
      <c r="J1328" s="345">
        <v>267</v>
      </c>
      <c r="K1328" s="345">
        <v>1970</v>
      </c>
      <c r="L1328" s="346"/>
      <c r="M1328" s="346"/>
      <c r="N1328" s="346"/>
      <c r="O1328" s="345"/>
      <c r="P1328" s="345"/>
      <c r="Q1328" s="345"/>
      <c r="R1328" s="345">
        <v>0</v>
      </c>
      <c r="S1328" s="345">
        <v>0</v>
      </c>
      <c r="T1328" s="345">
        <v>1008.3</v>
      </c>
      <c r="U1328" s="345">
        <v>5</v>
      </c>
      <c r="V1328" s="345">
        <v>242</v>
      </c>
      <c r="W1328" s="345">
        <v>1864</v>
      </c>
      <c r="X1328" s="345">
        <v>2.5</v>
      </c>
      <c r="Y1328" s="345">
        <v>215</v>
      </c>
      <c r="Z1328" s="345">
        <v>1617.5</v>
      </c>
      <c r="AA1328">
        <f t="shared" si="20"/>
        <v>4.5</v>
      </c>
    </row>
    <row r="1329" spans="1:27" ht="28.8" x14ac:dyDescent="0.3">
      <c r="A1329" s="345" t="s">
        <v>2990</v>
      </c>
      <c r="B1329" s="805"/>
      <c r="C1329" s="802"/>
      <c r="D1329" s="802"/>
      <c r="E1329" s="803"/>
      <c r="F1329" s="805">
        <v>244.5</v>
      </c>
      <c r="G1329" s="803"/>
      <c r="H1329" s="345">
        <v>1901.5</v>
      </c>
      <c r="I1329" s="345">
        <v>25</v>
      </c>
      <c r="J1329" s="345">
        <v>292</v>
      </c>
      <c r="K1329" s="345">
        <v>1995</v>
      </c>
      <c r="L1329" s="346"/>
      <c r="M1329" s="346"/>
      <c r="N1329" s="346"/>
      <c r="O1329" s="345"/>
      <c r="P1329" s="345"/>
      <c r="Q1329" s="345"/>
      <c r="R1329" s="345">
        <v>0</v>
      </c>
      <c r="S1329" s="345">
        <v>0</v>
      </c>
      <c r="T1329" s="345">
        <v>1008.3</v>
      </c>
      <c r="U1329" s="345">
        <v>8.5</v>
      </c>
      <c r="V1329" s="345">
        <v>250.5</v>
      </c>
      <c r="W1329" s="345">
        <v>1872.5</v>
      </c>
      <c r="X1329" s="345">
        <v>4.5</v>
      </c>
      <c r="Y1329" s="345">
        <v>219.5</v>
      </c>
      <c r="Z1329" s="345">
        <v>1622</v>
      </c>
      <c r="AA1329">
        <f t="shared" si="20"/>
        <v>25</v>
      </c>
    </row>
    <row r="1330" spans="1:27" ht="28.8" x14ac:dyDescent="0.3">
      <c r="A1330" s="345" t="s">
        <v>2991</v>
      </c>
      <c r="B1330" s="805"/>
      <c r="C1330" s="802"/>
      <c r="D1330" s="802"/>
      <c r="E1330" s="803"/>
      <c r="F1330" s="805">
        <v>251.5</v>
      </c>
      <c r="G1330" s="803"/>
      <c r="H1330" s="345">
        <v>1908.5</v>
      </c>
      <c r="I1330" s="345">
        <v>7.5</v>
      </c>
      <c r="J1330" s="345">
        <v>299.5</v>
      </c>
      <c r="K1330" s="345">
        <v>2002.5</v>
      </c>
      <c r="L1330" s="346"/>
      <c r="M1330" s="346"/>
      <c r="N1330" s="346"/>
      <c r="O1330" s="345"/>
      <c r="P1330" s="345"/>
      <c r="Q1330" s="345"/>
      <c r="R1330" s="345"/>
      <c r="S1330" s="345"/>
      <c r="T1330" s="345"/>
      <c r="U1330" s="345">
        <v>7</v>
      </c>
      <c r="V1330" s="345">
        <v>257.5</v>
      </c>
      <c r="W1330" s="345">
        <v>1879.5</v>
      </c>
      <c r="X1330" s="345">
        <v>6.5</v>
      </c>
      <c r="Y1330" s="345">
        <v>226</v>
      </c>
      <c r="Z1330" s="345">
        <v>1628.5</v>
      </c>
      <c r="AA1330">
        <f t="shared" si="20"/>
        <v>7.5</v>
      </c>
    </row>
    <row r="1331" spans="1:27" ht="28.8" x14ac:dyDescent="0.3">
      <c r="A1331" s="345" t="s">
        <v>2992</v>
      </c>
      <c r="B1331" s="805"/>
      <c r="C1331" s="802"/>
      <c r="D1331" s="802"/>
      <c r="E1331" s="803"/>
      <c r="F1331" s="805">
        <v>268.5</v>
      </c>
      <c r="G1331" s="803"/>
      <c r="H1331" s="345">
        <v>1925.5</v>
      </c>
      <c r="I1331" s="345">
        <v>14.5</v>
      </c>
      <c r="J1331" s="345">
        <v>314</v>
      </c>
      <c r="K1331" s="345">
        <v>2017</v>
      </c>
      <c r="L1331" s="346"/>
      <c r="M1331" s="346"/>
      <c r="N1331" s="346"/>
      <c r="O1331" s="345"/>
      <c r="P1331" s="345"/>
      <c r="Q1331" s="345"/>
      <c r="R1331" s="345">
        <v>0</v>
      </c>
      <c r="S1331" s="345">
        <v>0</v>
      </c>
      <c r="T1331" s="345">
        <v>1008.3</v>
      </c>
      <c r="U1331" s="345">
        <v>19</v>
      </c>
      <c r="V1331" s="345">
        <v>276.5</v>
      </c>
      <c r="W1331" s="345">
        <v>1898.5</v>
      </c>
      <c r="X1331" s="345">
        <v>11.5</v>
      </c>
      <c r="Y1331" s="345">
        <v>237.5</v>
      </c>
      <c r="Z1331" s="345">
        <v>1640</v>
      </c>
      <c r="AA1331">
        <f t="shared" si="20"/>
        <v>14.5</v>
      </c>
    </row>
    <row r="1332" spans="1:27" ht="28.8" x14ac:dyDescent="0.3">
      <c r="A1332" s="345" t="s">
        <v>2993</v>
      </c>
      <c r="B1332" s="805"/>
      <c r="C1332" s="802"/>
      <c r="D1332" s="802"/>
      <c r="E1332" s="803"/>
      <c r="F1332" s="805">
        <v>273.5</v>
      </c>
      <c r="G1332" s="803"/>
      <c r="H1332" s="345">
        <v>1930.5</v>
      </c>
      <c r="I1332" s="345">
        <v>1</v>
      </c>
      <c r="J1332" s="345">
        <v>315</v>
      </c>
      <c r="K1332" s="345">
        <v>2018</v>
      </c>
      <c r="L1332" s="346"/>
      <c r="M1332" s="346"/>
      <c r="N1332" s="346"/>
      <c r="O1332" s="345"/>
      <c r="P1332" s="345"/>
      <c r="Q1332" s="345"/>
      <c r="R1332" s="345">
        <v>0</v>
      </c>
      <c r="S1332" s="345">
        <v>0</v>
      </c>
      <c r="T1332" s="345">
        <v>1008.3</v>
      </c>
      <c r="U1332" s="345">
        <v>3.5</v>
      </c>
      <c r="V1332" s="345">
        <v>280</v>
      </c>
      <c r="W1332" s="345">
        <v>1902</v>
      </c>
      <c r="X1332" s="345">
        <v>3</v>
      </c>
      <c r="Y1332" s="345">
        <v>240.5</v>
      </c>
      <c r="Z1332" s="345">
        <v>1643</v>
      </c>
      <c r="AA1332">
        <f t="shared" si="20"/>
        <v>1</v>
      </c>
    </row>
    <row r="1333" spans="1:27" ht="28.8" x14ac:dyDescent="0.3">
      <c r="A1333" s="345" t="s">
        <v>2994</v>
      </c>
      <c r="B1333" s="805"/>
      <c r="C1333" s="802"/>
      <c r="D1333" s="802"/>
      <c r="E1333" s="803"/>
      <c r="F1333" s="805">
        <v>285</v>
      </c>
      <c r="G1333" s="803"/>
      <c r="H1333" s="345">
        <v>1942</v>
      </c>
      <c r="I1333" s="345">
        <v>8.5</v>
      </c>
      <c r="J1333" s="345">
        <v>323.5</v>
      </c>
      <c r="K1333" s="345">
        <v>2026.5</v>
      </c>
      <c r="L1333" s="346"/>
      <c r="M1333" s="346"/>
      <c r="N1333" s="346"/>
      <c r="O1333" s="345"/>
      <c r="P1333" s="345"/>
      <c r="Q1333" s="345"/>
      <c r="R1333" s="345">
        <v>0</v>
      </c>
      <c r="S1333" s="345">
        <v>0</v>
      </c>
      <c r="T1333" s="345">
        <v>1008.3</v>
      </c>
      <c r="U1333" s="345">
        <v>9.5</v>
      </c>
      <c r="V1333" s="345">
        <v>289.5</v>
      </c>
      <c r="W1333" s="345">
        <v>1911.5</v>
      </c>
      <c r="X1333" s="345">
        <v>8</v>
      </c>
      <c r="Y1333" s="345">
        <v>248.5</v>
      </c>
      <c r="Z1333" s="345">
        <v>1651</v>
      </c>
      <c r="AA1333">
        <f t="shared" si="20"/>
        <v>8.5</v>
      </c>
    </row>
    <row r="1334" spans="1:27" ht="28.8" x14ac:dyDescent="0.3">
      <c r="A1334" s="345" t="s">
        <v>2995</v>
      </c>
      <c r="B1334" s="805"/>
      <c r="C1334" s="802"/>
      <c r="D1334" s="802"/>
      <c r="E1334" s="803"/>
      <c r="F1334" s="805">
        <v>329</v>
      </c>
      <c r="G1334" s="803"/>
      <c r="H1334" s="345">
        <v>1986</v>
      </c>
      <c r="I1334" s="345">
        <v>37</v>
      </c>
      <c r="J1334" s="345">
        <v>360.5</v>
      </c>
      <c r="K1334" s="345">
        <v>2063.5</v>
      </c>
      <c r="L1334" s="346"/>
      <c r="M1334" s="346"/>
      <c r="N1334" s="346"/>
      <c r="O1334" s="345"/>
      <c r="P1334" s="345"/>
      <c r="Q1334" s="345"/>
      <c r="R1334" s="345">
        <v>0</v>
      </c>
      <c r="S1334" s="345">
        <v>0</v>
      </c>
      <c r="T1334" s="345">
        <v>1008.3</v>
      </c>
      <c r="U1334" s="345">
        <v>52</v>
      </c>
      <c r="V1334" s="345">
        <v>341.5</v>
      </c>
      <c r="W1334" s="345">
        <v>1963.5</v>
      </c>
      <c r="X1334" s="345">
        <v>38</v>
      </c>
      <c r="Y1334" s="345">
        <v>286.5</v>
      </c>
      <c r="Z1334" s="345">
        <v>1689</v>
      </c>
      <c r="AA1334">
        <f t="shared" si="20"/>
        <v>37</v>
      </c>
    </row>
    <row r="1335" spans="1:27" ht="28.8" x14ac:dyDescent="0.3">
      <c r="A1335" s="345" t="s">
        <v>2996</v>
      </c>
      <c r="B1335" s="805"/>
      <c r="C1335" s="802"/>
      <c r="D1335" s="802"/>
      <c r="E1335" s="803"/>
      <c r="F1335" s="805">
        <v>332</v>
      </c>
      <c r="G1335" s="803"/>
      <c r="H1335" s="345">
        <v>1989</v>
      </c>
      <c r="I1335" s="345">
        <v>2.5</v>
      </c>
      <c r="J1335" s="345">
        <v>363</v>
      </c>
      <c r="K1335" s="345">
        <v>2066</v>
      </c>
      <c r="L1335" s="346"/>
      <c r="M1335" s="346"/>
      <c r="N1335" s="346"/>
      <c r="O1335" s="345"/>
      <c r="P1335" s="345"/>
      <c r="Q1335" s="345"/>
      <c r="R1335" s="345">
        <v>0</v>
      </c>
      <c r="S1335" s="345">
        <v>0</v>
      </c>
      <c r="T1335" s="345">
        <v>1008.3</v>
      </c>
      <c r="U1335" s="345">
        <v>3.5</v>
      </c>
      <c r="V1335" s="345">
        <v>345</v>
      </c>
      <c r="W1335" s="345">
        <v>1967</v>
      </c>
      <c r="X1335" s="345">
        <v>2.5</v>
      </c>
      <c r="Y1335" s="345">
        <v>289</v>
      </c>
      <c r="Z1335" s="345">
        <v>1691.5</v>
      </c>
      <c r="AA1335">
        <f t="shared" si="20"/>
        <v>2.5</v>
      </c>
    </row>
    <row r="1336" spans="1:27" ht="28.8" x14ac:dyDescent="0.3">
      <c r="A1336" s="345" t="s">
        <v>2997</v>
      </c>
      <c r="B1336" s="805"/>
      <c r="C1336" s="802"/>
      <c r="D1336" s="802"/>
      <c r="E1336" s="803"/>
      <c r="F1336" s="805">
        <v>338.5</v>
      </c>
      <c r="G1336" s="803"/>
      <c r="H1336" s="345">
        <v>1995.5</v>
      </c>
      <c r="I1336" s="345">
        <v>8.5</v>
      </c>
      <c r="J1336" s="345">
        <v>371.5</v>
      </c>
      <c r="K1336" s="345">
        <v>2074.5</v>
      </c>
      <c r="L1336" s="346"/>
      <c r="M1336" s="346"/>
      <c r="N1336" s="346"/>
      <c r="O1336" s="345"/>
      <c r="P1336" s="345"/>
      <c r="Q1336" s="345"/>
      <c r="R1336" s="345">
        <v>0</v>
      </c>
      <c r="S1336" s="345">
        <v>0</v>
      </c>
      <c r="T1336" s="345">
        <v>1008.3</v>
      </c>
      <c r="U1336" s="345">
        <v>7.5</v>
      </c>
      <c r="V1336" s="345">
        <v>352.5</v>
      </c>
      <c r="W1336" s="345">
        <v>1974.5</v>
      </c>
      <c r="X1336" s="345">
        <v>7</v>
      </c>
      <c r="Y1336" s="345">
        <v>296</v>
      </c>
      <c r="Z1336" s="345">
        <v>1698.5</v>
      </c>
      <c r="AA1336">
        <f t="shared" si="20"/>
        <v>8.5</v>
      </c>
    </row>
    <row r="1337" spans="1:27" ht="28.8" x14ac:dyDescent="0.3">
      <c r="A1337" s="345" t="s">
        <v>2998</v>
      </c>
      <c r="B1337" s="805"/>
      <c r="C1337" s="802"/>
      <c r="D1337" s="802"/>
      <c r="E1337" s="803"/>
      <c r="F1337" s="805">
        <v>353</v>
      </c>
      <c r="G1337" s="803"/>
      <c r="H1337" s="345">
        <v>2010</v>
      </c>
      <c r="I1337" s="345">
        <v>9.5</v>
      </c>
      <c r="J1337" s="345">
        <v>381</v>
      </c>
      <c r="K1337" s="345">
        <v>2084</v>
      </c>
      <c r="L1337" s="346"/>
      <c r="M1337" s="346"/>
      <c r="N1337" s="346"/>
      <c r="O1337" s="345"/>
      <c r="P1337" s="345"/>
      <c r="Q1337" s="345"/>
      <c r="R1337" s="345"/>
      <c r="S1337" s="345"/>
      <c r="T1337" s="345"/>
      <c r="U1337" s="345">
        <v>12</v>
      </c>
      <c r="V1337" s="345">
        <v>364.5</v>
      </c>
      <c r="W1337" s="345">
        <v>1986.5</v>
      </c>
      <c r="X1337" s="345">
        <v>12.5</v>
      </c>
      <c r="Y1337" s="345">
        <v>308.5</v>
      </c>
      <c r="Z1337" s="345">
        <v>1711</v>
      </c>
      <c r="AA1337">
        <f t="shared" si="20"/>
        <v>9.5</v>
      </c>
    </row>
    <row r="1338" spans="1:27" ht="28.8" x14ac:dyDescent="0.3">
      <c r="A1338" s="345" t="s">
        <v>2999</v>
      </c>
      <c r="B1338" s="805"/>
      <c r="C1338" s="802"/>
      <c r="D1338" s="802"/>
      <c r="E1338" s="803"/>
      <c r="F1338" s="805">
        <v>354.5</v>
      </c>
      <c r="G1338" s="803"/>
      <c r="H1338" s="345">
        <v>2011.5</v>
      </c>
      <c r="I1338" s="345">
        <v>2</v>
      </c>
      <c r="J1338" s="345">
        <v>383</v>
      </c>
      <c r="K1338" s="345">
        <v>2086</v>
      </c>
      <c r="L1338" s="346"/>
      <c r="M1338" s="346"/>
      <c r="N1338" s="346"/>
      <c r="O1338" s="345"/>
      <c r="P1338" s="345"/>
      <c r="Q1338" s="345"/>
      <c r="R1338" s="345">
        <v>0</v>
      </c>
      <c r="S1338" s="345">
        <v>0</v>
      </c>
      <c r="T1338" s="345">
        <v>1008.3</v>
      </c>
      <c r="U1338" s="345">
        <v>2</v>
      </c>
      <c r="V1338" s="345">
        <v>366.5</v>
      </c>
      <c r="W1338" s="345">
        <v>1988.5</v>
      </c>
      <c r="X1338" s="345">
        <v>2</v>
      </c>
      <c r="Y1338" s="345">
        <v>310.5</v>
      </c>
      <c r="Z1338" s="345">
        <v>1713</v>
      </c>
      <c r="AA1338">
        <f t="shared" si="20"/>
        <v>2</v>
      </c>
    </row>
    <row r="1339" spans="1:27" ht="28.8" x14ac:dyDescent="0.3">
      <c r="A1339" s="345" t="s">
        <v>3000</v>
      </c>
      <c r="B1339" s="805"/>
      <c r="C1339" s="802"/>
      <c r="D1339" s="802"/>
      <c r="E1339" s="803"/>
      <c r="F1339" s="805">
        <v>354.5</v>
      </c>
      <c r="G1339" s="803"/>
      <c r="H1339" s="345">
        <v>2011.5</v>
      </c>
      <c r="I1339" s="345">
        <v>0</v>
      </c>
      <c r="J1339" s="345">
        <v>383</v>
      </c>
      <c r="K1339" s="345">
        <v>2086</v>
      </c>
      <c r="L1339" s="346"/>
      <c r="M1339" s="346"/>
      <c r="N1339" s="346"/>
      <c r="O1339" s="345"/>
      <c r="P1339" s="345"/>
      <c r="Q1339" s="345"/>
      <c r="R1339" s="345">
        <v>0</v>
      </c>
      <c r="S1339" s="345">
        <v>0</v>
      </c>
      <c r="T1339" s="345">
        <v>1008.3</v>
      </c>
      <c r="U1339" s="345">
        <v>0</v>
      </c>
      <c r="V1339" s="345">
        <v>366.5</v>
      </c>
      <c r="W1339" s="345">
        <v>1988.5</v>
      </c>
      <c r="X1339" s="345">
        <v>0</v>
      </c>
      <c r="Y1339" s="345">
        <v>310.5</v>
      </c>
      <c r="Z1339" s="345">
        <v>1713</v>
      </c>
      <c r="AA1339">
        <f t="shared" si="20"/>
        <v>0</v>
      </c>
    </row>
    <row r="1340" spans="1:27" ht="28.8" x14ac:dyDescent="0.3">
      <c r="A1340" s="345" t="s">
        <v>3001</v>
      </c>
      <c r="B1340" s="805"/>
      <c r="C1340" s="802"/>
      <c r="D1340" s="802"/>
      <c r="E1340" s="803"/>
      <c r="F1340" s="805">
        <v>359</v>
      </c>
      <c r="G1340" s="803"/>
      <c r="H1340" s="345">
        <v>2016</v>
      </c>
      <c r="I1340" s="345">
        <v>8</v>
      </c>
      <c r="J1340" s="345">
        <v>391</v>
      </c>
      <c r="K1340" s="345">
        <v>2094</v>
      </c>
      <c r="L1340" s="346"/>
      <c r="M1340" s="346"/>
      <c r="N1340" s="346"/>
      <c r="O1340" s="345"/>
      <c r="P1340" s="345"/>
      <c r="Q1340" s="345"/>
      <c r="R1340" s="345">
        <v>0</v>
      </c>
      <c r="S1340" s="345">
        <v>0</v>
      </c>
      <c r="T1340" s="345">
        <v>1008.3</v>
      </c>
      <c r="U1340" s="345">
        <v>3.5</v>
      </c>
      <c r="V1340" s="345">
        <v>370</v>
      </c>
      <c r="W1340" s="345">
        <v>1992</v>
      </c>
      <c r="X1340" s="345">
        <v>3.5</v>
      </c>
      <c r="Y1340" s="345">
        <v>314</v>
      </c>
      <c r="Z1340" s="345">
        <v>1716.5</v>
      </c>
      <c r="AA1340">
        <f t="shared" si="20"/>
        <v>8</v>
      </c>
    </row>
    <row r="1341" spans="1:27" s="362" customFormat="1" ht="28.8" x14ac:dyDescent="0.3">
      <c r="A1341" s="359" t="s">
        <v>3002</v>
      </c>
      <c r="B1341" s="811"/>
      <c r="C1341" s="812"/>
      <c r="D1341" s="812"/>
      <c r="E1341" s="813"/>
      <c r="F1341" s="811">
        <v>361</v>
      </c>
      <c r="G1341" s="813"/>
      <c r="H1341" s="359">
        <v>2018</v>
      </c>
      <c r="I1341" s="359">
        <v>1</v>
      </c>
      <c r="J1341" s="359">
        <v>392</v>
      </c>
      <c r="K1341" s="359">
        <v>2095</v>
      </c>
      <c r="L1341" s="359"/>
      <c r="M1341" s="359"/>
      <c r="N1341" s="359"/>
      <c r="O1341" s="359"/>
      <c r="P1341" s="359"/>
      <c r="Q1341" s="359"/>
      <c r="R1341" s="359">
        <v>0</v>
      </c>
      <c r="S1341" s="359">
        <v>0</v>
      </c>
      <c r="T1341" s="359">
        <v>1008.3</v>
      </c>
      <c r="U1341" s="359">
        <v>3.5</v>
      </c>
      <c r="V1341" s="359">
        <v>373.5</v>
      </c>
      <c r="W1341" s="359">
        <v>1995.5</v>
      </c>
      <c r="X1341" s="359">
        <v>4</v>
      </c>
      <c r="Y1341" s="359">
        <v>318</v>
      </c>
      <c r="Z1341" s="359">
        <v>1720.5</v>
      </c>
      <c r="AA1341" s="362">
        <f t="shared" si="20"/>
        <v>1</v>
      </c>
    </row>
    <row r="1342" spans="1:27" ht="28.8" x14ac:dyDescent="0.3">
      <c r="A1342" s="345" t="s">
        <v>3003</v>
      </c>
      <c r="B1342" s="805"/>
      <c r="C1342" s="802"/>
      <c r="D1342" s="802"/>
      <c r="E1342" s="803"/>
      <c r="F1342" s="805">
        <v>4</v>
      </c>
      <c r="G1342" s="803"/>
      <c r="H1342" s="345">
        <v>2022</v>
      </c>
      <c r="I1342" s="345">
        <v>4</v>
      </c>
      <c r="J1342" s="345">
        <v>4</v>
      </c>
      <c r="K1342" s="345">
        <v>2099</v>
      </c>
      <c r="L1342" s="346"/>
      <c r="M1342" s="346"/>
      <c r="N1342" s="346"/>
      <c r="O1342" s="345"/>
      <c r="P1342" s="345"/>
      <c r="Q1342" s="345"/>
      <c r="R1342" s="345">
        <v>0</v>
      </c>
      <c r="S1342" s="345">
        <v>0</v>
      </c>
      <c r="T1342" s="345">
        <v>1008.3</v>
      </c>
      <c r="U1342" s="345">
        <v>3.5</v>
      </c>
      <c r="V1342" s="345">
        <v>3.5</v>
      </c>
      <c r="W1342" s="345">
        <v>1999</v>
      </c>
      <c r="X1342" s="345">
        <v>1.5</v>
      </c>
      <c r="Y1342" s="345">
        <v>1.5</v>
      </c>
      <c r="Z1342" s="345">
        <v>1722</v>
      </c>
      <c r="AA1342">
        <f t="shared" si="20"/>
        <v>4</v>
      </c>
    </row>
    <row r="1343" spans="1:27" ht="28.8" x14ac:dyDescent="0.3">
      <c r="A1343" s="345" t="s">
        <v>3004</v>
      </c>
      <c r="B1343" s="805"/>
      <c r="C1343" s="802"/>
      <c r="D1343" s="802"/>
      <c r="E1343" s="803"/>
      <c r="F1343" s="805">
        <v>19</v>
      </c>
      <c r="G1343" s="803"/>
      <c r="H1343" s="345">
        <v>2037</v>
      </c>
      <c r="I1343" s="345">
        <v>25</v>
      </c>
      <c r="J1343" s="345">
        <v>29</v>
      </c>
      <c r="K1343" s="345">
        <v>2124</v>
      </c>
      <c r="L1343" s="346"/>
      <c r="M1343" s="346"/>
      <c r="N1343" s="346"/>
      <c r="O1343" s="345"/>
      <c r="P1343" s="345"/>
      <c r="Q1343" s="345"/>
      <c r="R1343" s="345"/>
      <c r="S1343" s="345"/>
      <c r="T1343" s="345"/>
      <c r="U1343" s="345">
        <v>19</v>
      </c>
      <c r="V1343" s="345">
        <v>22.5</v>
      </c>
      <c r="W1343" s="345">
        <v>2018</v>
      </c>
      <c r="X1343" s="345">
        <v>14.5</v>
      </c>
      <c r="Y1343" s="345">
        <v>16</v>
      </c>
      <c r="Z1343" s="345">
        <v>1736.5</v>
      </c>
      <c r="AA1343">
        <f t="shared" si="20"/>
        <v>25</v>
      </c>
    </row>
    <row r="1344" spans="1:27" ht="28.8" x14ac:dyDescent="0.3">
      <c r="A1344" s="345" t="s">
        <v>3005</v>
      </c>
      <c r="B1344" s="805"/>
      <c r="C1344" s="802"/>
      <c r="D1344" s="802"/>
      <c r="E1344" s="803"/>
      <c r="F1344" s="805">
        <v>30</v>
      </c>
      <c r="G1344" s="803"/>
      <c r="H1344" s="345">
        <v>2048</v>
      </c>
      <c r="I1344" s="345">
        <v>12.5</v>
      </c>
      <c r="J1344" s="345">
        <v>41.5</v>
      </c>
      <c r="K1344" s="345">
        <v>2136.5</v>
      </c>
      <c r="L1344" s="346"/>
      <c r="M1344" s="346"/>
      <c r="N1344" s="346"/>
      <c r="O1344" s="345"/>
      <c r="P1344" s="345"/>
      <c r="Q1344" s="345"/>
      <c r="R1344" s="345"/>
      <c r="S1344" s="345"/>
      <c r="T1344" s="345"/>
      <c r="U1344" s="345">
        <v>17.5</v>
      </c>
      <c r="V1344" s="345">
        <v>40</v>
      </c>
      <c r="W1344" s="345">
        <v>2035.5</v>
      </c>
      <c r="X1344" s="345">
        <v>14</v>
      </c>
      <c r="Y1344" s="345">
        <v>30</v>
      </c>
      <c r="Z1344" s="345">
        <v>1750.5</v>
      </c>
      <c r="AA1344">
        <f t="shared" si="20"/>
        <v>12.5</v>
      </c>
    </row>
    <row r="1345" spans="1:27" ht="28.8" x14ac:dyDescent="0.3">
      <c r="A1345" s="345" t="s">
        <v>3006</v>
      </c>
      <c r="B1345" s="805"/>
      <c r="C1345" s="802"/>
      <c r="D1345" s="802"/>
      <c r="E1345" s="803"/>
      <c r="F1345" s="805">
        <v>39</v>
      </c>
      <c r="G1345" s="803"/>
      <c r="H1345" s="345">
        <v>2057</v>
      </c>
      <c r="I1345" s="345">
        <v>33</v>
      </c>
      <c r="J1345" s="345">
        <v>74.5</v>
      </c>
      <c r="K1345" s="345">
        <v>2169.5</v>
      </c>
      <c r="L1345" s="346"/>
      <c r="M1345" s="346"/>
      <c r="N1345" s="346"/>
      <c r="O1345" s="345"/>
      <c r="P1345" s="345"/>
      <c r="Q1345" s="345"/>
      <c r="R1345" s="345"/>
      <c r="S1345" s="345"/>
      <c r="T1345" s="345"/>
      <c r="U1345" s="345">
        <v>9</v>
      </c>
      <c r="V1345" s="345">
        <v>49</v>
      </c>
      <c r="W1345" s="345">
        <v>2044.5</v>
      </c>
      <c r="X1345" s="345">
        <v>6</v>
      </c>
      <c r="Y1345" s="345">
        <v>36</v>
      </c>
      <c r="Z1345" s="345">
        <v>1756.5</v>
      </c>
      <c r="AA1345">
        <f t="shared" si="20"/>
        <v>33</v>
      </c>
    </row>
    <row r="1346" spans="1:27" ht="28.8" x14ac:dyDescent="0.3">
      <c r="A1346" s="345" t="s">
        <v>3007</v>
      </c>
      <c r="B1346" s="805"/>
      <c r="C1346" s="802"/>
      <c r="D1346" s="802"/>
      <c r="E1346" s="803"/>
      <c r="F1346" s="805">
        <v>52.5</v>
      </c>
      <c r="G1346" s="803"/>
      <c r="H1346" s="345">
        <v>2070.5</v>
      </c>
      <c r="I1346" s="345">
        <v>27.5</v>
      </c>
      <c r="J1346" s="345">
        <v>102</v>
      </c>
      <c r="K1346" s="345">
        <v>2197</v>
      </c>
      <c r="L1346" s="346"/>
      <c r="M1346" s="346"/>
      <c r="N1346" s="346"/>
      <c r="O1346" s="345"/>
      <c r="P1346" s="345"/>
      <c r="Q1346" s="345"/>
      <c r="R1346" s="345">
        <v>0</v>
      </c>
      <c r="S1346" s="345">
        <v>0</v>
      </c>
      <c r="T1346" s="345">
        <v>1008.3</v>
      </c>
      <c r="U1346" s="345">
        <v>6.5</v>
      </c>
      <c r="V1346" s="345">
        <v>55.5</v>
      </c>
      <c r="W1346" s="345">
        <v>2051</v>
      </c>
      <c r="X1346" s="345">
        <v>9</v>
      </c>
      <c r="Y1346" s="345">
        <v>45</v>
      </c>
      <c r="Z1346" s="345">
        <v>1765.5</v>
      </c>
      <c r="AA1346">
        <f t="shared" si="20"/>
        <v>27.5</v>
      </c>
    </row>
    <row r="1347" spans="1:27" ht="28.8" x14ac:dyDescent="0.3">
      <c r="A1347" s="345" t="s">
        <v>3008</v>
      </c>
      <c r="B1347" s="805"/>
      <c r="C1347" s="802"/>
      <c r="D1347" s="802"/>
      <c r="E1347" s="803"/>
      <c r="F1347" s="805">
        <v>71.5</v>
      </c>
      <c r="G1347" s="803"/>
      <c r="H1347" s="345">
        <v>2089.5</v>
      </c>
      <c r="I1347" s="345">
        <v>18.5</v>
      </c>
      <c r="J1347" s="345">
        <v>120.5</v>
      </c>
      <c r="K1347" s="345">
        <v>2215.5</v>
      </c>
      <c r="L1347" s="346"/>
      <c r="M1347" s="346"/>
      <c r="N1347" s="346"/>
      <c r="O1347" s="345"/>
      <c r="P1347" s="345"/>
      <c r="Q1347" s="345"/>
      <c r="R1347" s="345">
        <v>0</v>
      </c>
      <c r="S1347" s="345">
        <v>0</v>
      </c>
      <c r="T1347" s="345">
        <v>1008.3</v>
      </c>
      <c r="U1347" s="345">
        <v>19</v>
      </c>
      <c r="V1347" s="345">
        <v>74.5</v>
      </c>
      <c r="W1347" s="345">
        <v>2070</v>
      </c>
      <c r="X1347" s="345">
        <v>17.5</v>
      </c>
      <c r="Y1347" s="345">
        <v>62.5</v>
      </c>
      <c r="Z1347" s="345">
        <v>1783</v>
      </c>
      <c r="AA1347">
        <f t="shared" si="20"/>
        <v>18.5</v>
      </c>
    </row>
    <row r="1348" spans="1:27" ht="28.8" x14ac:dyDescent="0.3">
      <c r="A1348" s="345" t="s">
        <v>3009</v>
      </c>
      <c r="B1348" s="805"/>
      <c r="C1348" s="802"/>
      <c r="D1348" s="802"/>
      <c r="E1348" s="803"/>
      <c r="F1348" s="805">
        <v>167</v>
      </c>
      <c r="G1348" s="803"/>
      <c r="H1348" s="345">
        <v>2185</v>
      </c>
      <c r="I1348" s="345">
        <v>110.5</v>
      </c>
      <c r="J1348" s="345">
        <v>231</v>
      </c>
      <c r="K1348" s="345">
        <v>2326</v>
      </c>
      <c r="L1348" s="346"/>
      <c r="M1348" s="346"/>
      <c r="N1348" s="346"/>
      <c r="O1348" s="345"/>
      <c r="P1348" s="345"/>
      <c r="Q1348" s="345"/>
      <c r="R1348" s="345">
        <v>0</v>
      </c>
      <c r="S1348" s="345">
        <v>0</v>
      </c>
      <c r="T1348" s="345">
        <v>1008.3</v>
      </c>
      <c r="U1348" s="345">
        <v>101</v>
      </c>
      <c r="V1348" s="345">
        <v>175.5</v>
      </c>
      <c r="W1348" s="345">
        <v>2171</v>
      </c>
      <c r="X1348" s="345">
        <v>90.5</v>
      </c>
      <c r="Y1348" s="345">
        <v>153</v>
      </c>
      <c r="Z1348" s="345">
        <v>1873.5</v>
      </c>
      <c r="AA1348">
        <f t="shared" si="20"/>
        <v>110.5</v>
      </c>
    </row>
    <row r="1349" spans="1:27" ht="28.8" x14ac:dyDescent="0.3">
      <c r="A1349" s="345" t="s">
        <v>3010</v>
      </c>
      <c r="B1349" s="805"/>
      <c r="C1349" s="802"/>
      <c r="D1349" s="802"/>
      <c r="E1349" s="803"/>
      <c r="F1349" s="805">
        <v>219</v>
      </c>
      <c r="G1349" s="803"/>
      <c r="H1349" s="345">
        <v>2237</v>
      </c>
      <c r="I1349" s="345">
        <v>48</v>
      </c>
      <c r="J1349" s="345">
        <v>279</v>
      </c>
      <c r="K1349" s="345">
        <v>2374</v>
      </c>
      <c r="L1349" s="346"/>
      <c r="M1349" s="346"/>
      <c r="N1349" s="346"/>
      <c r="O1349" s="345"/>
      <c r="P1349" s="345"/>
      <c r="Q1349" s="345"/>
      <c r="R1349" s="345">
        <v>0</v>
      </c>
      <c r="S1349" s="345">
        <v>0</v>
      </c>
      <c r="T1349" s="345">
        <v>1008.3</v>
      </c>
      <c r="U1349" s="345">
        <v>60</v>
      </c>
      <c r="V1349" s="345">
        <v>235.5</v>
      </c>
      <c r="W1349" s="345">
        <v>2231</v>
      </c>
      <c r="X1349" s="345">
        <v>54</v>
      </c>
      <c r="Y1349" s="345">
        <v>207</v>
      </c>
      <c r="Z1349" s="345">
        <v>1927.5</v>
      </c>
      <c r="AA1349">
        <f t="shared" si="20"/>
        <v>48</v>
      </c>
    </row>
    <row r="1350" spans="1:27" ht="28.8" x14ac:dyDescent="0.3">
      <c r="A1350" s="345" t="s">
        <v>3011</v>
      </c>
      <c r="B1350" s="805"/>
      <c r="C1350" s="802"/>
      <c r="D1350" s="802"/>
      <c r="E1350" s="803"/>
      <c r="F1350" s="805">
        <v>227</v>
      </c>
      <c r="G1350" s="803"/>
      <c r="H1350" s="345">
        <v>2245</v>
      </c>
      <c r="I1350" s="345">
        <v>10</v>
      </c>
      <c r="J1350" s="345">
        <v>289</v>
      </c>
      <c r="K1350" s="345">
        <v>2384</v>
      </c>
      <c r="L1350" s="346"/>
      <c r="M1350" s="346"/>
      <c r="N1350" s="346"/>
      <c r="O1350" s="345"/>
      <c r="P1350" s="345"/>
      <c r="Q1350" s="345"/>
      <c r="R1350" s="345">
        <v>0</v>
      </c>
      <c r="S1350" s="345">
        <v>0</v>
      </c>
      <c r="T1350" s="345">
        <v>1008.3</v>
      </c>
      <c r="U1350" s="345">
        <v>8.5</v>
      </c>
      <c r="V1350" s="345">
        <v>244</v>
      </c>
      <c r="W1350" s="345">
        <v>2239.5</v>
      </c>
      <c r="X1350" s="345">
        <v>8.5</v>
      </c>
      <c r="Y1350" s="345">
        <v>215.5</v>
      </c>
      <c r="Z1350" s="345">
        <v>1936</v>
      </c>
      <c r="AA1350">
        <f t="shared" si="20"/>
        <v>10</v>
      </c>
    </row>
    <row r="1351" spans="1:27" ht="28.8" x14ac:dyDescent="0.3">
      <c r="A1351" s="345" t="s">
        <v>3012</v>
      </c>
      <c r="B1351" s="805"/>
      <c r="C1351" s="802"/>
      <c r="D1351" s="802"/>
      <c r="E1351" s="803"/>
      <c r="F1351" s="805">
        <v>227.5</v>
      </c>
      <c r="G1351" s="803"/>
      <c r="H1351" s="345">
        <v>2245.5</v>
      </c>
      <c r="I1351" s="345">
        <v>0.5</v>
      </c>
      <c r="J1351" s="345">
        <v>289.5</v>
      </c>
      <c r="K1351" s="345">
        <v>2384.5</v>
      </c>
      <c r="L1351" s="346"/>
      <c r="M1351" s="346"/>
      <c r="N1351" s="346"/>
      <c r="O1351" s="345"/>
      <c r="P1351" s="345"/>
      <c r="Q1351" s="345"/>
      <c r="R1351" s="345"/>
      <c r="S1351" s="345"/>
      <c r="T1351" s="345"/>
      <c r="U1351" s="345">
        <v>0.5</v>
      </c>
      <c r="V1351" s="345">
        <v>244.5</v>
      </c>
      <c r="W1351" s="345">
        <v>2240</v>
      </c>
      <c r="X1351" s="345">
        <v>0.5</v>
      </c>
      <c r="Y1351" s="345">
        <v>216</v>
      </c>
      <c r="Z1351" s="345">
        <v>1936.5</v>
      </c>
      <c r="AA1351">
        <f t="shared" si="20"/>
        <v>0.5</v>
      </c>
    </row>
    <row r="1352" spans="1:27" ht="28.8" x14ac:dyDescent="0.3">
      <c r="A1352" s="345" t="s">
        <v>3013</v>
      </c>
      <c r="B1352" s="805"/>
      <c r="C1352" s="802"/>
      <c r="D1352" s="802"/>
      <c r="E1352" s="803"/>
      <c r="F1352" s="805">
        <v>230</v>
      </c>
      <c r="G1352" s="803"/>
      <c r="H1352" s="345">
        <v>2248</v>
      </c>
      <c r="I1352" s="345">
        <v>2.5</v>
      </c>
      <c r="J1352" s="345">
        <v>292</v>
      </c>
      <c r="K1352" s="345">
        <v>2387</v>
      </c>
      <c r="L1352" s="346"/>
      <c r="M1352" s="346"/>
      <c r="N1352" s="346"/>
      <c r="O1352" s="345"/>
      <c r="P1352" s="345"/>
      <c r="Q1352" s="345"/>
      <c r="R1352" s="345">
        <v>0</v>
      </c>
      <c r="S1352" s="345">
        <v>0</v>
      </c>
      <c r="T1352" s="345">
        <v>1008.3</v>
      </c>
      <c r="U1352" s="345">
        <v>2.5</v>
      </c>
      <c r="V1352" s="345">
        <v>247</v>
      </c>
      <c r="W1352" s="345">
        <v>2242.5</v>
      </c>
      <c r="X1352" s="345">
        <v>1.5</v>
      </c>
      <c r="Y1352" s="345">
        <v>217.5</v>
      </c>
      <c r="Z1352" s="345">
        <v>1938</v>
      </c>
      <c r="AA1352">
        <f t="shared" si="20"/>
        <v>2.5</v>
      </c>
    </row>
    <row r="1353" spans="1:27" ht="28.8" x14ac:dyDescent="0.3">
      <c r="A1353" s="345" t="s">
        <v>3014</v>
      </c>
      <c r="B1353" s="805"/>
      <c r="C1353" s="802"/>
      <c r="D1353" s="802"/>
      <c r="E1353" s="803"/>
      <c r="F1353" s="805">
        <v>237.5</v>
      </c>
      <c r="G1353" s="803"/>
      <c r="H1353" s="345">
        <v>2255.5</v>
      </c>
      <c r="I1353" s="345">
        <v>7.5</v>
      </c>
      <c r="J1353" s="345">
        <v>299.5</v>
      </c>
      <c r="K1353" s="345">
        <v>2394.5</v>
      </c>
      <c r="L1353" s="346"/>
      <c r="M1353" s="346"/>
      <c r="N1353" s="346"/>
      <c r="O1353" s="345"/>
      <c r="P1353" s="345"/>
      <c r="Q1353" s="345"/>
      <c r="R1353" s="345">
        <v>0</v>
      </c>
      <c r="S1353" s="345">
        <v>0</v>
      </c>
      <c r="T1353" s="345">
        <v>1008.3</v>
      </c>
      <c r="U1353" s="345">
        <v>5.5</v>
      </c>
      <c r="V1353" s="345">
        <v>252.5</v>
      </c>
      <c r="W1353" s="345">
        <v>2248</v>
      </c>
      <c r="X1353" s="345">
        <v>4.5</v>
      </c>
      <c r="Y1353" s="345">
        <v>222</v>
      </c>
      <c r="Z1353" s="345">
        <v>1942.5</v>
      </c>
      <c r="AA1353">
        <f t="shared" si="20"/>
        <v>7.5</v>
      </c>
    </row>
    <row r="1354" spans="1:27" ht="28.8" x14ac:dyDescent="0.3">
      <c r="A1354" s="345" t="s">
        <v>3015</v>
      </c>
      <c r="B1354" s="805"/>
      <c r="C1354" s="802"/>
      <c r="D1354" s="802"/>
      <c r="E1354" s="803"/>
      <c r="F1354" s="805">
        <v>239.5</v>
      </c>
      <c r="G1354" s="803"/>
      <c r="H1354" s="345">
        <v>2257.5</v>
      </c>
      <c r="I1354" s="345">
        <v>2</v>
      </c>
      <c r="J1354" s="345">
        <v>301.5</v>
      </c>
      <c r="K1354" s="345">
        <v>2396.5</v>
      </c>
      <c r="L1354" s="346"/>
      <c r="M1354" s="346"/>
      <c r="N1354" s="346"/>
      <c r="O1354" s="345"/>
      <c r="P1354" s="345"/>
      <c r="Q1354" s="345"/>
      <c r="R1354" s="345">
        <v>0</v>
      </c>
      <c r="S1354" s="345">
        <v>0</v>
      </c>
      <c r="T1354" s="345">
        <v>1008.3</v>
      </c>
      <c r="U1354" s="345">
        <v>1.5</v>
      </c>
      <c r="V1354" s="345">
        <v>254</v>
      </c>
      <c r="W1354" s="345">
        <v>2249.5</v>
      </c>
      <c r="X1354" s="345">
        <v>1.5</v>
      </c>
      <c r="Y1354" s="345">
        <v>223.5</v>
      </c>
      <c r="Z1354" s="345">
        <v>1944</v>
      </c>
      <c r="AA1354">
        <f t="shared" si="20"/>
        <v>2</v>
      </c>
    </row>
    <row r="1355" spans="1:27" ht="28.8" x14ac:dyDescent="0.3">
      <c r="A1355" s="345" t="s">
        <v>3016</v>
      </c>
      <c r="B1355" s="805"/>
      <c r="C1355" s="802"/>
      <c r="D1355" s="802"/>
      <c r="E1355" s="803"/>
      <c r="F1355" s="805">
        <v>240</v>
      </c>
      <c r="G1355" s="803"/>
      <c r="H1355" s="345">
        <v>2258</v>
      </c>
      <c r="I1355" s="345">
        <v>0.5</v>
      </c>
      <c r="J1355" s="345">
        <v>302</v>
      </c>
      <c r="K1355" s="345">
        <v>2397</v>
      </c>
      <c r="L1355" s="346"/>
      <c r="M1355" s="346"/>
      <c r="N1355" s="346"/>
      <c r="O1355" s="345"/>
      <c r="P1355" s="345"/>
      <c r="Q1355" s="345"/>
      <c r="R1355" s="345">
        <v>0</v>
      </c>
      <c r="S1355" s="345">
        <v>0</v>
      </c>
      <c r="T1355" s="345">
        <v>1008.3</v>
      </c>
      <c r="U1355" s="345">
        <v>0.5</v>
      </c>
      <c r="V1355" s="345">
        <v>254.5</v>
      </c>
      <c r="W1355" s="345">
        <v>2250</v>
      </c>
      <c r="X1355" s="345">
        <v>0.5</v>
      </c>
      <c r="Y1355" s="345">
        <v>224</v>
      </c>
      <c r="Z1355" s="345">
        <v>1944.5</v>
      </c>
      <c r="AA1355">
        <f t="shared" si="20"/>
        <v>0.5</v>
      </c>
    </row>
    <row r="1356" spans="1:27" ht="28.8" x14ac:dyDescent="0.3">
      <c r="A1356" s="345" t="s">
        <v>3017</v>
      </c>
      <c r="B1356" s="805"/>
      <c r="C1356" s="802"/>
      <c r="D1356" s="802"/>
      <c r="E1356" s="803"/>
      <c r="F1356" s="805">
        <v>255</v>
      </c>
      <c r="G1356" s="803"/>
      <c r="H1356" s="345">
        <v>2273</v>
      </c>
      <c r="I1356" s="345">
        <v>13.5</v>
      </c>
      <c r="J1356" s="345">
        <v>315.5</v>
      </c>
      <c r="K1356" s="345">
        <v>2410.5</v>
      </c>
      <c r="L1356" s="346"/>
      <c r="M1356" s="346"/>
      <c r="N1356" s="346"/>
      <c r="O1356" s="345"/>
      <c r="P1356" s="345"/>
      <c r="Q1356" s="345"/>
      <c r="R1356" s="345"/>
      <c r="S1356" s="345"/>
      <c r="T1356" s="345"/>
      <c r="U1356" s="345">
        <v>29.5</v>
      </c>
      <c r="V1356" s="345">
        <v>284</v>
      </c>
      <c r="W1356" s="345">
        <v>2279.5</v>
      </c>
      <c r="X1356" s="345">
        <v>29</v>
      </c>
      <c r="Y1356" s="345">
        <v>253</v>
      </c>
      <c r="Z1356" s="345">
        <v>1973.5</v>
      </c>
      <c r="AA1356">
        <f t="shared" si="20"/>
        <v>13.5</v>
      </c>
    </row>
    <row r="1357" spans="1:27" ht="28.8" x14ac:dyDescent="0.3">
      <c r="A1357" s="345" t="s">
        <v>3018</v>
      </c>
      <c r="B1357" s="805"/>
      <c r="C1357" s="802"/>
      <c r="D1357" s="802"/>
      <c r="E1357" s="803"/>
      <c r="F1357" s="805">
        <v>260</v>
      </c>
      <c r="G1357" s="803"/>
      <c r="H1357" s="345">
        <v>2278</v>
      </c>
      <c r="I1357" s="345">
        <v>5.5</v>
      </c>
      <c r="J1357" s="345">
        <v>321</v>
      </c>
      <c r="K1357" s="345">
        <v>2416</v>
      </c>
      <c r="L1357" s="346"/>
      <c r="M1357" s="346"/>
      <c r="N1357" s="346"/>
      <c r="O1357" s="345"/>
      <c r="P1357" s="345"/>
      <c r="Q1357" s="345"/>
      <c r="R1357" s="345">
        <v>0</v>
      </c>
      <c r="S1357" s="345">
        <v>0</v>
      </c>
      <c r="T1357" s="345">
        <v>1008.3</v>
      </c>
      <c r="U1357" s="345">
        <v>6</v>
      </c>
      <c r="V1357" s="345">
        <v>290</v>
      </c>
      <c r="W1357" s="345">
        <v>2285.5</v>
      </c>
      <c r="X1357" s="345">
        <v>5</v>
      </c>
      <c r="Y1357" s="345">
        <v>258</v>
      </c>
      <c r="Z1357" s="345">
        <v>1978.5</v>
      </c>
      <c r="AA1357">
        <f t="shared" si="20"/>
        <v>5.5</v>
      </c>
    </row>
    <row r="1358" spans="1:27" ht="28.8" x14ac:dyDescent="0.3">
      <c r="A1358" s="345" t="s">
        <v>3019</v>
      </c>
      <c r="B1358" s="805"/>
      <c r="C1358" s="802"/>
      <c r="D1358" s="802"/>
      <c r="E1358" s="803"/>
      <c r="F1358" s="805">
        <v>267.5</v>
      </c>
      <c r="G1358" s="803"/>
      <c r="H1358" s="345">
        <v>2285.5</v>
      </c>
      <c r="I1358" s="345">
        <v>6.5</v>
      </c>
      <c r="J1358" s="345">
        <v>327.5</v>
      </c>
      <c r="K1358" s="345">
        <v>2422.5</v>
      </c>
      <c r="L1358" s="346"/>
      <c r="M1358" s="346"/>
      <c r="N1358" s="346"/>
      <c r="O1358" s="345"/>
      <c r="P1358" s="345"/>
      <c r="Q1358" s="345"/>
      <c r="R1358" s="345"/>
      <c r="S1358" s="345"/>
      <c r="T1358" s="345"/>
      <c r="U1358" s="345">
        <v>6</v>
      </c>
      <c r="V1358" s="345">
        <v>296</v>
      </c>
      <c r="W1358" s="345">
        <v>2291.5</v>
      </c>
      <c r="X1358" s="345">
        <v>4</v>
      </c>
      <c r="Y1358" s="345">
        <v>262</v>
      </c>
      <c r="Z1358" s="345">
        <v>1982.5</v>
      </c>
      <c r="AA1358">
        <f t="shared" si="20"/>
        <v>6.5</v>
      </c>
    </row>
    <row r="1359" spans="1:27" ht="28.8" x14ac:dyDescent="0.3">
      <c r="A1359" s="345" t="s">
        <v>3020</v>
      </c>
      <c r="B1359" s="805"/>
      <c r="C1359" s="802"/>
      <c r="D1359" s="802"/>
      <c r="E1359" s="803"/>
      <c r="F1359" s="805">
        <v>321</v>
      </c>
      <c r="G1359" s="803"/>
      <c r="H1359" s="345">
        <v>2339</v>
      </c>
      <c r="I1359" s="345">
        <v>58</v>
      </c>
      <c r="J1359" s="345">
        <v>385.5</v>
      </c>
      <c r="K1359" s="345">
        <v>2480.5</v>
      </c>
      <c r="L1359" s="346"/>
      <c r="M1359" s="346"/>
      <c r="N1359" s="346"/>
      <c r="O1359" s="345"/>
      <c r="P1359" s="345"/>
      <c r="Q1359" s="345"/>
      <c r="R1359" s="345"/>
      <c r="S1359" s="345"/>
      <c r="T1359" s="345"/>
      <c r="U1359" s="345">
        <v>56</v>
      </c>
      <c r="V1359" s="345">
        <v>352</v>
      </c>
      <c r="W1359" s="345">
        <v>2347.5</v>
      </c>
      <c r="X1359" s="345">
        <v>42</v>
      </c>
      <c r="Y1359" s="345">
        <v>304</v>
      </c>
      <c r="Z1359" s="345">
        <v>2024.5</v>
      </c>
      <c r="AA1359">
        <f t="shared" si="20"/>
        <v>58</v>
      </c>
    </row>
    <row r="1360" spans="1:27" ht="28.8" x14ac:dyDescent="0.3">
      <c r="A1360" s="345" t="s">
        <v>3021</v>
      </c>
      <c r="B1360" s="805"/>
      <c r="C1360" s="802"/>
      <c r="D1360" s="802"/>
      <c r="E1360" s="803"/>
      <c r="F1360" s="805">
        <v>329.5</v>
      </c>
      <c r="G1360" s="803"/>
      <c r="H1360" s="345">
        <v>2347.5</v>
      </c>
      <c r="I1360" s="345">
        <v>13</v>
      </c>
      <c r="J1360" s="345">
        <v>398.5</v>
      </c>
      <c r="K1360" s="345">
        <v>2493.5</v>
      </c>
      <c r="L1360" s="346"/>
      <c r="M1360" s="346"/>
      <c r="N1360" s="346"/>
      <c r="O1360" s="345"/>
      <c r="P1360" s="345"/>
      <c r="Q1360" s="345"/>
      <c r="R1360" s="345"/>
      <c r="S1360" s="345"/>
      <c r="T1360" s="345"/>
      <c r="U1360" s="345">
        <v>8</v>
      </c>
      <c r="V1360" s="345">
        <v>360</v>
      </c>
      <c r="W1360" s="345">
        <v>2355.5</v>
      </c>
      <c r="X1360" s="345">
        <v>6.5</v>
      </c>
      <c r="Y1360" s="345">
        <v>310.5</v>
      </c>
      <c r="Z1360" s="345">
        <v>2031</v>
      </c>
      <c r="AA1360">
        <f t="shared" si="20"/>
        <v>13</v>
      </c>
    </row>
    <row r="1361" spans="1:27" ht="28.8" x14ac:dyDescent="0.3">
      <c r="A1361" s="345" t="s">
        <v>3022</v>
      </c>
      <c r="B1361" s="805"/>
      <c r="C1361" s="802"/>
      <c r="D1361" s="802"/>
      <c r="E1361" s="803"/>
      <c r="F1361" s="805">
        <v>340.55</v>
      </c>
      <c r="G1361" s="803"/>
      <c r="H1361" s="345">
        <v>2358.5500000000002</v>
      </c>
      <c r="I1361" s="345">
        <v>13</v>
      </c>
      <c r="J1361" s="345">
        <v>411.5</v>
      </c>
      <c r="K1361" s="345">
        <v>2506.5</v>
      </c>
      <c r="L1361" s="346"/>
      <c r="M1361" s="346"/>
      <c r="N1361" s="346"/>
      <c r="O1361" s="345"/>
      <c r="P1361" s="345"/>
      <c r="Q1361" s="345"/>
      <c r="R1361" s="345">
        <v>0</v>
      </c>
      <c r="S1361" s="345">
        <v>0</v>
      </c>
      <c r="T1361" s="345">
        <v>1008.3</v>
      </c>
      <c r="U1361" s="345">
        <v>10.050000000000001</v>
      </c>
      <c r="V1361" s="345">
        <v>370.05</v>
      </c>
      <c r="W1361" s="345">
        <v>2365.5500000000002</v>
      </c>
      <c r="X1361" s="345">
        <v>8.0500000000000007</v>
      </c>
      <c r="Y1361" s="345">
        <v>318.55</v>
      </c>
      <c r="Z1361" s="345">
        <v>2039.05</v>
      </c>
      <c r="AA1361">
        <f t="shared" si="20"/>
        <v>13</v>
      </c>
    </row>
    <row r="1362" spans="1:27" ht="28.8" x14ac:dyDescent="0.3">
      <c r="A1362" s="345" t="s">
        <v>3023</v>
      </c>
      <c r="B1362" s="805"/>
      <c r="C1362" s="802"/>
      <c r="D1362" s="802"/>
      <c r="E1362" s="803"/>
      <c r="F1362" s="805">
        <v>368.05</v>
      </c>
      <c r="G1362" s="803"/>
      <c r="H1362" s="345">
        <v>2386.0500000000002</v>
      </c>
      <c r="I1362" s="345">
        <v>28.5</v>
      </c>
      <c r="J1362" s="345">
        <v>440</v>
      </c>
      <c r="K1362" s="345">
        <v>2535</v>
      </c>
      <c r="L1362" s="346"/>
      <c r="M1362" s="346"/>
      <c r="N1362" s="346"/>
      <c r="O1362" s="345"/>
      <c r="P1362" s="345"/>
      <c r="Q1362" s="345"/>
      <c r="R1362" s="345">
        <v>0</v>
      </c>
      <c r="S1362" s="345">
        <v>0</v>
      </c>
      <c r="T1362" s="345">
        <v>1008.3</v>
      </c>
      <c r="U1362" s="345">
        <v>23</v>
      </c>
      <c r="V1362" s="345">
        <v>393.05</v>
      </c>
      <c r="W1362" s="345">
        <v>2388.5500000000002</v>
      </c>
      <c r="X1362" s="345">
        <v>23</v>
      </c>
      <c r="Y1362" s="345">
        <v>341.55</v>
      </c>
      <c r="Z1362" s="345">
        <v>2062.0500000000002</v>
      </c>
      <c r="AA1362">
        <f t="shared" ref="AA1362:AA1425" si="21">MAX(B1362+I1362+L1362+O1362)</f>
        <v>28.5</v>
      </c>
    </row>
    <row r="1363" spans="1:27" ht="28.8" x14ac:dyDescent="0.3">
      <c r="A1363" s="345" t="s">
        <v>3024</v>
      </c>
      <c r="B1363" s="805"/>
      <c r="C1363" s="802"/>
      <c r="D1363" s="802"/>
      <c r="E1363" s="803"/>
      <c r="F1363" s="805">
        <v>381.05</v>
      </c>
      <c r="G1363" s="803"/>
      <c r="H1363" s="345">
        <v>2399.0500000000002</v>
      </c>
      <c r="I1363" s="345">
        <v>13</v>
      </c>
      <c r="J1363" s="345">
        <v>453</v>
      </c>
      <c r="K1363" s="345">
        <v>2548</v>
      </c>
      <c r="L1363" s="346"/>
      <c r="M1363" s="346"/>
      <c r="N1363" s="346"/>
      <c r="O1363" s="345"/>
      <c r="P1363" s="345"/>
      <c r="Q1363" s="345"/>
      <c r="R1363" s="345">
        <v>0</v>
      </c>
      <c r="S1363" s="345">
        <v>0</v>
      </c>
      <c r="T1363" s="345">
        <v>1008.3</v>
      </c>
      <c r="U1363" s="345">
        <v>13.5</v>
      </c>
      <c r="V1363" s="345">
        <v>406.55</v>
      </c>
      <c r="W1363" s="345">
        <v>2402.0500000000002</v>
      </c>
      <c r="X1363" s="345">
        <v>13.5</v>
      </c>
      <c r="Y1363" s="345">
        <v>355.05</v>
      </c>
      <c r="Z1363" s="345">
        <v>2075.5500000000002</v>
      </c>
      <c r="AA1363">
        <f t="shared" si="21"/>
        <v>13</v>
      </c>
    </row>
    <row r="1364" spans="1:27" ht="28.8" x14ac:dyDescent="0.3">
      <c r="A1364" s="345" t="s">
        <v>3025</v>
      </c>
      <c r="B1364" s="805"/>
      <c r="C1364" s="802"/>
      <c r="D1364" s="802"/>
      <c r="E1364" s="803"/>
      <c r="F1364" s="805">
        <v>405.05</v>
      </c>
      <c r="G1364" s="803"/>
      <c r="H1364" s="345">
        <v>2423.0500000000002</v>
      </c>
      <c r="I1364" s="345">
        <v>24</v>
      </c>
      <c r="J1364" s="345">
        <v>477</v>
      </c>
      <c r="K1364" s="345">
        <v>2572</v>
      </c>
      <c r="L1364" s="346"/>
      <c r="M1364" s="346"/>
      <c r="N1364" s="346"/>
      <c r="O1364" s="345"/>
      <c r="P1364" s="345"/>
      <c r="Q1364" s="345"/>
      <c r="R1364" s="345">
        <v>0</v>
      </c>
      <c r="S1364" s="345">
        <v>0</v>
      </c>
      <c r="T1364" s="345">
        <v>1008.3</v>
      </c>
      <c r="U1364" s="345">
        <v>23.5</v>
      </c>
      <c r="V1364" s="345">
        <v>430.05</v>
      </c>
      <c r="W1364" s="345">
        <v>2425.5500000000002</v>
      </c>
      <c r="X1364" s="345">
        <v>24</v>
      </c>
      <c r="Y1364" s="345">
        <v>379.05</v>
      </c>
      <c r="Z1364" s="345">
        <v>2099.5500000000002</v>
      </c>
      <c r="AA1364">
        <f t="shared" si="21"/>
        <v>24</v>
      </c>
    </row>
    <row r="1365" spans="1:27" ht="28.8" x14ac:dyDescent="0.3">
      <c r="A1365" s="345" t="s">
        <v>3026</v>
      </c>
      <c r="B1365" s="805"/>
      <c r="C1365" s="802"/>
      <c r="D1365" s="802"/>
      <c r="E1365" s="803"/>
      <c r="F1365" s="805">
        <v>407.55</v>
      </c>
      <c r="G1365" s="803"/>
      <c r="H1365" s="345">
        <v>2425.5500000000002</v>
      </c>
      <c r="I1365" s="345">
        <v>2</v>
      </c>
      <c r="J1365" s="345">
        <v>479</v>
      </c>
      <c r="K1365" s="345">
        <v>2574</v>
      </c>
      <c r="L1365" s="346"/>
      <c r="M1365" s="346"/>
      <c r="N1365" s="346"/>
      <c r="O1365" s="345"/>
      <c r="P1365" s="345"/>
      <c r="Q1365" s="345"/>
      <c r="R1365" s="345"/>
      <c r="S1365" s="345"/>
      <c r="T1365" s="345"/>
      <c r="U1365" s="345">
        <v>2</v>
      </c>
      <c r="V1365" s="345">
        <v>432.05</v>
      </c>
      <c r="W1365" s="345">
        <v>2427.5500000000002</v>
      </c>
      <c r="X1365" s="345">
        <v>2</v>
      </c>
      <c r="Y1365" s="345">
        <v>381.05</v>
      </c>
      <c r="Z1365" s="345">
        <v>2101.5500000000002</v>
      </c>
      <c r="AA1365">
        <f t="shared" si="21"/>
        <v>2</v>
      </c>
    </row>
    <row r="1366" spans="1:27" ht="28.8" x14ac:dyDescent="0.3">
      <c r="A1366" s="345" t="s">
        <v>3027</v>
      </c>
      <c r="B1366" s="805"/>
      <c r="C1366" s="802"/>
      <c r="D1366" s="802"/>
      <c r="E1366" s="803"/>
      <c r="F1366" s="805">
        <v>408.55</v>
      </c>
      <c r="G1366" s="803"/>
      <c r="H1366" s="345">
        <v>2426.5500000000002</v>
      </c>
      <c r="I1366" s="345">
        <v>1.5</v>
      </c>
      <c r="J1366" s="345">
        <v>480.5</v>
      </c>
      <c r="K1366" s="345">
        <v>2575.5</v>
      </c>
      <c r="L1366" s="346"/>
      <c r="M1366" s="346"/>
      <c r="N1366" s="346"/>
      <c r="O1366" s="345"/>
      <c r="P1366" s="345"/>
      <c r="Q1366" s="345"/>
      <c r="R1366" s="345"/>
      <c r="S1366" s="345"/>
      <c r="T1366" s="345"/>
      <c r="U1366" s="345">
        <v>1</v>
      </c>
      <c r="V1366" s="345">
        <v>433.05</v>
      </c>
      <c r="W1366" s="345">
        <v>2428.5500000000002</v>
      </c>
      <c r="X1366" s="345">
        <v>1</v>
      </c>
      <c r="Y1366" s="345">
        <v>382.05</v>
      </c>
      <c r="Z1366" s="345">
        <v>2102.5500000000002</v>
      </c>
      <c r="AA1366">
        <f t="shared" si="21"/>
        <v>1.5</v>
      </c>
    </row>
    <row r="1367" spans="1:27" ht="28.8" x14ac:dyDescent="0.3">
      <c r="A1367" s="345" t="s">
        <v>3028</v>
      </c>
      <c r="B1367" s="805"/>
      <c r="C1367" s="802"/>
      <c r="D1367" s="802"/>
      <c r="E1367" s="803"/>
      <c r="F1367" s="805">
        <v>408.55</v>
      </c>
      <c r="G1367" s="803"/>
      <c r="H1367" s="345">
        <v>2426.5500000000002</v>
      </c>
      <c r="I1367" s="345">
        <v>0</v>
      </c>
      <c r="J1367" s="345">
        <v>480.5</v>
      </c>
      <c r="K1367" s="345">
        <v>2575.5</v>
      </c>
      <c r="L1367" s="346"/>
      <c r="M1367" s="346"/>
      <c r="N1367" s="346"/>
      <c r="O1367" s="345"/>
      <c r="P1367" s="345"/>
      <c r="Q1367" s="345"/>
      <c r="R1367" s="345">
        <v>0</v>
      </c>
      <c r="S1367" s="345">
        <v>0</v>
      </c>
      <c r="T1367" s="345">
        <v>1008.3</v>
      </c>
      <c r="U1367" s="345">
        <v>0</v>
      </c>
      <c r="V1367" s="345">
        <v>433.05</v>
      </c>
      <c r="W1367" s="345">
        <v>2428.5500000000002</v>
      </c>
      <c r="X1367" s="345">
        <v>0</v>
      </c>
      <c r="Y1367" s="345">
        <v>382.05</v>
      </c>
      <c r="Z1367" s="345">
        <v>2102.5500000000002</v>
      </c>
      <c r="AA1367">
        <f t="shared" si="21"/>
        <v>0</v>
      </c>
    </row>
    <row r="1368" spans="1:27" ht="28.8" x14ac:dyDescent="0.3">
      <c r="A1368" s="345" t="s">
        <v>3029</v>
      </c>
      <c r="B1368" s="805"/>
      <c r="C1368" s="802"/>
      <c r="D1368" s="802"/>
      <c r="E1368" s="803"/>
      <c r="F1368" s="805">
        <v>408.55</v>
      </c>
      <c r="G1368" s="803"/>
      <c r="H1368" s="345">
        <v>2426.5500000000002</v>
      </c>
      <c r="I1368" s="345">
        <v>0</v>
      </c>
      <c r="J1368" s="345">
        <v>480.5</v>
      </c>
      <c r="K1368" s="345">
        <v>2575.5</v>
      </c>
      <c r="L1368" s="346"/>
      <c r="M1368" s="346"/>
      <c r="N1368" s="346"/>
      <c r="O1368" s="345"/>
      <c r="P1368" s="345"/>
      <c r="Q1368" s="345"/>
      <c r="R1368" s="345">
        <v>0</v>
      </c>
      <c r="S1368" s="345">
        <v>0</v>
      </c>
      <c r="T1368" s="345">
        <v>1008.3</v>
      </c>
      <c r="U1368" s="345">
        <v>0</v>
      </c>
      <c r="V1368" s="345">
        <v>433.05</v>
      </c>
      <c r="W1368" s="345">
        <v>2428.5500000000002</v>
      </c>
      <c r="X1368" s="345">
        <v>0</v>
      </c>
      <c r="Y1368" s="345">
        <v>382.05</v>
      </c>
      <c r="Z1368" s="345">
        <v>2102.5500000000002</v>
      </c>
      <c r="AA1368">
        <f t="shared" si="21"/>
        <v>0</v>
      </c>
    </row>
    <row r="1369" spans="1:27" ht="28.8" x14ac:dyDescent="0.3">
      <c r="A1369" s="345" t="s">
        <v>3030</v>
      </c>
      <c r="B1369" s="805"/>
      <c r="C1369" s="802"/>
      <c r="D1369" s="802"/>
      <c r="E1369" s="803"/>
      <c r="F1369" s="805">
        <v>408.55</v>
      </c>
      <c r="G1369" s="803"/>
      <c r="H1369" s="345">
        <v>2426.5500000000002</v>
      </c>
      <c r="I1369" s="345">
        <v>0.5</v>
      </c>
      <c r="J1369" s="345">
        <v>481</v>
      </c>
      <c r="K1369" s="345">
        <v>2576</v>
      </c>
      <c r="L1369" s="346"/>
      <c r="M1369" s="346"/>
      <c r="N1369" s="346"/>
      <c r="O1369" s="345"/>
      <c r="P1369" s="345"/>
      <c r="Q1369" s="345"/>
      <c r="R1369" s="345">
        <v>0</v>
      </c>
      <c r="S1369" s="345">
        <v>0</v>
      </c>
      <c r="T1369" s="345">
        <v>1008.3</v>
      </c>
      <c r="U1369" s="345">
        <v>0.5</v>
      </c>
      <c r="V1369" s="345">
        <v>433.55</v>
      </c>
      <c r="W1369" s="345">
        <v>2429.0500000000002</v>
      </c>
      <c r="X1369" s="345">
        <v>0</v>
      </c>
      <c r="Y1369" s="345">
        <v>382.05</v>
      </c>
      <c r="Z1369" s="345">
        <v>2102.5500000000002</v>
      </c>
      <c r="AA1369">
        <f t="shared" si="21"/>
        <v>0.5</v>
      </c>
    </row>
    <row r="1370" spans="1:27" ht="28.8" x14ac:dyDescent="0.3">
      <c r="A1370" s="345" t="s">
        <v>3031</v>
      </c>
      <c r="B1370" s="805"/>
      <c r="C1370" s="802"/>
      <c r="D1370" s="802"/>
      <c r="E1370" s="803"/>
      <c r="F1370" s="805">
        <v>408.55</v>
      </c>
      <c r="G1370" s="803"/>
      <c r="H1370" s="345">
        <v>2426.5500000000002</v>
      </c>
      <c r="I1370" s="345">
        <v>0</v>
      </c>
      <c r="J1370" s="345">
        <v>481</v>
      </c>
      <c r="K1370" s="345">
        <v>2576</v>
      </c>
      <c r="L1370" s="346"/>
      <c r="M1370" s="346"/>
      <c r="N1370" s="346"/>
      <c r="O1370" s="345"/>
      <c r="P1370" s="345"/>
      <c r="Q1370" s="345"/>
      <c r="R1370" s="345">
        <v>0</v>
      </c>
      <c r="S1370" s="345">
        <v>0</v>
      </c>
      <c r="T1370" s="345">
        <v>1008.3</v>
      </c>
      <c r="U1370" s="345">
        <v>0</v>
      </c>
      <c r="V1370" s="345">
        <v>433.55</v>
      </c>
      <c r="W1370" s="345">
        <v>2429.0500000000002</v>
      </c>
      <c r="X1370" s="345">
        <v>0</v>
      </c>
      <c r="Y1370" s="345">
        <v>382.05</v>
      </c>
      <c r="Z1370" s="345">
        <v>2102.5500000000002</v>
      </c>
      <c r="AA1370">
        <f t="shared" si="21"/>
        <v>0</v>
      </c>
    </row>
    <row r="1371" spans="1:27" s="362" customFormat="1" ht="28.8" x14ac:dyDescent="0.3">
      <c r="A1371" s="359" t="s">
        <v>3032</v>
      </c>
      <c r="B1371" s="811"/>
      <c r="C1371" s="812"/>
      <c r="D1371" s="812"/>
      <c r="E1371" s="813"/>
      <c r="F1371" s="811">
        <v>411.55</v>
      </c>
      <c r="G1371" s="813"/>
      <c r="H1371" s="359">
        <v>2429.5500000000002</v>
      </c>
      <c r="I1371" s="359">
        <v>3</v>
      </c>
      <c r="J1371" s="359">
        <v>484</v>
      </c>
      <c r="K1371" s="359">
        <v>2579</v>
      </c>
      <c r="L1371" s="359"/>
      <c r="M1371" s="359"/>
      <c r="N1371" s="359"/>
      <c r="O1371" s="359"/>
      <c r="P1371" s="359"/>
      <c r="Q1371" s="359"/>
      <c r="R1371" s="359">
        <v>0</v>
      </c>
      <c r="S1371" s="359">
        <v>0</v>
      </c>
      <c r="T1371" s="359">
        <v>1008.3</v>
      </c>
      <c r="U1371" s="359">
        <v>2</v>
      </c>
      <c r="V1371" s="359">
        <v>435.55</v>
      </c>
      <c r="W1371" s="359">
        <v>2431.0500000000002</v>
      </c>
      <c r="X1371" s="359">
        <v>1.5</v>
      </c>
      <c r="Y1371" s="359">
        <v>383.55</v>
      </c>
      <c r="Z1371" s="359">
        <v>2104.0500000000002</v>
      </c>
      <c r="AA1371" s="362">
        <f t="shared" si="21"/>
        <v>3</v>
      </c>
    </row>
    <row r="1372" spans="1:27" ht="28.8" x14ac:dyDescent="0.3">
      <c r="A1372" s="345" t="s">
        <v>3033</v>
      </c>
      <c r="B1372" s="805"/>
      <c r="C1372" s="802"/>
      <c r="D1372" s="802"/>
      <c r="E1372" s="803"/>
      <c r="F1372" s="805">
        <v>0.5</v>
      </c>
      <c r="G1372" s="803"/>
      <c r="H1372" s="345">
        <v>2430.0500000000002</v>
      </c>
      <c r="I1372" s="345">
        <v>0.5</v>
      </c>
      <c r="J1372" s="345">
        <v>0.5</v>
      </c>
      <c r="K1372" s="345">
        <v>2579.5</v>
      </c>
      <c r="L1372" s="346"/>
      <c r="M1372" s="346"/>
      <c r="N1372" s="346"/>
      <c r="O1372" s="345"/>
      <c r="P1372" s="345"/>
      <c r="Q1372" s="345"/>
      <c r="R1372" s="345"/>
      <c r="S1372" s="345"/>
      <c r="T1372" s="345"/>
      <c r="U1372" s="345">
        <v>0</v>
      </c>
      <c r="V1372" s="345">
        <v>0</v>
      </c>
      <c r="W1372" s="345">
        <v>2431.0500000000002</v>
      </c>
      <c r="X1372" s="345">
        <v>0</v>
      </c>
      <c r="Y1372" s="345">
        <v>0</v>
      </c>
      <c r="Z1372" s="345">
        <v>2104.0500000000002</v>
      </c>
      <c r="AA1372">
        <f t="shared" si="21"/>
        <v>0.5</v>
      </c>
    </row>
    <row r="1373" spans="1:27" ht="28.8" x14ac:dyDescent="0.3">
      <c r="A1373" s="345" t="s">
        <v>3034</v>
      </c>
      <c r="B1373" s="805"/>
      <c r="C1373" s="802"/>
      <c r="D1373" s="802"/>
      <c r="E1373" s="803"/>
      <c r="F1373" s="805">
        <v>16</v>
      </c>
      <c r="G1373" s="803"/>
      <c r="H1373" s="345">
        <v>2445.5500000000002</v>
      </c>
      <c r="I1373" s="345">
        <v>21.5</v>
      </c>
      <c r="J1373" s="345">
        <v>22</v>
      </c>
      <c r="K1373" s="345">
        <v>2601</v>
      </c>
      <c r="L1373" s="346"/>
      <c r="M1373" s="346"/>
      <c r="N1373" s="346"/>
      <c r="O1373" s="345"/>
      <c r="P1373" s="345"/>
      <c r="Q1373" s="345"/>
      <c r="R1373" s="345"/>
      <c r="S1373" s="345"/>
      <c r="T1373" s="345"/>
      <c r="U1373" s="345">
        <v>17.5</v>
      </c>
      <c r="V1373" s="345">
        <v>17.5</v>
      </c>
      <c r="W1373" s="345">
        <v>2448.5500000000002</v>
      </c>
      <c r="X1373" s="345">
        <v>13.5</v>
      </c>
      <c r="Y1373" s="345">
        <v>13.5</v>
      </c>
      <c r="Z1373" s="345">
        <v>2117.5500000000002</v>
      </c>
      <c r="AA1373">
        <f t="shared" si="21"/>
        <v>21.5</v>
      </c>
    </row>
    <row r="1374" spans="1:27" ht="28.8" x14ac:dyDescent="0.3">
      <c r="A1374" s="345" t="s">
        <v>3035</v>
      </c>
      <c r="B1374" s="805"/>
      <c r="C1374" s="802"/>
      <c r="D1374" s="802"/>
      <c r="E1374" s="803"/>
      <c r="F1374" s="805">
        <v>25.5</v>
      </c>
      <c r="G1374" s="803"/>
      <c r="H1374" s="345">
        <v>2455.0500000000002</v>
      </c>
      <c r="I1374" s="345">
        <v>11</v>
      </c>
      <c r="J1374" s="345">
        <v>33</v>
      </c>
      <c r="K1374" s="345">
        <v>2612</v>
      </c>
      <c r="L1374" s="346"/>
      <c r="M1374" s="346"/>
      <c r="N1374" s="346"/>
      <c r="O1374" s="345"/>
      <c r="P1374" s="345"/>
      <c r="Q1374" s="345"/>
      <c r="R1374" s="345">
        <v>0</v>
      </c>
      <c r="S1374" s="345">
        <v>0</v>
      </c>
      <c r="T1374" s="345">
        <v>1008.3</v>
      </c>
      <c r="U1374" s="345">
        <v>10.5</v>
      </c>
      <c r="V1374" s="345">
        <v>28</v>
      </c>
      <c r="W1374" s="345">
        <v>2459.0500000000002</v>
      </c>
      <c r="X1374" s="345">
        <v>9</v>
      </c>
      <c r="Y1374" s="345">
        <v>22.5</v>
      </c>
      <c r="Z1374" s="345">
        <v>2126.5500000000002</v>
      </c>
      <c r="AA1374">
        <f t="shared" si="21"/>
        <v>11</v>
      </c>
    </row>
    <row r="1375" spans="1:27" ht="28.8" x14ac:dyDescent="0.3">
      <c r="A1375" s="345" t="s">
        <v>3036</v>
      </c>
      <c r="B1375" s="805"/>
      <c r="C1375" s="802"/>
      <c r="D1375" s="802"/>
      <c r="E1375" s="803"/>
      <c r="F1375" s="805">
        <v>25.5</v>
      </c>
      <c r="G1375" s="803"/>
      <c r="H1375" s="345">
        <v>2455.0500000000002</v>
      </c>
      <c r="I1375" s="345">
        <v>0</v>
      </c>
      <c r="J1375" s="345">
        <v>33</v>
      </c>
      <c r="K1375" s="345">
        <v>2612</v>
      </c>
      <c r="L1375" s="346"/>
      <c r="M1375" s="346"/>
      <c r="N1375" s="346"/>
      <c r="O1375" s="345"/>
      <c r="P1375" s="345"/>
      <c r="Q1375" s="345"/>
      <c r="R1375" s="345">
        <v>0</v>
      </c>
      <c r="S1375" s="345">
        <v>0</v>
      </c>
      <c r="T1375" s="345">
        <v>1008.3</v>
      </c>
      <c r="U1375" s="345">
        <v>0</v>
      </c>
      <c r="V1375" s="345">
        <v>28</v>
      </c>
      <c r="W1375" s="345">
        <v>2459.0500000000002</v>
      </c>
      <c r="X1375" s="345">
        <v>0</v>
      </c>
      <c r="Y1375" s="345">
        <v>22.5</v>
      </c>
      <c r="Z1375" s="345">
        <v>2126.5500000000002</v>
      </c>
      <c r="AA1375">
        <f t="shared" si="21"/>
        <v>0</v>
      </c>
    </row>
    <row r="1376" spans="1:27" ht="28.8" x14ac:dyDescent="0.3">
      <c r="A1376" s="345" t="s">
        <v>3037</v>
      </c>
      <c r="B1376" s="805"/>
      <c r="C1376" s="802"/>
      <c r="D1376" s="802"/>
      <c r="E1376" s="803"/>
      <c r="F1376" s="805">
        <v>25.5</v>
      </c>
      <c r="G1376" s="803"/>
      <c r="H1376" s="345">
        <v>2455.0500000000002</v>
      </c>
      <c r="I1376" s="345">
        <v>0</v>
      </c>
      <c r="J1376" s="345">
        <v>33</v>
      </c>
      <c r="K1376" s="345">
        <v>2612</v>
      </c>
      <c r="L1376" s="346"/>
      <c r="M1376" s="346"/>
      <c r="N1376" s="346"/>
      <c r="O1376" s="345"/>
      <c r="P1376" s="345"/>
      <c r="Q1376" s="345"/>
      <c r="R1376" s="345">
        <v>0</v>
      </c>
      <c r="S1376" s="345">
        <v>0</v>
      </c>
      <c r="T1376" s="345">
        <v>1008.3</v>
      </c>
      <c r="U1376" s="345">
        <v>0</v>
      </c>
      <c r="V1376" s="345">
        <v>28</v>
      </c>
      <c r="W1376" s="345">
        <v>2459.0500000000002</v>
      </c>
      <c r="X1376" s="345">
        <v>0</v>
      </c>
      <c r="Y1376" s="345">
        <v>22.5</v>
      </c>
      <c r="Z1376" s="345">
        <v>2126.5500000000002</v>
      </c>
      <c r="AA1376">
        <f t="shared" si="21"/>
        <v>0</v>
      </c>
    </row>
    <row r="1377" spans="1:27" ht="28.8" x14ac:dyDescent="0.3">
      <c r="A1377" s="345" t="s">
        <v>3038</v>
      </c>
      <c r="B1377" s="805"/>
      <c r="C1377" s="802"/>
      <c r="D1377" s="802"/>
      <c r="E1377" s="803"/>
      <c r="F1377" s="805">
        <v>25.5</v>
      </c>
      <c r="G1377" s="803"/>
      <c r="H1377" s="345">
        <v>2455.0500000000002</v>
      </c>
      <c r="I1377" s="345">
        <v>0</v>
      </c>
      <c r="J1377" s="345">
        <v>33</v>
      </c>
      <c r="K1377" s="345">
        <v>2612</v>
      </c>
      <c r="L1377" s="346"/>
      <c r="M1377" s="346"/>
      <c r="N1377" s="346"/>
      <c r="O1377" s="345"/>
      <c r="P1377" s="345"/>
      <c r="Q1377" s="345"/>
      <c r="R1377" s="345">
        <v>0</v>
      </c>
      <c r="S1377" s="345">
        <v>0</v>
      </c>
      <c r="T1377" s="345">
        <v>1008.3</v>
      </c>
      <c r="U1377" s="345">
        <v>0</v>
      </c>
      <c r="V1377" s="345">
        <v>28</v>
      </c>
      <c r="W1377" s="345">
        <v>2459.0500000000002</v>
      </c>
      <c r="X1377" s="345">
        <v>0</v>
      </c>
      <c r="Y1377" s="345">
        <v>22.5</v>
      </c>
      <c r="Z1377" s="345">
        <v>2126.5500000000002</v>
      </c>
      <c r="AA1377">
        <f t="shared" si="21"/>
        <v>0</v>
      </c>
    </row>
    <row r="1378" spans="1:27" ht="28.8" x14ac:dyDescent="0.3">
      <c r="A1378" s="345" t="s">
        <v>3039</v>
      </c>
      <c r="B1378" s="805"/>
      <c r="C1378" s="802"/>
      <c r="D1378" s="802"/>
      <c r="E1378" s="803"/>
      <c r="F1378" s="805">
        <v>25.5</v>
      </c>
      <c r="G1378" s="803"/>
      <c r="H1378" s="345">
        <v>2455.0500000000002</v>
      </c>
      <c r="I1378" s="345">
        <v>0</v>
      </c>
      <c r="J1378" s="345">
        <v>33</v>
      </c>
      <c r="K1378" s="345">
        <v>2612</v>
      </c>
      <c r="L1378" s="346"/>
      <c r="M1378" s="346"/>
      <c r="N1378" s="346"/>
      <c r="O1378" s="345"/>
      <c r="P1378" s="345"/>
      <c r="Q1378" s="345"/>
      <c r="R1378" s="345">
        <v>0</v>
      </c>
      <c r="S1378" s="345">
        <v>0</v>
      </c>
      <c r="T1378" s="345">
        <v>1008.3</v>
      </c>
      <c r="U1378" s="345">
        <v>0</v>
      </c>
      <c r="V1378" s="345">
        <v>28</v>
      </c>
      <c r="W1378" s="345">
        <v>2459.0500000000002</v>
      </c>
      <c r="X1378" s="345">
        <v>0</v>
      </c>
      <c r="Y1378" s="345">
        <v>22.5</v>
      </c>
      <c r="Z1378" s="345">
        <v>2126.5500000000002</v>
      </c>
      <c r="AA1378">
        <f t="shared" si="21"/>
        <v>0</v>
      </c>
    </row>
    <row r="1379" spans="1:27" ht="28.8" x14ac:dyDescent="0.3">
      <c r="A1379" s="345" t="s">
        <v>3040</v>
      </c>
      <c r="B1379" s="805"/>
      <c r="C1379" s="802"/>
      <c r="D1379" s="802"/>
      <c r="E1379" s="803"/>
      <c r="F1379" s="805">
        <v>25.5</v>
      </c>
      <c r="G1379" s="803"/>
      <c r="H1379" s="345">
        <v>2455.0500000000002</v>
      </c>
      <c r="I1379" s="345">
        <v>0</v>
      </c>
      <c r="J1379" s="345">
        <v>33</v>
      </c>
      <c r="K1379" s="345">
        <v>2612</v>
      </c>
      <c r="L1379" s="346"/>
      <c r="M1379" s="346"/>
      <c r="N1379" s="346"/>
      <c r="O1379" s="345"/>
      <c r="P1379" s="345"/>
      <c r="Q1379" s="345"/>
      <c r="R1379" s="345"/>
      <c r="S1379" s="345"/>
      <c r="T1379" s="345"/>
      <c r="U1379" s="345">
        <v>0</v>
      </c>
      <c r="V1379" s="345">
        <v>28</v>
      </c>
      <c r="W1379" s="345">
        <v>2459.0500000000002</v>
      </c>
      <c r="X1379" s="345">
        <v>0</v>
      </c>
      <c r="Y1379" s="345">
        <v>22.5</v>
      </c>
      <c r="Z1379" s="345">
        <v>2126.5500000000002</v>
      </c>
      <c r="AA1379">
        <f t="shared" si="21"/>
        <v>0</v>
      </c>
    </row>
    <row r="1380" spans="1:27" ht="28.8" x14ac:dyDescent="0.3">
      <c r="A1380" s="345" t="s">
        <v>3041</v>
      </c>
      <c r="B1380" s="805"/>
      <c r="C1380" s="802"/>
      <c r="D1380" s="802"/>
      <c r="E1380" s="803"/>
      <c r="F1380" s="805">
        <v>26</v>
      </c>
      <c r="G1380" s="803"/>
      <c r="H1380" s="345">
        <v>2455.5500000000002</v>
      </c>
      <c r="I1380" s="345">
        <v>0.5</v>
      </c>
      <c r="J1380" s="345">
        <v>33.5</v>
      </c>
      <c r="K1380" s="345">
        <v>2612.5</v>
      </c>
      <c r="L1380" s="346"/>
      <c r="M1380" s="346"/>
      <c r="N1380" s="346"/>
      <c r="O1380" s="345"/>
      <c r="P1380" s="345"/>
      <c r="Q1380" s="345"/>
      <c r="R1380" s="345"/>
      <c r="S1380" s="345"/>
      <c r="T1380" s="345"/>
      <c r="U1380" s="345">
        <v>0.5</v>
      </c>
      <c r="V1380" s="345">
        <v>28.5</v>
      </c>
      <c r="W1380" s="345">
        <v>2459.5500000000002</v>
      </c>
      <c r="X1380" s="345">
        <v>0.5</v>
      </c>
      <c r="Y1380" s="345">
        <v>23</v>
      </c>
      <c r="Z1380" s="345">
        <v>2127.0500000000002</v>
      </c>
      <c r="AA1380">
        <f t="shared" si="21"/>
        <v>0.5</v>
      </c>
    </row>
    <row r="1381" spans="1:27" ht="28.8" x14ac:dyDescent="0.3">
      <c r="A1381" s="345" t="s">
        <v>3042</v>
      </c>
      <c r="B1381" s="805"/>
      <c r="C1381" s="802"/>
      <c r="D1381" s="802"/>
      <c r="E1381" s="803"/>
      <c r="F1381" s="805">
        <v>26</v>
      </c>
      <c r="G1381" s="803"/>
      <c r="H1381" s="345">
        <v>2455.5500000000002</v>
      </c>
      <c r="I1381" s="345">
        <v>0</v>
      </c>
      <c r="J1381" s="345">
        <v>33.5</v>
      </c>
      <c r="K1381" s="345">
        <v>2612.5</v>
      </c>
      <c r="L1381" s="346"/>
      <c r="M1381" s="346"/>
      <c r="N1381" s="346"/>
      <c r="O1381" s="345"/>
      <c r="P1381" s="345"/>
      <c r="Q1381" s="345"/>
      <c r="R1381" s="345">
        <v>0</v>
      </c>
      <c r="S1381" s="345">
        <v>0</v>
      </c>
      <c r="T1381" s="345">
        <v>1008.3</v>
      </c>
      <c r="U1381" s="345">
        <v>0</v>
      </c>
      <c r="V1381" s="345">
        <v>28.5</v>
      </c>
      <c r="W1381" s="345">
        <v>2459.5500000000002</v>
      </c>
      <c r="X1381" s="345">
        <v>0</v>
      </c>
      <c r="Y1381" s="345">
        <v>23</v>
      </c>
      <c r="Z1381" s="345">
        <v>2127.0500000000002</v>
      </c>
      <c r="AA1381">
        <f t="shared" si="21"/>
        <v>0</v>
      </c>
    </row>
    <row r="1382" spans="1:27" ht="28.8" x14ac:dyDescent="0.3">
      <c r="A1382" s="345" t="s">
        <v>3043</v>
      </c>
      <c r="B1382" s="805"/>
      <c r="C1382" s="802"/>
      <c r="D1382" s="802"/>
      <c r="E1382" s="803"/>
      <c r="F1382" s="805">
        <v>26</v>
      </c>
      <c r="G1382" s="803"/>
      <c r="H1382" s="345">
        <v>2455.5500000000002</v>
      </c>
      <c r="I1382" s="345">
        <v>0</v>
      </c>
      <c r="J1382" s="345">
        <v>33.5</v>
      </c>
      <c r="K1382" s="345">
        <v>2612.5</v>
      </c>
      <c r="L1382" s="346"/>
      <c r="M1382" s="346"/>
      <c r="N1382" s="346"/>
      <c r="O1382" s="345"/>
      <c r="P1382" s="345"/>
      <c r="Q1382" s="345"/>
      <c r="R1382" s="345"/>
      <c r="S1382" s="345"/>
      <c r="T1382" s="345"/>
      <c r="U1382" s="345">
        <v>1</v>
      </c>
      <c r="V1382" s="345">
        <v>29.5</v>
      </c>
      <c r="W1382" s="345">
        <v>2460.5500000000002</v>
      </c>
      <c r="X1382" s="345">
        <v>0.5</v>
      </c>
      <c r="Y1382" s="345">
        <v>23.5</v>
      </c>
      <c r="Z1382" s="345">
        <v>2127.5500000000002</v>
      </c>
      <c r="AA1382">
        <f t="shared" si="21"/>
        <v>0</v>
      </c>
    </row>
    <row r="1383" spans="1:27" ht="28.8" x14ac:dyDescent="0.3">
      <c r="A1383" s="345" t="s">
        <v>3044</v>
      </c>
      <c r="B1383" s="805"/>
      <c r="C1383" s="802"/>
      <c r="D1383" s="802"/>
      <c r="E1383" s="803"/>
      <c r="F1383" s="805">
        <v>26</v>
      </c>
      <c r="G1383" s="803"/>
      <c r="H1383" s="345">
        <v>2455.5500000000002</v>
      </c>
      <c r="I1383" s="345">
        <v>0</v>
      </c>
      <c r="J1383" s="345">
        <v>33.5</v>
      </c>
      <c r="K1383" s="345">
        <v>2612.5</v>
      </c>
      <c r="L1383" s="346"/>
      <c r="M1383" s="346"/>
      <c r="N1383" s="346"/>
      <c r="O1383" s="345"/>
      <c r="P1383" s="345"/>
      <c r="Q1383" s="345"/>
      <c r="R1383" s="345"/>
      <c r="S1383" s="345"/>
      <c r="T1383" s="345"/>
      <c r="U1383" s="345">
        <v>0</v>
      </c>
      <c r="V1383" s="345">
        <v>29.5</v>
      </c>
      <c r="W1383" s="345">
        <v>2460.5500000000002</v>
      </c>
      <c r="X1383" s="345">
        <v>0</v>
      </c>
      <c r="Y1383" s="345">
        <v>23.5</v>
      </c>
      <c r="Z1383" s="345">
        <v>2127.5500000000002</v>
      </c>
      <c r="AA1383">
        <f t="shared" si="21"/>
        <v>0</v>
      </c>
    </row>
    <row r="1384" spans="1:27" ht="28.8" x14ac:dyDescent="0.3">
      <c r="A1384" s="345" t="s">
        <v>3045</v>
      </c>
      <c r="B1384" s="805"/>
      <c r="C1384" s="802"/>
      <c r="D1384" s="802"/>
      <c r="E1384" s="803"/>
      <c r="F1384" s="805">
        <v>26</v>
      </c>
      <c r="G1384" s="803"/>
      <c r="H1384" s="345">
        <v>2455.5500000000002</v>
      </c>
      <c r="I1384" s="345">
        <v>0</v>
      </c>
      <c r="J1384" s="345">
        <v>33.5</v>
      </c>
      <c r="K1384" s="345">
        <v>2612.5</v>
      </c>
      <c r="L1384" s="346"/>
      <c r="M1384" s="346"/>
      <c r="N1384" s="346"/>
      <c r="O1384" s="345"/>
      <c r="P1384" s="345"/>
      <c r="Q1384" s="345"/>
      <c r="R1384" s="345">
        <v>0</v>
      </c>
      <c r="S1384" s="345">
        <v>0</v>
      </c>
      <c r="T1384" s="345">
        <v>1008.3</v>
      </c>
      <c r="U1384" s="345">
        <v>0</v>
      </c>
      <c r="V1384" s="345">
        <v>29.5</v>
      </c>
      <c r="W1384" s="345">
        <v>2460.5500000000002</v>
      </c>
      <c r="X1384" s="345">
        <v>0</v>
      </c>
      <c r="Y1384" s="345">
        <v>23.5</v>
      </c>
      <c r="Z1384" s="345">
        <v>2127.5500000000002</v>
      </c>
      <c r="AA1384">
        <f t="shared" si="21"/>
        <v>0</v>
      </c>
    </row>
    <row r="1385" spans="1:27" ht="28.8" x14ac:dyDescent="0.3">
      <c r="A1385" s="345" t="s">
        <v>3046</v>
      </c>
      <c r="B1385" s="805"/>
      <c r="C1385" s="802"/>
      <c r="D1385" s="802"/>
      <c r="E1385" s="803"/>
      <c r="F1385" s="805">
        <v>26</v>
      </c>
      <c r="G1385" s="803"/>
      <c r="H1385" s="345">
        <v>2455.5500000000002</v>
      </c>
      <c r="I1385" s="345">
        <v>0</v>
      </c>
      <c r="J1385" s="345">
        <v>33.5</v>
      </c>
      <c r="K1385" s="345">
        <v>2612.5</v>
      </c>
      <c r="L1385" s="346"/>
      <c r="M1385" s="346"/>
      <c r="N1385" s="346"/>
      <c r="O1385" s="345"/>
      <c r="P1385" s="345"/>
      <c r="Q1385" s="345"/>
      <c r="R1385" s="345">
        <v>0</v>
      </c>
      <c r="S1385" s="345">
        <v>0</v>
      </c>
      <c r="T1385" s="345">
        <v>1008.3</v>
      </c>
      <c r="U1385" s="345">
        <v>0</v>
      </c>
      <c r="V1385" s="345">
        <v>29.5</v>
      </c>
      <c r="W1385" s="345">
        <v>2460.5500000000002</v>
      </c>
      <c r="X1385" s="345">
        <v>0</v>
      </c>
      <c r="Y1385" s="345">
        <v>23.5</v>
      </c>
      <c r="Z1385" s="345">
        <v>2127.5500000000002</v>
      </c>
      <c r="AA1385">
        <f t="shared" si="21"/>
        <v>0</v>
      </c>
    </row>
    <row r="1386" spans="1:27" ht="28.8" x14ac:dyDescent="0.3">
      <c r="A1386" s="345" t="s">
        <v>3047</v>
      </c>
      <c r="B1386" s="805"/>
      <c r="C1386" s="802"/>
      <c r="D1386" s="802"/>
      <c r="E1386" s="803"/>
      <c r="F1386" s="805">
        <v>26</v>
      </c>
      <c r="G1386" s="803"/>
      <c r="H1386" s="345">
        <v>2455.5500000000002</v>
      </c>
      <c r="I1386" s="345">
        <v>0</v>
      </c>
      <c r="J1386" s="345">
        <v>33.5</v>
      </c>
      <c r="K1386" s="345">
        <v>2612.5</v>
      </c>
      <c r="L1386" s="346"/>
      <c r="M1386" s="346"/>
      <c r="N1386" s="346"/>
      <c r="O1386" s="345"/>
      <c r="P1386" s="345"/>
      <c r="Q1386" s="345"/>
      <c r="R1386" s="345">
        <v>0</v>
      </c>
      <c r="S1386" s="345">
        <v>0</v>
      </c>
      <c r="T1386" s="345">
        <v>1008.3</v>
      </c>
      <c r="U1386" s="345">
        <v>0</v>
      </c>
      <c r="V1386" s="345">
        <v>29.5</v>
      </c>
      <c r="W1386" s="345">
        <v>2460.5500000000002</v>
      </c>
      <c r="X1386" s="345">
        <v>0</v>
      </c>
      <c r="Y1386" s="345">
        <v>23.5</v>
      </c>
      <c r="Z1386" s="345">
        <v>2127.5500000000002</v>
      </c>
      <c r="AA1386">
        <f t="shared" si="21"/>
        <v>0</v>
      </c>
    </row>
    <row r="1387" spans="1:27" ht="28.8" x14ac:dyDescent="0.3">
      <c r="A1387" s="345" t="s">
        <v>3048</v>
      </c>
      <c r="B1387" s="805"/>
      <c r="C1387" s="802"/>
      <c r="D1387" s="802"/>
      <c r="E1387" s="803"/>
      <c r="F1387" s="805">
        <v>26</v>
      </c>
      <c r="G1387" s="803"/>
      <c r="H1387" s="345">
        <v>2455.5500000000002</v>
      </c>
      <c r="I1387" s="345">
        <v>0</v>
      </c>
      <c r="J1387" s="345">
        <v>33.5</v>
      </c>
      <c r="K1387" s="345">
        <v>2612.5</v>
      </c>
      <c r="L1387" s="346"/>
      <c r="M1387" s="346"/>
      <c r="N1387" s="346"/>
      <c r="O1387" s="345"/>
      <c r="P1387" s="345"/>
      <c r="Q1387" s="345"/>
      <c r="R1387" s="345">
        <v>0</v>
      </c>
      <c r="S1387" s="345">
        <v>0</v>
      </c>
      <c r="T1387" s="345">
        <v>1008.3</v>
      </c>
      <c r="U1387" s="345">
        <v>0</v>
      </c>
      <c r="V1387" s="345">
        <v>29.5</v>
      </c>
      <c r="W1387" s="345">
        <v>2460.5500000000002</v>
      </c>
      <c r="X1387" s="345">
        <v>0</v>
      </c>
      <c r="Y1387" s="345">
        <v>23.5</v>
      </c>
      <c r="Z1387" s="345">
        <v>2127.5500000000002</v>
      </c>
      <c r="AA1387">
        <f t="shared" si="21"/>
        <v>0</v>
      </c>
    </row>
    <row r="1388" spans="1:27" ht="28.8" x14ac:dyDescent="0.3">
      <c r="A1388" s="345" t="s">
        <v>3049</v>
      </c>
      <c r="B1388" s="805"/>
      <c r="C1388" s="802"/>
      <c r="D1388" s="802"/>
      <c r="E1388" s="803"/>
      <c r="F1388" s="805">
        <v>31</v>
      </c>
      <c r="G1388" s="803"/>
      <c r="H1388" s="345">
        <v>2460.5500000000002</v>
      </c>
      <c r="I1388" s="345">
        <v>5</v>
      </c>
      <c r="J1388" s="345">
        <v>38.5</v>
      </c>
      <c r="K1388" s="345">
        <v>2617.5</v>
      </c>
      <c r="L1388" s="346"/>
      <c r="M1388" s="346"/>
      <c r="N1388" s="346"/>
      <c r="O1388" s="345"/>
      <c r="P1388" s="345"/>
      <c r="Q1388" s="345"/>
      <c r="R1388" s="345">
        <v>0</v>
      </c>
      <c r="S1388" s="345">
        <v>0</v>
      </c>
      <c r="T1388" s="345">
        <v>1008.3</v>
      </c>
      <c r="U1388" s="345">
        <v>3.5</v>
      </c>
      <c r="V1388" s="345">
        <v>33</v>
      </c>
      <c r="W1388" s="345">
        <v>2464.0500000000002</v>
      </c>
      <c r="X1388" s="345">
        <v>2</v>
      </c>
      <c r="Y1388" s="345">
        <v>25.5</v>
      </c>
      <c r="Z1388" s="345">
        <v>2129.5500000000002</v>
      </c>
      <c r="AA1388">
        <f t="shared" si="21"/>
        <v>5</v>
      </c>
    </row>
    <row r="1389" spans="1:27" ht="28.8" x14ac:dyDescent="0.3">
      <c r="A1389" s="345" t="s">
        <v>3050</v>
      </c>
      <c r="B1389" s="805"/>
      <c r="C1389" s="802"/>
      <c r="D1389" s="802"/>
      <c r="E1389" s="803"/>
      <c r="F1389" s="805">
        <v>31</v>
      </c>
      <c r="G1389" s="803"/>
      <c r="H1389" s="345">
        <v>2460.5500000000002</v>
      </c>
      <c r="I1389" s="345">
        <v>0</v>
      </c>
      <c r="J1389" s="345">
        <v>38.5</v>
      </c>
      <c r="K1389" s="345">
        <v>2617.5</v>
      </c>
      <c r="L1389" s="346"/>
      <c r="M1389" s="346"/>
      <c r="N1389" s="346"/>
      <c r="O1389" s="345"/>
      <c r="P1389" s="345"/>
      <c r="Q1389" s="345"/>
      <c r="R1389" s="345">
        <v>0</v>
      </c>
      <c r="S1389" s="345">
        <v>0</v>
      </c>
      <c r="T1389" s="345">
        <v>1008.3</v>
      </c>
      <c r="U1389" s="345">
        <v>0</v>
      </c>
      <c r="V1389" s="345">
        <v>33</v>
      </c>
      <c r="W1389" s="345">
        <v>2464.0500000000002</v>
      </c>
      <c r="X1389" s="345">
        <v>0</v>
      </c>
      <c r="Y1389" s="345">
        <v>25.5</v>
      </c>
      <c r="Z1389" s="345">
        <v>2129.5500000000002</v>
      </c>
      <c r="AA1389">
        <f t="shared" si="21"/>
        <v>0</v>
      </c>
    </row>
    <row r="1390" spans="1:27" ht="28.8" x14ac:dyDescent="0.3">
      <c r="A1390" s="345" t="s">
        <v>3051</v>
      </c>
      <c r="B1390" s="805"/>
      <c r="C1390" s="802"/>
      <c r="D1390" s="802"/>
      <c r="E1390" s="803"/>
      <c r="F1390" s="805">
        <v>39.5</v>
      </c>
      <c r="G1390" s="803"/>
      <c r="H1390" s="345">
        <v>2469.0500000000002</v>
      </c>
      <c r="I1390" s="345">
        <v>11</v>
      </c>
      <c r="J1390" s="345">
        <v>49.5</v>
      </c>
      <c r="K1390" s="345">
        <v>2628.5</v>
      </c>
      <c r="L1390" s="346"/>
      <c r="M1390" s="346"/>
      <c r="N1390" s="346"/>
      <c r="O1390" s="345"/>
      <c r="P1390" s="345"/>
      <c r="Q1390" s="345"/>
      <c r="R1390" s="345">
        <v>0</v>
      </c>
      <c r="S1390" s="345">
        <v>0</v>
      </c>
      <c r="T1390" s="345">
        <v>1008.3</v>
      </c>
      <c r="U1390" s="345">
        <v>5</v>
      </c>
      <c r="V1390" s="345">
        <v>38</v>
      </c>
      <c r="W1390" s="345">
        <v>2469.0500000000002</v>
      </c>
      <c r="X1390" s="345">
        <v>5.5</v>
      </c>
      <c r="Y1390" s="345">
        <v>31</v>
      </c>
      <c r="Z1390" s="345">
        <v>2135.0500000000002</v>
      </c>
      <c r="AA1390">
        <f t="shared" si="21"/>
        <v>11</v>
      </c>
    </row>
    <row r="1391" spans="1:27" ht="28.8" x14ac:dyDescent="0.3">
      <c r="A1391" s="345" t="s">
        <v>3052</v>
      </c>
      <c r="B1391" s="805"/>
      <c r="C1391" s="802"/>
      <c r="D1391" s="802"/>
      <c r="E1391" s="803"/>
      <c r="F1391" s="805">
        <v>39.5</v>
      </c>
      <c r="G1391" s="803"/>
      <c r="H1391" s="345">
        <v>2469.0500000000002</v>
      </c>
      <c r="I1391" s="345">
        <v>0</v>
      </c>
      <c r="J1391" s="345">
        <v>49.5</v>
      </c>
      <c r="K1391" s="345">
        <v>2628.5</v>
      </c>
      <c r="L1391" s="346"/>
      <c r="M1391" s="346"/>
      <c r="N1391" s="346"/>
      <c r="O1391" s="345"/>
      <c r="P1391" s="345"/>
      <c r="Q1391" s="345"/>
      <c r="R1391" s="345">
        <v>0</v>
      </c>
      <c r="S1391" s="345">
        <v>0</v>
      </c>
      <c r="T1391" s="345">
        <v>1008.3</v>
      </c>
      <c r="U1391" s="345">
        <v>0</v>
      </c>
      <c r="V1391" s="345">
        <v>38</v>
      </c>
      <c r="W1391" s="345">
        <v>2469.0500000000002</v>
      </c>
      <c r="X1391" s="345">
        <v>0</v>
      </c>
      <c r="Y1391" s="345">
        <v>31</v>
      </c>
      <c r="Z1391" s="345">
        <v>2135.0500000000002</v>
      </c>
      <c r="AA1391">
        <f t="shared" si="21"/>
        <v>0</v>
      </c>
    </row>
    <row r="1392" spans="1:27" ht="28.8" x14ac:dyDescent="0.3">
      <c r="A1392" s="345" t="s">
        <v>3053</v>
      </c>
      <c r="B1392" s="805"/>
      <c r="C1392" s="802"/>
      <c r="D1392" s="802"/>
      <c r="E1392" s="803"/>
      <c r="F1392" s="805">
        <v>78.5</v>
      </c>
      <c r="G1392" s="803"/>
      <c r="H1392" s="345">
        <v>2508.0500000000002</v>
      </c>
      <c r="I1392" s="345">
        <v>38</v>
      </c>
      <c r="J1392" s="345">
        <v>87.5</v>
      </c>
      <c r="K1392" s="345">
        <v>2666.5</v>
      </c>
      <c r="L1392" s="346"/>
      <c r="M1392" s="346"/>
      <c r="N1392" s="346"/>
      <c r="O1392" s="345"/>
      <c r="P1392" s="345"/>
      <c r="Q1392" s="345"/>
      <c r="R1392" s="345">
        <v>0</v>
      </c>
      <c r="S1392" s="345">
        <v>0</v>
      </c>
      <c r="T1392" s="345">
        <v>1008.3</v>
      </c>
      <c r="U1392" s="345">
        <v>37</v>
      </c>
      <c r="V1392" s="345">
        <v>75</v>
      </c>
      <c r="W1392" s="345">
        <v>2506.0500000000002</v>
      </c>
      <c r="X1392" s="345">
        <v>36.5</v>
      </c>
      <c r="Y1392" s="345">
        <v>67.5</v>
      </c>
      <c r="Z1392" s="345">
        <v>2171.5500000000002</v>
      </c>
      <c r="AA1392">
        <f t="shared" si="21"/>
        <v>38</v>
      </c>
    </row>
    <row r="1393" spans="1:27" ht="28.8" x14ac:dyDescent="0.3">
      <c r="A1393" s="345" t="s">
        <v>3054</v>
      </c>
      <c r="B1393" s="805"/>
      <c r="C1393" s="802"/>
      <c r="D1393" s="802"/>
      <c r="E1393" s="803"/>
      <c r="F1393" s="805">
        <v>79</v>
      </c>
      <c r="G1393" s="803"/>
      <c r="H1393" s="345">
        <v>2508.5500000000002</v>
      </c>
      <c r="I1393" s="345">
        <v>0.5</v>
      </c>
      <c r="J1393" s="345">
        <v>88</v>
      </c>
      <c r="K1393" s="345">
        <v>2667</v>
      </c>
      <c r="L1393" s="346"/>
      <c r="M1393" s="346"/>
      <c r="N1393" s="346"/>
      <c r="O1393" s="345"/>
      <c r="P1393" s="345"/>
      <c r="Q1393" s="345"/>
      <c r="R1393" s="345">
        <v>0</v>
      </c>
      <c r="S1393" s="345">
        <v>0</v>
      </c>
      <c r="T1393" s="345">
        <v>1008.3</v>
      </c>
      <c r="U1393" s="345">
        <v>0.5</v>
      </c>
      <c r="V1393" s="345">
        <v>75.5</v>
      </c>
      <c r="W1393" s="345">
        <v>2506.5500000000002</v>
      </c>
      <c r="X1393" s="345">
        <v>0.5</v>
      </c>
      <c r="Y1393" s="345">
        <v>68</v>
      </c>
      <c r="Z1393" s="345">
        <v>2172.0500000000002</v>
      </c>
      <c r="AA1393">
        <f t="shared" si="21"/>
        <v>0.5</v>
      </c>
    </row>
    <row r="1394" spans="1:27" ht="28.8" x14ac:dyDescent="0.3">
      <c r="A1394" s="345" t="s">
        <v>3055</v>
      </c>
      <c r="B1394" s="805"/>
      <c r="C1394" s="802"/>
      <c r="D1394" s="802"/>
      <c r="E1394" s="803"/>
      <c r="F1394" s="805">
        <v>83.5</v>
      </c>
      <c r="G1394" s="803"/>
      <c r="H1394" s="345">
        <v>2513.0500000000002</v>
      </c>
      <c r="I1394" s="345">
        <v>5.5</v>
      </c>
      <c r="J1394" s="345">
        <v>93.5</v>
      </c>
      <c r="K1394" s="345">
        <v>2672.5</v>
      </c>
      <c r="L1394" s="346"/>
      <c r="M1394" s="346"/>
      <c r="N1394" s="346"/>
      <c r="O1394" s="345"/>
      <c r="P1394" s="345"/>
      <c r="Q1394" s="345"/>
      <c r="R1394" s="345">
        <v>0</v>
      </c>
      <c r="S1394" s="345">
        <v>0</v>
      </c>
      <c r="T1394" s="345">
        <v>1008.3</v>
      </c>
      <c r="U1394" s="345">
        <v>5</v>
      </c>
      <c r="V1394" s="345">
        <v>80.5</v>
      </c>
      <c r="W1394" s="345">
        <v>2511.5500000000002</v>
      </c>
      <c r="X1394" s="345">
        <v>4.5</v>
      </c>
      <c r="Y1394" s="345">
        <v>72.5</v>
      </c>
      <c r="Z1394" s="345">
        <v>2176.5500000000002</v>
      </c>
      <c r="AA1394">
        <f t="shared" si="21"/>
        <v>5.5</v>
      </c>
    </row>
    <row r="1395" spans="1:27" ht="28.8" x14ac:dyDescent="0.3">
      <c r="A1395" s="345" t="s">
        <v>3056</v>
      </c>
      <c r="B1395" s="805"/>
      <c r="C1395" s="802"/>
      <c r="D1395" s="802"/>
      <c r="E1395" s="803"/>
      <c r="F1395" s="805">
        <v>83.5</v>
      </c>
      <c r="G1395" s="803"/>
      <c r="H1395" s="345">
        <v>2513.0500000000002</v>
      </c>
      <c r="I1395" s="345">
        <v>0</v>
      </c>
      <c r="J1395" s="345">
        <v>93.5</v>
      </c>
      <c r="K1395" s="345">
        <v>2672.5</v>
      </c>
      <c r="L1395" s="346"/>
      <c r="M1395" s="346"/>
      <c r="N1395" s="346"/>
      <c r="O1395" s="345"/>
      <c r="P1395" s="345"/>
      <c r="Q1395" s="345"/>
      <c r="R1395" s="345">
        <v>0</v>
      </c>
      <c r="S1395" s="345">
        <v>0</v>
      </c>
      <c r="T1395" s="345">
        <v>1008.3</v>
      </c>
      <c r="U1395" s="345">
        <v>0</v>
      </c>
      <c r="V1395" s="345">
        <v>80.5</v>
      </c>
      <c r="W1395" s="345">
        <v>2511.5500000000002</v>
      </c>
      <c r="X1395" s="345">
        <v>0</v>
      </c>
      <c r="Y1395" s="345">
        <v>72.5</v>
      </c>
      <c r="Z1395" s="345">
        <v>2176.5500000000002</v>
      </c>
      <c r="AA1395">
        <f t="shared" si="21"/>
        <v>0</v>
      </c>
    </row>
    <row r="1396" spans="1:27" ht="28.8" x14ac:dyDescent="0.3">
      <c r="A1396" s="345" t="s">
        <v>3057</v>
      </c>
      <c r="B1396" s="805"/>
      <c r="C1396" s="802"/>
      <c r="D1396" s="802"/>
      <c r="E1396" s="803"/>
      <c r="F1396" s="805">
        <v>83.5</v>
      </c>
      <c r="G1396" s="803"/>
      <c r="H1396" s="345">
        <v>2513.0500000000002</v>
      </c>
      <c r="I1396" s="345">
        <v>0</v>
      </c>
      <c r="J1396" s="345">
        <v>93.5</v>
      </c>
      <c r="K1396" s="345">
        <v>2672.5</v>
      </c>
      <c r="L1396" s="346"/>
      <c r="M1396" s="346"/>
      <c r="N1396" s="346"/>
      <c r="O1396" s="345"/>
      <c r="P1396" s="345"/>
      <c r="Q1396" s="345"/>
      <c r="R1396" s="345">
        <v>0</v>
      </c>
      <c r="S1396" s="345">
        <v>0</v>
      </c>
      <c r="T1396" s="345">
        <v>1008.3</v>
      </c>
      <c r="U1396" s="345">
        <v>0</v>
      </c>
      <c r="V1396" s="345">
        <v>80.5</v>
      </c>
      <c r="W1396" s="345">
        <v>2511.5500000000002</v>
      </c>
      <c r="X1396" s="345">
        <v>0</v>
      </c>
      <c r="Y1396" s="345">
        <v>72.5</v>
      </c>
      <c r="Z1396" s="345">
        <v>2176.5500000000002</v>
      </c>
      <c r="AA1396">
        <f t="shared" si="21"/>
        <v>0</v>
      </c>
    </row>
    <row r="1397" spans="1:27" ht="28.8" x14ac:dyDescent="0.3">
      <c r="A1397" s="345" t="s">
        <v>3058</v>
      </c>
      <c r="B1397" s="805"/>
      <c r="C1397" s="802"/>
      <c r="D1397" s="802"/>
      <c r="E1397" s="803"/>
      <c r="F1397" s="805">
        <v>83.5</v>
      </c>
      <c r="G1397" s="803"/>
      <c r="H1397" s="345">
        <v>2513.0500000000002</v>
      </c>
      <c r="I1397" s="345">
        <v>0</v>
      </c>
      <c r="J1397" s="345">
        <v>93.5</v>
      </c>
      <c r="K1397" s="345">
        <v>2672.5</v>
      </c>
      <c r="L1397" s="346"/>
      <c r="M1397" s="346"/>
      <c r="N1397" s="346"/>
      <c r="O1397" s="345"/>
      <c r="P1397" s="345"/>
      <c r="Q1397" s="345"/>
      <c r="R1397" s="345">
        <v>0</v>
      </c>
      <c r="S1397" s="345">
        <v>0</v>
      </c>
      <c r="T1397" s="345">
        <v>1008.3</v>
      </c>
      <c r="U1397" s="345">
        <v>0</v>
      </c>
      <c r="V1397" s="345">
        <v>80.5</v>
      </c>
      <c r="W1397" s="345">
        <v>2511.5500000000002</v>
      </c>
      <c r="X1397" s="345">
        <v>0</v>
      </c>
      <c r="Y1397" s="345">
        <v>72.5</v>
      </c>
      <c r="Z1397" s="345">
        <v>2176.5500000000002</v>
      </c>
      <c r="AA1397">
        <f t="shared" si="21"/>
        <v>0</v>
      </c>
    </row>
    <row r="1398" spans="1:27" ht="28.8" x14ac:dyDescent="0.3">
      <c r="A1398" s="345" t="s">
        <v>3059</v>
      </c>
      <c r="B1398" s="805"/>
      <c r="C1398" s="802"/>
      <c r="D1398" s="802"/>
      <c r="E1398" s="803"/>
      <c r="F1398" s="805">
        <v>83.5</v>
      </c>
      <c r="G1398" s="803"/>
      <c r="H1398" s="345">
        <v>2513.0500000000002</v>
      </c>
      <c r="I1398" s="345">
        <v>0</v>
      </c>
      <c r="J1398" s="345">
        <v>93.5</v>
      </c>
      <c r="K1398" s="345">
        <v>2672.5</v>
      </c>
      <c r="L1398" s="346"/>
      <c r="M1398" s="346"/>
      <c r="N1398" s="346"/>
      <c r="O1398" s="345"/>
      <c r="P1398" s="345"/>
      <c r="Q1398" s="345"/>
      <c r="R1398" s="345">
        <v>0</v>
      </c>
      <c r="S1398" s="345">
        <v>0</v>
      </c>
      <c r="T1398" s="345">
        <v>1008.3</v>
      </c>
      <c r="U1398" s="345">
        <v>0</v>
      </c>
      <c r="V1398" s="345">
        <v>80.5</v>
      </c>
      <c r="W1398" s="345">
        <v>2511.5500000000002</v>
      </c>
      <c r="X1398" s="345">
        <v>0</v>
      </c>
      <c r="Y1398" s="345">
        <v>72.5</v>
      </c>
      <c r="Z1398" s="345">
        <v>2176.5500000000002</v>
      </c>
      <c r="AA1398">
        <f t="shared" si="21"/>
        <v>0</v>
      </c>
    </row>
    <row r="1399" spans="1:27" ht="28.8" x14ac:dyDescent="0.3">
      <c r="A1399" s="345" t="s">
        <v>3060</v>
      </c>
      <c r="B1399" s="805"/>
      <c r="C1399" s="802"/>
      <c r="D1399" s="802"/>
      <c r="E1399" s="803"/>
      <c r="F1399" s="805">
        <v>83.5</v>
      </c>
      <c r="G1399" s="803"/>
      <c r="H1399" s="345">
        <v>2513.0500000000002</v>
      </c>
      <c r="I1399" s="345">
        <v>0</v>
      </c>
      <c r="J1399" s="345">
        <v>93.5</v>
      </c>
      <c r="K1399" s="345">
        <v>2672.5</v>
      </c>
      <c r="L1399" s="346"/>
      <c r="M1399" s="346"/>
      <c r="N1399" s="346"/>
      <c r="O1399" s="345"/>
      <c r="P1399" s="345"/>
      <c r="Q1399" s="345"/>
      <c r="R1399" s="345">
        <v>0</v>
      </c>
      <c r="S1399" s="345">
        <v>0</v>
      </c>
      <c r="T1399" s="345">
        <v>1008.3</v>
      </c>
      <c r="U1399" s="345">
        <v>0</v>
      </c>
      <c r="V1399" s="345">
        <v>80.5</v>
      </c>
      <c r="W1399" s="345">
        <v>2511.5500000000002</v>
      </c>
      <c r="X1399" s="345">
        <v>0</v>
      </c>
      <c r="Y1399" s="345">
        <v>72.5</v>
      </c>
      <c r="Z1399" s="345">
        <v>2176.5500000000002</v>
      </c>
      <c r="AA1399">
        <f t="shared" si="21"/>
        <v>0</v>
      </c>
    </row>
    <row r="1400" spans="1:27" ht="28.8" x14ac:dyDescent="0.3">
      <c r="A1400" s="345" t="s">
        <v>3061</v>
      </c>
      <c r="B1400" s="805"/>
      <c r="C1400" s="802"/>
      <c r="D1400" s="802"/>
      <c r="E1400" s="803"/>
      <c r="F1400" s="805">
        <v>92.5</v>
      </c>
      <c r="G1400" s="803"/>
      <c r="H1400" s="345">
        <v>2522.0500000000002</v>
      </c>
      <c r="I1400" s="345">
        <v>9</v>
      </c>
      <c r="J1400" s="345">
        <v>102.5</v>
      </c>
      <c r="K1400" s="345">
        <v>2681.5</v>
      </c>
      <c r="L1400" s="346"/>
      <c r="M1400" s="346"/>
      <c r="N1400" s="346"/>
      <c r="O1400" s="345"/>
      <c r="P1400" s="345"/>
      <c r="Q1400" s="345"/>
      <c r="R1400" s="345"/>
      <c r="S1400" s="345"/>
      <c r="T1400" s="345"/>
      <c r="U1400" s="345">
        <v>3</v>
      </c>
      <c r="V1400" s="345">
        <v>83.5</v>
      </c>
      <c r="W1400" s="345">
        <v>2514.5500000000002</v>
      </c>
      <c r="X1400" s="345">
        <v>3</v>
      </c>
      <c r="Y1400" s="345">
        <v>75.5</v>
      </c>
      <c r="Z1400" s="345">
        <v>2179.5500000000002</v>
      </c>
      <c r="AA1400">
        <f t="shared" si="21"/>
        <v>9</v>
      </c>
    </row>
    <row r="1401" spans="1:27" ht="28.8" x14ac:dyDescent="0.3">
      <c r="A1401" s="345" t="s">
        <v>3062</v>
      </c>
      <c r="B1401" s="805"/>
      <c r="C1401" s="802"/>
      <c r="D1401" s="802"/>
      <c r="E1401" s="803"/>
      <c r="F1401" s="805">
        <v>97</v>
      </c>
      <c r="G1401" s="803"/>
      <c r="H1401" s="345">
        <v>2526.5500000000002</v>
      </c>
      <c r="I1401" s="345">
        <v>4.5</v>
      </c>
      <c r="J1401" s="345">
        <v>107</v>
      </c>
      <c r="K1401" s="345">
        <v>2686</v>
      </c>
      <c r="L1401" s="346"/>
      <c r="M1401" s="346"/>
      <c r="N1401" s="346"/>
      <c r="O1401" s="345"/>
      <c r="P1401" s="345"/>
      <c r="Q1401" s="345"/>
      <c r="R1401" s="345"/>
      <c r="S1401" s="345"/>
      <c r="T1401" s="345"/>
      <c r="U1401" s="345">
        <v>3</v>
      </c>
      <c r="V1401" s="345">
        <v>86.5</v>
      </c>
      <c r="W1401" s="345">
        <v>2517.5500000000002</v>
      </c>
      <c r="X1401" s="345">
        <v>3</v>
      </c>
      <c r="Y1401" s="345">
        <v>78.5</v>
      </c>
      <c r="Z1401" s="345">
        <v>2182.5500000000002</v>
      </c>
      <c r="AA1401">
        <f t="shared" si="21"/>
        <v>4.5</v>
      </c>
    </row>
    <row r="1402" spans="1:27" s="362" customFormat="1" ht="28.8" x14ac:dyDescent="0.3">
      <c r="A1402" s="359" t="s">
        <v>3063</v>
      </c>
      <c r="B1402" s="811"/>
      <c r="C1402" s="812"/>
      <c r="D1402" s="812"/>
      <c r="E1402" s="813"/>
      <c r="F1402" s="811">
        <v>112</v>
      </c>
      <c r="G1402" s="813"/>
      <c r="H1402" s="359">
        <v>2541.5500000000002</v>
      </c>
      <c r="I1402" s="359">
        <v>11</v>
      </c>
      <c r="J1402" s="359">
        <v>118</v>
      </c>
      <c r="K1402" s="359">
        <v>2697</v>
      </c>
      <c r="L1402" s="359"/>
      <c r="M1402" s="359"/>
      <c r="N1402" s="359"/>
      <c r="O1402" s="359"/>
      <c r="P1402" s="359"/>
      <c r="Q1402" s="359"/>
      <c r="R1402" s="359">
        <v>0</v>
      </c>
      <c r="S1402" s="359">
        <v>0</v>
      </c>
      <c r="T1402" s="359">
        <v>1008.3</v>
      </c>
      <c r="U1402" s="359">
        <v>14</v>
      </c>
      <c r="V1402" s="359">
        <v>100.5</v>
      </c>
      <c r="W1402" s="359">
        <v>2531.5500000000002</v>
      </c>
      <c r="X1402" s="359">
        <v>13</v>
      </c>
      <c r="Y1402" s="359">
        <v>91.5</v>
      </c>
      <c r="Z1402" s="359">
        <v>2195.5500000000002</v>
      </c>
      <c r="AA1402" s="362">
        <f t="shared" si="21"/>
        <v>11</v>
      </c>
    </row>
    <row r="1403" spans="1:27" ht="28.8" x14ac:dyDescent="0.3">
      <c r="A1403" s="345" t="s">
        <v>3064</v>
      </c>
      <c r="B1403" s="805"/>
      <c r="C1403" s="802"/>
      <c r="D1403" s="802"/>
      <c r="E1403" s="803"/>
      <c r="F1403" s="805">
        <v>0</v>
      </c>
      <c r="G1403" s="803"/>
      <c r="H1403" s="345">
        <v>2541.5500000000002</v>
      </c>
      <c r="I1403" s="345">
        <v>0</v>
      </c>
      <c r="J1403" s="345">
        <v>0</v>
      </c>
      <c r="K1403" s="345">
        <v>2697</v>
      </c>
      <c r="L1403" s="346"/>
      <c r="M1403" s="346"/>
      <c r="N1403" s="346"/>
      <c r="O1403" s="345"/>
      <c r="P1403" s="345"/>
      <c r="Q1403" s="345"/>
      <c r="R1403" s="345">
        <v>0</v>
      </c>
      <c r="S1403" s="345">
        <v>0</v>
      </c>
      <c r="T1403" s="345">
        <v>1008.3</v>
      </c>
      <c r="U1403" s="345">
        <v>0</v>
      </c>
      <c r="V1403" s="345">
        <v>0</v>
      </c>
      <c r="W1403" s="345">
        <v>2531.5500000000002</v>
      </c>
      <c r="X1403" s="345">
        <v>0</v>
      </c>
      <c r="Y1403" s="345">
        <v>0</v>
      </c>
      <c r="Z1403" s="345">
        <v>2195.5500000000002</v>
      </c>
      <c r="AA1403">
        <f t="shared" si="21"/>
        <v>0</v>
      </c>
    </row>
    <row r="1404" spans="1:27" ht="28.8" x14ac:dyDescent="0.3">
      <c r="A1404" s="345" t="s">
        <v>3065</v>
      </c>
      <c r="B1404" s="805"/>
      <c r="C1404" s="802"/>
      <c r="D1404" s="802"/>
      <c r="E1404" s="803"/>
      <c r="F1404" s="805">
        <v>0</v>
      </c>
      <c r="G1404" s="803"/>
      <c r="H1404" s="345">
        <v>2541.5500000000002</v>
      </c>
      <c r="I1404" s="345">
        <v>0</v>
      </c>
      <c r="J1404" s="345">
        <v>0</v>
      </c>
      <c r="K1404" s="345">
        <v>2697</v>
      </c>
      <c r="L1404" s="346"/>
      <c r="M1404" s="346"/>
      <c r="N1404" s="346"/>
      <c r="O1404" s="345"/>
      <c r="P1404" s="345"/>
      <c r="Q1404" s="345"/>
      <c r="R1404" s="345">
        <v>0</v>
      </c>
      <c r="S1404" s="345">
        <v>0</v>
      </c>
      <c r="T1404" s="345">
        <v>1008.3</v>
      </c>
      <c r="U1404" s="345">
        <v>0</v>
      </c>
      <c r="V1404" s="345">
        <v>0</v>
      </c>
      <c r="W1404" s="345">
        <v>2531.5500000000002</v>
      </c>
      <c r="X1404" s="345"/>
      <c r="Y1404" s="345"/>
      <c r="Z1404" s="345"/>
      <c r="AA1404">
        <f t="shared" si="21"/>
        <v>0</v>
      </c>
    </row>
    <row r="1405" spans="1:27" ht="28.8" x14ac:dyDescent="0.3">
      <c r="A1405" s="345" t="s">
        <v>3066</v>
      </c>
      <c r="B1405" s="805"/>
      <c r="C1405" s="802"/>
      <c r="D1405" s="802"/>
      <c r="E1405" s="803"/>
      <c r="F1405" s="805">
        <v>6.5</v>
      </c>
      <c r="G1405" s="803"/>
      <c r="H1405" s="345">
        <v>2548.0500000000002</v>
      </c>
      <c r="I1405" s="345">
        <v>4.5</v>
      </c>
      <c r="J1405" s="345">
        <v>4.5</v>
      </c>
      <c r="K1405" s="345">
        <v>2701.5</v>
      </c>
      <c r="L1405" s="346"/>
      <c r="M1405" s="346"/>
      <c r="N1405" s="346"/>
      <c r="O1405" s="345"/>
      <c r="P1405" s="345"/>
      <c r="Q1405" s="345"/>
      <c r="R1405" s="345">
        <v>0</v>
      </c>
      <c r="S1405" s="345">
        <v>0</v>
      </c>
      <c r="T1405" s="345">
        <v>1008.3</v>
      </c>
      <c r="U1405" s="345">
        <v>6</v>
      </c>
      <c r="V1405" s="345">
        <v>6</v>
      </c>
      <c r="W1405" s="345">
        <v>2537.5500000000002</v>
      </c>
      <c r="X1405" s="345">
        <v>6.5</v>
      </c>
      <c r="Y1405" s="345">
        <v>6.5</v>
      </c>
      <c r="Z1405" s="345">
        <v>2202.0500000000002</v>
      </c>
      <c r="AA1405">
        <f t="shared" si="21"/>
        <v>4.5</v>
      </c>
    </row>
    <row r="1406" spans="1:27" ht="28.8" x14ac:dyDescent="0.3">
      <c r="A1406" s="345" t="s">
        <v>3067</v>
      </c>
      <c r="B1406" s="805"/>
      <c r="C1406" s="802"/>
      <c r="D1406" s="802"/>
      <c r="E1406" s="803"/>
      <c r="F1406" s="805">
        <v>15.5</v>
      </c>
      <c r="G1406" s="803"/>
      <c r="H1406" s="345">
        <v>2557.0500000000002</v>
      </c>
      <c r="I1406" s="345">
        <v>9</v>
      </c>
      <c r="J1406" s="345">
        <v>13.5</v>
      </c>
      <c r="K1406" s="345">
        <v>2710.5</v>
      </c>
      <c r="L1406" s="346"/>
      <c r="M1406" s="346"/>
      <c r="N1406" s="346"/>
      <c r="O1406" s="345"/>
      <c r="P1406" s="345"/>
      <c r="Q1406" s="345"/>
      <c r="R1406" s="345">
        <v>0</v>
      </c>
      <c r="S1406" s="345">
        <v>0</v>
      </c>
      <c r="T1406" s="345">
        <v>1008.3</v>
      </c>
      <c r="U1406" s="345">
        <v>9</v>
      </c>
      <c r="V1406" s="345">
        <v>15</v>
      </c>
      <c r="W1406" s="345">
        <v>2546.5500000000002</v>
      </c>
      <c r="X1406" s="345">
        <v>8.5</v>
      </c>
      <c r="Y1406" s="345">
        <v>15</v>
      </c>
      <c r="Z1406" s="345">
        <v>2210.5500000000002</v>
      </c>
      <c r="AA1406">
        <f t="shared" si="21"/>
        <v>9</v>
      </c>
    </row>
    <row r="1407" spans="1:27" ht="28.8" x14ac:dyDescent="0.3">
      <c r="A1407" s="345" t="s">
        <v>3068</v>
      </c>
      <c r="B1407" s="805"/>
      <c r="C1407" s="802"/>
      <c r="D1407" s="802"/>
      <c r="E1407" s="803"/>
      <c r="F1407" s="805">
        <v>16</v>
      </c>
      <c r="G1407" s="803"/>
      <c r="H1407" s="345">
        <v>2557.5500000000002</v>
      </c>
      <c r="I1407" s="345">
        <v>0.5</v>
      </c>
      <c r="J1407" s="345">
        <v>14</v>
      </c>
      <c r="K1407" s="345">
        <v>2711</v>
      </c>
      <c r="L1407" s="346"/>
      <c r="M1407" s="346"/>
      <c r="N1407" s="346"/>
      <c r="O1407" s="345"/>
      <c r="P1407" s="345"/>
      <c r="Q1407" s="345"/>
      <c r="R1407" s="345"/>
      <c r="S1407" s="345"/>
      <c r="T1407" s="345"/>
      <c r="U1407" s="345">
        <v>1</v>
      </c>
      <c r="V1407" s="345">
        <v>16</v>
      </c>
      <c r="W1407" s="345">
        <v>2547.5500000000002</v>
      </c>
      <c r="X1407" s="345">
        <v>0.5</v>
      </c>
      <c r="Y1407" s="345">
        <v>15.5</v>
      </c>
      <c r="Z1407" s="345">
        <v>2211.0500000000002</v>
      </c>
      <c r="AA1407">
        <f t="shared" si="21"/>
        <v>0.5</v>
      </c>
    </row>
    <row r="1408" spans="1:27" ht="28.8" x14ac:dyDescent="0.3">
      <c r="A1408" s="345" t="s">
        <v>3069</v>
      </c>
      <c r="B1408" s="805"/>
      <c r="C1408" s="802"/>
      <c r="D1408" s="802"/>
      <c r="E1408" s="803"/>
      <c r="F1408" s="805">
        <v>38.5</v>
      </c>
      <c r="G1408" s="803"/>
      <c r="H1408" s="345">
        <v>2580.0500000000002</v>
      </c>
      <c r="I1408" s="345">
        <v>35</v>
      </c>
      <c r="J1408" s="345">
        <v>49</v>
      </c>
      <c r="K1408" s="345">
        <v>2746</v>
      </c>
      <c r="L1408" s="346"/>
      <c r="M1408" s="346"/>
      <c r="N1408" s="346"/>
      <c r="O1408" s="345"/>
      <c r="P1408" s="345"/>
      <c r="Q1408" s="345"/>
      <c r="R1408" s="345"/>
      <c r="S1408" s="345"/>
      <c r="T1408" s="345"/>
      <c r="U1408" s="345">
        <v>23</v>
      </c>
      <c r="V1408" s="345">
        <v>39</v>
      </c>
      <c r="W1408" s="345">
        <v>2570.5500000000002</v>
      </c>
      <c r="X1408" s="345">
        <v>22</v>
      </c>
      <c r="Y1408" s="345">
        <v>37.5</v>
      </c>
      <c r="Z1408" s="345">
        <v>2233.0500000000002</v>
      </c>
      <c r="AA1408">
        <f t="shared" si="21"/>
        <v>35</v>
      </c>
    </row>
    <row r="1409" spans="1:27" ht="28.8" x14ac:dyDescent="0.3">
      <c r="A1409" s="345" t="s">
        <v>3070</v>
      </c>
      <c r="B1409" s="805"/>
      <c r="C1409" s="802"/>
      <c r="D1409" s="802"/>
      <c r="E1409" s="803"/>
      <c r="F1409" s="805">
        <v>45</v>
      </c>
      <c r="G1409" s="803"/>
      <c r="H1409" s="345">
        <v>2586.5500000000002</v>
      </c>
      <c r="I1409" s="345">
        <v>7</v>
      </c>
      <c r="J1409" s="345">
        <v>56</v>
      </c>
      <c r="K1409" s="345">
        <v>2753</v>
      </c>
      <c r="L1409" s="346"/>
      <c r="M1409" s="346"/>
      <c r="N1409" s="346"/>
      <c r="O1409" s="345"/>
      <c r="P1409" s="345"/>
      <c r="Q1409" s="345"/>
      <c r="R1409" s="345">
        <v>0</v>
      </c>
      <c r="S1409" s="345">
        <v>0</v>
      </c>
      <c r="T1409" s="345">
        <v>1008.3</v>
      </c>
      <c r="U1409" s="345">
        <v>14</v>
      </c>
      <c r="V1409" s="345">
        <v>53</v>
      </c>
      <c r="W1409" s="345">
        <v>2584.5500000000002</v>
      </c>
      <c r="X1409" s="345">
        <v>13</v>
      </c>
      <c r="Y1409" s="345">
        <v>50.5</v>
      </c>
      <c r="Z1409" s="345">
        <v>2246.0500000000002</v>
      </c>
      <c r="AA1409">
        <f t="shared" si="21"/>
        <v>7</v>
      </c>
    </row>
    <row r="1410" spans="1:27" ht="28.8" x14ac:dyDescent="0.3">
      <c r="A1410" s="345" t="s">
        <v>3071</v>
      </c>
      <c r="B1410" s="805"/>
      <c r="C1410" s="802"/>
      <c r="D1410" s="802"/>
      <c r="E1410" s="803"/>
      <c r="F1410" s="805">
        <v>52</v>
      </c>
      <c r="G1410" s="803"/>
      <c r="H1410" s="345">
        <v>2593.5500000000002</v>
      </c>
      <c r="I1410" s="345">
        <v>7</v>
      </c>
      <c r="J1410" s="345">
        <v>63</v>
      </c>
      <c r="K1410" s="345">
        <v>2760</v>
      </c>
      <c r="L1410" s="346"/>
      <c r="M1410" s="346"/>
      <c r="N1410" s="346"/>
      <c r="O1410" s="345"/>
      <c r="P1410" s="345"/>
      <c r="Q1410" s="345"/>
      <c r="R1410" s="345">
        <v>0</v>
      </c>
      <c r="S1410" s="345">
        <v>0</v>
      </c>
      <c r="T1410" s="345">
        <v>1008.3</v>
      </c>
      <c r="U1410" s="345">
        <v>9</v>
      </c>
      <c r="V1410" s="345">
        <v>62</v>
      </c>
      <c r="W1410" s="345">
        <v>2593.5500000000002</v>
      </c>
      <c r="X1410" s="345">
        <v>7.5</v>
      </c>
      <c r="Y1410" s="345">
        <v>58</v>
      </c>
      <c r="Z1410" s="345">
        <v>2253.5500000000002</v>
      </c>
      <c r="AA1410">
        <f t="shared" si="21"/>
        <v>7</v>
      </c>
    </row>
    <row r="1411" spans="1:27" ht="28.8" x14ac:dyDescent="0.3">
      <c r="A1411" s="345" t="s">
        <v>3072</v>
      </c>
      <c r="B1411" s="805"/>
      <c r="C1411" s="802"/>
      <c r="D1411" s="802"/>
      <c r="E1411" s="803"/>
      <c r="F1411" s="805">
        <v>54.5</v>
      </c>
      <c r="G1411" s="803"/>
      <c r="H1411" s="345">
        <v>2596.0500000000002</v>
      </c>
      <c r="I1411" s="345">
        <v>2.5</v>
      </c>
      <c r="J1411" s="345">
        <v>65.5</v>
      </c>
      <c r="K1411" s="345">
        <v>2762.5</v>
      </c>
      <c r="L1411" s="346"/>
      <c r="M1411" s="346"/>
      <c r="N1411" s="346"/>
      <c r="O1411" s="345"/>
      <c r="P1411" s="345"/>
      <c r="Q1411" s="345"/>
      <c r="R1411" s="345">
        <v>0</v>
      </c>
      <c r="S1411" s="345">
        <v>0</v>
      </c>
      <c r="T1411" s="345">
        <v>1008.3</v>
      </c>
      <c r="U1411" s="345">
        <v>2.5</v>
      </c>
      <c r="V1411" s="345">
        <v>64.5</v>
      </c>
      <c r="W1411" s="345">
        <v>2596.0500000000002</v>
      </c>
      <c r="X1411" s="345">
        <v>3</v>
      </c>
      <c r="Y1411" s="345">
        <v>61</v>
      </c>
      <c r="Z1411" s="345">
        <v>2256.5500000000002</v>
      </c>
      <c r="AA1411">
        <f t="shared" si="21"/>
        <v>2.5</v>
      </c>
    </row>
    <row r="1412" spans="1:27" ht="28.8" x14ac:dyDescent="0.3">
      <c r="A1412" s="345" t="s">
        <v>3073</v>
      </c>
      <c r="B1412" s="805"/>
      <c r="C1412" s="802"/>
      <c r="D1412" s="802"/>
      <c r="E1412" s="803"/>
      <c r="F1412" s="805">
        <v>55</v>
      </c>
      <c r="G1412" s="803"/>
      <c r="H1412" s="345">
        <v>2596.5500000000002</v>
      </c>
      <c r="I1412" s="345">
        <v>0</v>
      </c>
      <c r="J1412" s="345">
        <v>65.5</v>
      </c>
      <c r="K1412" s="345">
        <v>2762.5</v>
      </c>
      <c r="L1412" s="346"/>
      <c r="M1412" s="346"/>
      <c r="N1412" s="346"/>
      <c r="O1412" s="345"/>
      <c r="P1412" s="345"/>
      <c r="Q1412" s="345"/>
      <c r="R1412" s="345">
        <v>0</v>
      </c>
      <c r="S1412" s="345">
        <v>0</v>
      </c>
      <c r="T1412" s="345">
        <v>1008.3</v>
      </c>
      <c r="U1412" s="345">
        <v>0</v>
      </c>
      <c r="V1412" s="345">
        <v>64.5</v>
      </c>
      <c r="W1412" s="345">
        <v>2596.0500000000002</v>
      </c>
      <c r="X1412" s="345">
        <v>0</v>
      </c>
      <c r="Y1412" s="345">
        <v>61</v>
      </c>
      <c r="Z1412" s="345">
        <v>2256.5500000000002</v>
      </c>
      <c r="AA1412">
        <f t="shared" si="21"/>
        <v>0</v>
      </c>
    </row>
    <row r="1413" spans="1:27" ht="28.8" x14ac:dyDescent="0.3">
      <c r="A1413" s="345" t="s">
        <v>3074</v>
      </c>
      <c r="B1413" s="805"/>
      <c r="C1413" s="802"/>
      <c r="D1413" s="802"/>
      <c r="E1413" s="803"/>
      <c r="F1413" s="805">
        <v>55</v>
      </c>
      <c r="G1413" s="803"/>
      <c r="H1413" s="345">
        <v>2596.5500000000002</v>
      </c>
      <c r="I1413" s="345">
        <v>0</v>
      </c>
      <c r="J1413" s="345">
        <v>65.5</v>
      </c>
      <c r="K1413" s="345">
        <v>2762.5</v>
      </c>
      <c r="L1413" s="346"/>
      <c r="M1413" s="346"/>
      <c r="N1413" s="346"/>
      <c r="O1413" s="345"/>
      <c r="P1413" s="345"/>
      <c r="Q1413" s="345"/>
      <c r="R1413" s="345">
        <v>0</v>
      </c>
      <c r="S1413" s="345">
        <v>0</v>
      </c>
      <c r="T1413" s="345">
        <v>1008.3</v>
      </c>
      <c r="U1413" s="345">
        <v>0</v>
      </c>
      <c r="V1413" s="345">
        <v>64.5</v>
      </c>
      <c r="W1413" s="345">
        <v>2596.0500000000002</v>
      </c>
      <c r="X1413" s="345">
        <v>0</v>
      </c>
      <c r="Y1413" s="345">
        <v>61</v>
      </c>
      <c r="Z1413" s="345">
        <v>2256.5500000000002</v>
      </c>
      <c r="AA1413">
        <f t="shared" si="21"/>
        <v>0</v>
      </c>
    </row>
    <row r="1414" spans="1:27" ht="28.8" x14ac:dyDescent="0.3">
      <c r="A1414" s="345" t="s">
        <v>3075</v>
      </c>
      <c r="B1414" s="805"/>
      <c r="C1414" s="802"/>
      <c r="D1414" s="802"/>
      <c r="E1414" s="803"/>
      <c r="F1414" s="805">
        <v>55.5</v>
      </c>
      <c r="G1414" s="803"/>
      <c r="H1414" s="345">
        <v>2597.0500000000002</v>
      </c>
      <c r="I1414" s="345">
        <v>0.5</v>
      </c>
      <c r="J1414" s="345">
        <v>66</v>
      </c>
      <c r="K1414" s="345">
        <v>2763</v>
      </c>
      <c r="L1414" s="346"/>
      <c r="M1414" s="346"/>
      <c r="N1414" s="346"/>
      <c r="O1414" s="345"/>
      <c r="P1414" s="345"/>
      <c r="Q1414" s="345"/>
      <c r="R1414" s="345">
        <v>0</v>
      </c>
      <c r="S1414" s="345">
        <v>0</v>
      </c>
      <c r="T1414" s="345">
        <v>1008.3</v>
      </c>
      <c r="U1414" s="345">
        <v>0.5</v>
      </c>
      <c r="V1414" s="345">
        <v>65</v>
      </c>
      <c r="W1414" s="345">
        <v>2596.5500000000002</v>
      </c>
      <c r="X1414" s="345">
        <v>0.5</v>
      </c>
      <c r="Y1414" s="345">
        <v>61.5</v>
      </c>
      <c r="Z1414" s="345">
        <v>2257.0500000000002</v>
      </c>
      <c r="AA1414">
        <f t="shared" si="21"/>
        <v>0.5</v>
      </c>
    </row>
    <row r="1415" spans="1:27" ht="28.8" x14ac:dyDescent="0.3">
      <c r="A1415" s="345" t="s">
        <v>3076</v>
      </c>
      <c r="B1415" s="805"/>
      <c r="C1415" s="802"/>
      <c r="D1415" s="802"/>
      <c r="E1415" s="803"/>
      <c r="F1415" s="805">
        <v>55.5</v>
      </c>
      <c r="G1415" s="803"/>
      <c r="H1415" s="345">
        <v>2597.0500000000002</v>
      </c>
      <c r="I1415" s="345">
        <v>0</v>
      </c>
      <c r="J1415" s="345">
        <v>66</v>
      </c>
      <c r="K1415" s="345">
        <v>2763</v>
      </c>
      <c r="L1415" s="346"/>
      <c r="M1415" s="346"/>
      <c r="N1415" s="346"/>
      <c r="O1415" s="345"/>
      <c r="P1415" s="345"/>
      <c r="Q1415" s="345"/>
      <c r="R1415" s="345"/>
      <c r="S1415" s="345"/>
      <c r="T1415" s="345"/>
      <c r="U1415" s="345">
        <v>0</v>
      </c>
      <c r="V1415" s="345">
        <v>65</v>
      </c>
      <c r="W1415" s="345">
        <v>2596.5500000000002</v>
      </c>
      <c r="X1415" s="345">
        <v>0</v>
      </c>
      <c r="Y1415" s="345">
        <v>61.5</v>
      </c>
      <c r="Z1415" s="345">
        <v>2257.0500000000002</v>
      </c>
      <c r="AA1415">
        <f t="shared" si="21"/>
        <v>0</v>
      </c>
    </row>
    <row r="1416" spans="1:27" ht="28.8" x14ac:dyDescent="0.3">
      <c r="A1416" s="345" t="s">
        <v>3077</v>
      </c>
      <c r="B1416" s="805"/>
      <c r="C1416" s="802"/>
      <c r="D1416" s="802"/>
      <c r="E1416" s="803"/>
      <c r="F1416" s="805">
        <v>55.5</v>
      </c>
      <c r="G1416" s="803"/>
      <c r="H1416" s="345">
        <v>2597.0500000000002</v>
      </c>
      <c r="I1416" s="345">
        <v>0</v>
      </c>
      <c r="J1416" s="345">
        <v>66</v>
      </c>
      <c r="K1416" s="345">
        <v>2763</v>
      </c>
      <c r="L1416" s="346"/>
      <c r="M1416" s="346"/>
      <c r="N1416" s="346"/>
      <c r="O1416" s="345"/>
      <c r="P1416" s="345"/>
      <c r="Q1416" s="345"/>
      <c r="R1416" s="345">
        <v>0</v>
      </c>
      <c r="S1416" s="345">
        <v>0</v>
      </c>
      <c r="T1416" s="345">
        <v>1008.3</v>
      </c>
      <c r="U1416" s="345">
        <v>0</v>
      </c>
      <c r="V1416" s="345">
        <v>65</v>
      </c>
      <c r="W1416" s="345">
        <v>2596.5500000000002</v>
      </c>
      <c r="X1416" s="345">
        <v>0</v>
      </c>
      <c r="Y1416" s="345">
        <v>61.5</v>
      </c>
      <c r="Z1416" s="345">
        <v>2257.0500000000002</v>
      </c>
      <c r="AA1416">
        <f t="shared" si="21"/>
        <v>0</v>
      </c>
    </row>
    <row r="1417" spans="1:27" ht="28.8" x14ac:dyDescent="0.3">
      <c r="A1417" s="345" t="s">
        <v>3078</v>
      </c>
      <c r="B1417" s="805"/>
      <c r="C1417" s="802"/>
      <c r="D1417" s="802"/>
      <c r="E1417" s="803"/>
      <c r="F1417" s="805">
        <v>56.5</v>
      </c>
      <c r="G1417" s="803"/>
      <c r="H1417" s="345">
        <v>2598.0500000000002</v>
      </c>
      <c r="I1417" s="345">
        <v>1</v>
      </c>
      <c r="J1417" s="345">
        <v>67</v>
      </c>
      <c r="K1417" s="345">
        <v>2764</v>
      </c>
      <c r="L1417" s="346"/>
      <c r="M1417" s="346"/>
      <c r="N1417" s="346"/>
      <c r="O1417" s="345"/>
      <c r="P1417" s="345"/>
      <c r="Q1417" s="345"/>
      <c r="R1417" s="345">
        <v>0</v>
      </c>
      <c r="S1417" s="345">
        <v>0</v>
      </c>
      <c r="T1417" s="345">
        <v>1008.3</v>
      </c>
      <c r="U1417" s="345">
        <v>2</v>
      </c>
      <c r="V1417" s="345">
        <v>67</v>
      </c>
      <c r="W1417" s="345">
        <v>2598.5500000000002</v>
      </c>
      <c r="X1417" s="345">
        <v>2</v>
      </c>
      <c r="Y1417" s="345">
        <v>63.5</v>
      </c>
      <c r="Z1417" s="345">
        <v>2259.0500000000002</v>
      </c>
      <c r="AA1417">
        <f t="shared" si="21"/>
        <v>1</v>
      </c>
    </row>
    <row r="1418" spans="1:27" ht="28.8" x14ac:dyDescent="0.3">
      <c r="A1418" s="345" t="s">
        <v>3079</v>
      </c>
      <c r="B1418" s="805"/>
      <c r="C1418" s="802"/>
      <c r="D1418" s="802"/>
      <c r="E1418" s="803"/>
      <c r="F1418" s="805">
        <v>56.5</v>
      </c>
      <c r="G1418" s="803"/>
      <c r="H1418" s="345">
        <v>2598.0500000000002</v>
      </c>
      <c r="I1418" s="345">
        <v>0</v>
      </c>
      <c r="J1418" s="345">
        <v>67</v>
      </c>
      <c r="K1418" s="345">
        <v>2764</v>
      </c>
      <c r="L1418" s="346"/>
      <c r="M1418" s="346"/>
      <c r="N1418" s="346"/>
      <c r="O1418" s="345"/>
      <c r="P1418" s="345"/>
      <c r="Q1418" s="345"/>
      <c r="R1418" s="345">
        <v>0</v>
      </c>
      <c r="S1418" s="345">
        <v>0</v>
      </c>
      <c r="T1418" s="345">
        <v>1008.3</v>
      </c>
      <c r="U1418" s="345">
        <v>0</v>
      </c>
      <c r="V1418" s="345">
        <v>67</v>
      </c>
      <c r="W1418" s="345">
        <v>2598.5500000000002</v>
      </c>
      <c r="X1418" s="345">
        <v>0</v>
      </c>
      <c r="Y1418" s="345">
        <v>63.5</v>
      </c>
      <c r="Z1418" s="345">
        <v>2259.0500000000002</v>
      </c>
      <c r="AA1418">
        <f t="shared" si="21"/>
        <v>0</v>
      </c>
    </row>
    <row r="1419" spans="1:27" ht="28.8" x14ac:dyDescent="0.3">
      <c r="A1419" s="345" t="s">
        <v>3080</v>
      </c>
      <c r="B1419" s="805"/>
      <c r="C1419" s="802"/>
      <c r="D1419" s="802"/>
      <c r="E1419" s="803"/>
      <c r="F1419" s="805">
        <v>57.5</v>
      </c>
      <c r="G1419" s="803"/>
      <c r="H1419" s="345">
        <v>2599.0500000000002</v>
      </c>
      <c r="I1419" s="345">
        <v>1</v>
      </c>
      <c r="J1419" s="345">
        <v>68</v>
      </c>
      <c r="K1419" s="345">
        <v>2765</v>
      </c>
      <c r="L1419" s="346"/>
      <c r="M1419" s="346"/>
      <c r="N1419" s="346"/>
      <c r="O1419" s="345"/>
      <c r="P1419" s="345"/>
      <c r="Q1419" s="345"/>
      <c r="R1419" s="345">
        <v>0</v>
      </c>
      <c r="S1419" s="345">
        <v>0</v>
      </c>
      <c r="T1419" s="345">
        <v>1008.3</v>
      </c>
      <c r="U1419" s="345">
        <v>1</v>
      </c>
      <c r="V1419" s="345">
        <v>68</v>
      </c>
      <c r="W1419" s="345">
        <v>2599.5500000000002</v>
      </c>
      <c r="X1419" s="345">
        <v>1</v>
      </c>
      <c r="Y1419" s="345">
        <v>64.5</v>
      </c>
      <c r="Z1419" s="345">
        <v>2260.0500000000002</v>
      </c>
      <c r="AA1419">
        <f t="shared" si="21"/>
        <v>1</v>
      </c>
    </row>
    <row r="1420" spans="1:27" ht="28.8" x14ac:dyDescent="0.3">
      <c r="A1420" s="345" t="s">
        <v>3081</v>
      </c>
      <c r="B1420" s="805"/>
      <c r="C1420" s="802"/>
      <c r="D1420" s="802"/>
      <c r="E1420" s="803"/>
      <c r="F1420" s="805">
        <v>109</v>
      </c>
      <c r="G1420" s="803"/>
      <c r="H1420" s="345">
        <v>2650.55</v>
      </c>
      <c r="I1420" s="345">
        <v>79</v>
      </c>
      <c r="J1420" s="345">
        <v>147</v>
      </c>
      <c r="K1420" s="345">
        <v>2844</v>
      </c>
      <c r="L1420" s="346"/>
      <c r="M1420" s="346"/>
      <c r="N1420" s="346"/>
      <c r="O1420" s="345"/>
      <c r="P1420" s="345"/>
      <c r="Q1420" s="345"/>
      <c r="R1420" s="345">
        <v>0</v>
      </c>
      <c r="S1420" s="345">
        <v>0</v>
      </c>
      <c r="T1420" s="345">
        <v>1008.3</v>
      </c>
      <c r="U1420" s="345">
        <v>70</v>
      </c>
      <c r="V1420" s="345">
        <v>138</v>
      </c>
      <c r="W1420" s="345">
        <v>2669.55</v>
      </c>
      <c r="X1420" s="345">
        <v>59.5</v>
      </c>
      <c r="Y1420" s="345">
        <v>124</v>
      </c>
      <c r="Z1420" s="345">
        <v>2319.5500000000002</v>
      </c>
      <c r="AA1420">
        <f t="shared" si="21"/>
        <v>79</v>
      </c>
    </row>
    <row r="1421" spans="1:27" ht="28.8" x14ac:dyDescent="0.3">
      <c r="A1421" s="345" t="s">
        <v>3082</v>
      </c>
      <c r="B1421" s="805"/>
      <c r="C1421" s="802"/>
      <c r="D1421" s="802"/>
      <c r="E1421" s="803"/>
      <c r="F1421" s="805">
        <v>109</v>
      </c>
      <c r="G1421" s="803"/>
      <c r="H1421" s="345">
        <v>2650.55</v>
      </c>
      <c r="I1421" s="345">
        <v>0</v>
      </c>
      <c r="J1421" s="345">
        <v>147</v>
      </c>
      <c r="K1421" s="345">
        <v>2844</v>
      </c>
      <c r="L1421" s="346"/>
      <c r="M1421" s="346"/>
      <c r="N1421" s="346"/>
      <c r="O1421" s="345"/>
      <c r="P1421" s="345"/>
      <c r="Q1421" s="345"/>
      <c r="R1421" s="345"/>
      <c r="S1421" s="345"/>
      <c r="T1421" s="345"/>
      <c r="U1421" s="345">
        <v>0</v>
      </c>
      <c r="V1421" s="345">
        <v>138</v>
      </c>
      <c r="W1421" s="345">
        <v>2669.55</v>
      </c>
      <c r="X1421" s="345">
        <v>0.5</v>
      </c>
      <c r="Y1421" s="345">
        <v>124.5</v>
      </c>
      <c r="Z1421" s="345">
        <v>2320.0500000000002</v>
      </c>
      <c r="AA1421">
        <f t="shared" si="21"/>
        <v>0</v>
      </c>
    </row>
    <row r="1422" spans="1:27" ht="28.8" x14ac:dyDescent="0.3">
      <c r="A1422" s="345" t="s">
        <v>3083</v>
      </c>
      <c r="B1422" s="805"/>
      <c r="C1422" s="802"/>
      <c r="D1422" s="802"/>
      <c r="E1422" s="803"/>
      <c r="F1422" s="805">
        <v>120</v>
      </c>
      <c r="G1422" s="803"/>
      <c r="H1422" s="345">
        <v>2661.55</v>
      </c>
      <c r="I1422" s="345">
        <v>13.5</v>
      </c>
      <c r="J1422" s="345">
        <v>160.5</v>
      </c>
      <c r="K1422" s="345">
        <v>2857.5</v>
      </c>
      <c r="L1422" s="346"/>
      <c r="M1422" s="346"/>
      <c r="N1422" s="346"/>
      <c r="O1422" s="345"/>
      <c r="P1422" s="345"/>
      <c r="Q1422" s="345"/>
      <c r="R1422" s="345"/>
      <c r="S1422" s="345"/>
      <c r="T1422" s="345"/>
      <c r="U1422" s="345">
        <v>14</v>
      </c>
      <c r="V1422" s="345">
        <v>152</v>
      </c>
      <c r="W1422" s="345">
        <v>2683.55</v>
      </c>
      <c r="X1422" s="345">
        <v>18</v>
      </c>
      <c r="Y1422" s="345">
        <v>142.5</v>
      </c>
      <c r="Z1422" s="345">
        <v>2338.0500000000002</v>
      </c>
      <c r="AA1422">
        <f t="shared" si="21"/>
        <v>13.5</v>
      </c>
    </row>
    <row r="1423" spans="1:27" ht="28.8" x14ac:dyDescent="0.3">
      <c r="A1423" s="345" t="s">
        <v>3084</v>
      </c>
      <c r="B1423" s="805"/>
      <c r="C1423" s="802"/>
      <c r="D1423" s="802"/>
      <c r="E1423" s="803"/>
      <c r="F1423" s="805">
        <v>126.5</v>
      </c>
      <c r="G1423" s="803"/>
      <c r="H1423" s="345">
        <v>2668.05</v>
      </c>
      <c r="I1423" s="345">
        <v>7</v>
      </c>
      <c r="J1423" s="345">
        <v>167.5</v>
      </c>
      <c r="K1423" s="345">
        <v>2864.5</v>
      </c>
      <c r="L1423" s="346"/>
      <c r="M1423" s="346"/>
      <c r="N1423" s="346"/>
      <c r="O1423" s="345"/>
      <c r="P1423" s="345"/>
      <c r="Q1423" s="345"/>
      <c r="R1423" s="345"/>
      <c r="S1423" s="345"/>
      <c r="T1423" s="345"/>
      <c r="U1423" s="345">
        <v>8</v>
      </c>
      <c r="V1423" s="345">
        <v>160</v>
      </c>
      <c r="W1423" s="345">
        <v>2691.55</v>
      </c>
      <c r="X1423" s="345">
        <v>7.5</v>
      </c>
      <c r="Y1423" s="345">
        <v>150</v>
      </c>
      <c r="Z1423" s="345">
        <v>2345.5500000000002</v>
      </c>
      <c r="AA1423">
        <f t="shared" si="21"/>
        <v>7</v>
      </c>
    </row>
    <row r="1424" spans="1:27" ht="28.8" x14ac:dyDescent="0.3">
      <c r="A1424" s="345" t="s">
        <v>3085</v>
      </c>
      <c r="B1424" s="805"/>
      <c r="C1424" s="802"/>
      <c r="D1424" s="802"/>
      <c r="E1424" s="803"/>
      <c r="F1424" s="805">
        <v>133.5</v>
      </c>
      <c r="G1424" s="803"/>
      <c r="H1424" s="345">
        <v>2675.05</v>
      </c>
      <c r="I1424" s="345">
        <v>8</v>
      </c>
      <c r="J1424" s="345">
        <v>175.5</v>
      </c>
      <c r="K1424" s="345">
        <v>2872.5</v>
      </c>
      <c r="L1424" s="346"/>
      <c r="M1424" s="346"/>
      <c r="N1424" s="346"/>
      <c r="O1424" s="345"/>
      <c r="P1424" s="345"/>
      <c r="Q1424" s="345"/>
      <c r="R1424" s="345"/>
      <c r="S1424" s="345"/>
      <c r="T1424" s="345"/>
      <c r="U1424" s="345">
        <v>9</v>
      </c>
      <c r="V1424" s="345">
        <v>169</v>
      </c>
      <c r="W1424" s="345">
        <v>2700.55</v>
      </c>
      <c r="X1424" s="345">
        <v>10</v>
      </c>
      <c r="Y1424" s="345">
        <v>160</v>
      </c>
      <c r="Z1424" s="345">
        <v>2355.5500000000002</v>
      </c>
      <c r="AA1424">
        <f t="shared" si="21"/>
        <v>8</v>
      </c>
    </row>
    <row r="1425" spans="1:27" ht="28.8" x14ac:dyDescent="0.3">
      <c r="A1425" s="345" t="s">
        <v>3086</v>
      </c>
      <c r="B1425" s="805"/>
      <c r="C1425" s="802"/>
      <c r="D1425" s="802"/>
      <c r="E1425" s="803"/>
      <c r="F1425" s="805">
        <v>157.5</v>
      </c>
      <c r="G1425" s="803"/>
      <c r="H1425" s="345">
        <v>2699.05</v>
      </c>
      <c r="I1425" s="345">
        <v>13.5</v>
      </c>
      <c r="J1425" s="345">
        <v>189</v>
      </c>
      <c r="K1425" s="345">
        <v>2886</v>
      </c>
      <c r="L1425" s="346"/>
      <c r="M1425" s="346"/>
      <c r="N1425" s="346"/>
      <c r="O1425" s="345"/>
      <c r="P1425" s="345"/>
      <c r="Q1425" s="345"/>
      <c r="R1425" s="345"/>
      <c r="S1425" s="345"/>
      <c r="T1425" s="345"/>
      <c r="U1425" s="345">
        <v>29</v>
      </c>
      <c r="V1425" s="345">
        <v>198</v>
      </c>
      <c r="W1425" s="345">
        <v>2729.55</v>
      </c>
      <c r="X1425" s="345">
        <v>27.5</v>
      </c>
      <c r="Y1425" s="345">
        <v>187.5</v>
      </c>
      <c r="Z1425" s="345">
        <v>2383.0500000000002</v>
      </c>
      <c r="AA1425">
        <f t="shared" si="21"/>
        <v>13.5</v>
      </c>
    </row>
    <row r="1426" spans="1:27" ht="28.8" x14ac:dyDescent="0.3">
      <c r="A1426" s="345" t="s">
        <v>3087</v>
      </c>
      <c r="B1426" s="805"/>
      <c r="C1426" s="802"/>
      <c r="D1426" s="802"/>
      <c r="E1426" s="803"/>
      <c r="F1426" s="805">
        <v>157.5</v>
      </c>
      <c r="G1426" s="803"/>
      <c r="H1426" s="345">
        <v>2699.05</v>
      </c>
      <c r="I1426" s="345">
        <v>0</v>
      </c>
      <c r="J1426" s="345">
        <v>189</v>
      </c>
      <c r="K1426" s="345">
        <v>2886</v>
      </c>
      <c r="L1426" s="346"/>
      <c r="M1426" s="346"/>
      <c r="N1426" s="346"/>
      <c r="O1426" s="345"/>
      <c r="P1426" s="345"/>
      <c r="Q1426" s="345"/>
      <c r="R1426" s="345"/>
      <c r="S1426" s="345"/>
      <c r="T1426" s="345"/>
      <c r="U1426" s="345">
        <v>0</v>
      </c>
      <c r="V1426" s="345">
        <v>198</v>
      </c>
      <c r="W1426" s="345">
        <v>2729.55</v>
      </c>
      <c r="X1426" s="345">
        <v>0</v>
      </c>
      <c r="Y1426" s="345">
        <v>187.5</v>
      </c>
      <c r="Z1426" s="345">
        <v>2383.0500000000002</v>
      </c>
      <c r="AA1426">
        <f t="shared" ref="AA1426:AA1492" si="22">MAX(B1426+I1426+L1426+O1426)</f>
        <v>0</v>
      </c>
    </row>
    <row r="1427" spans="1:27" ht="28.8" x14ac:dyDescent="0.3">
      <c r="A1427" s="345" t="s">
        <v>3088</v>
      </c>
      <c r="B1427" s="805"/>
      <c r="C1427" s="802"/>
      <c r="D1427" s="802"/>
      <c r="E1427" s="803"/>
      <c r="F1427" s="805">
        <v>165</v>
      </c>
      <c r="G1427" s="803"/>
      <c r="H1427" s="345">
        <v>2706.55</v>
      </c>
      <c r="I1427" s="345">
        <v>22.5</v>
      </c>
      <c r="J1427" s="345">
        <v>211.5</v>
      </c>
      <c r="K1427" s="345">
        <v>2908.5</v>
      </c>
      <c r="L1427" s="346"/>
      <c r="M1427" s="346"/>
      <c r="N1427" s="346"/>
      <c r="O1427" s="345"/>
      <c r="P1427" s="345"/>
      <c r="Q1427" s="345"/>
      <c r="R1427" s="345"/>
      <c r="S1427" s="345"/>
      <c r="T1427" s="345"/>
      <c r="U1427" s="345">
        <v>3.5</v>
      </c>
      <c r="V1427" s="345">
        <v>201.5</v>
      </c>
      <c r="W1427" s="345">
        <v>2733.05</v>
      </c>
      <c r="X1427" s="345">
        <v>5</v>
      </c>
      <c r="Y1427" s="345">
        <v>192.5</v>
      </c>
      <c r="Z1427" s="345">
        <v>2388.0500000000002</v>
      </c>
      <c r="AA1427">
        <f t="shared" si="22"/>
        <v>22.5</v>
      </c>
    </row>
    <row r="1428" spans="1:27" ht="28.8" x14ac:dyDescent="0.3">
      <c r="A1428" s="345" t="s">
        <v>3089</v>
      </c>
      <c r="B1428" s="805"/>
      <c r="C1428" s="802"/>
      <c r="D1428" s="802"/>
      <c r="E1428" s="803"/>
      <c r="F1428" s="805">
        <v>165.5</v>
      </c>
      <c r="G1428" s="803"/>
      <c r="H1428" s="345">
        <v>2707.05</v>
      </c>
      <c r="I1428" s="345">
        <v>0.5</v>
      </c>
      <c r="J1428" s="345">
        <v>212</v>
      </c>
      <c r="K1428" s="345">
        <v>2909</v>
      </c>
      <c r="L1428" s="346"/>
      <c r="M1428" s="346"/>
      <c r="N1428" s="346"/>
      <c r="O1428" s="345"/>
      <c r="P1428" s="345"/>
      <c r="Q1428" s="345"/>
      <c r="R1428" s="345"/>
      <c r="S1428" s="345"/>
      <c r="T1428" s="345"/>
      <c r="U1428" s="345">
        <v>0.5</v>
      </c>
      <c r="V1428" s="345">
        <v>202</v>
      </c>
      <c r="W1428" s="345">
        <v>2733.55</v>
      </c>
      <c r="X1428" s="345">
        <v>0.5</v>
      </c>
      <c r="Y1428" s="345">
        <v>193</v>
      </c>
      <c r="Z1428" s="345">
        <v>2388.5500000000002</v>
      </c>
      <c r="AA1428">
        <f t="shared" si="22"/>
        <v>0.5</v>
      </c>
    </row>
    <row r="1429" spans="1:27" x14ac:dyDescent="0.3">
      <c r="A1429" s="345"/>
      <c r="B1429" s="345"/>
      <c r="C1429" s="341"/>
      <c r="D1429" s="341"/>
      <c r="E1429" s="342"/>
      <c r="F1429" s="345"/>
      <c r="G1429" s="342"/>
      <c r="H1429" s="345"/>
      <c r="I1429" s="345"/>
      <c r="J1429" s="345"/>
      <c r="K1429" s="345"/>
      <c r="L1429" s="346"/>
      <c r="M1429" s="346"/>
      <c r="N1429" s="346"/>
      <c r="O1429" s="345"/>
      <c r="P1429" s="345"/>
      <c r="Q1429" s="345"/>
      <c r="R1429" s="345"/>
      <c r="S1429" s="345"/>
      <c r="T1429" s="345"/>
      <c r="U1429" s="345"/>
      <c r="V1429" s="345"/>
      <c r="W1429" s="345"/>
      <c r="X1429" s="345"/>
      <c r="Y1429" s="345"/>
      <c r="Z1429" s="345"/>
    </row>
    <row r="1430" spans="1:27" ht="28.8" x14ac:dyDescent="0.3">
      <c r="A1430" s="345" t="s">
        <v>3090</v>
      </c>
      <c r="B1430" s="805"/>
      <c r="C1430" s="802"/>
      <c r="D1430" s="802"/>
      <c r="E1430" s="803"/>
      <c r="F1430" s="805">
        <v>174.5</v>
      </c>
      <c r="G1430" s="803"/>
      <c r="H1430" s="345">
        <v>2716.05</v>
      </c>
      <c r="I1430" s="345">
        <v>9</v>
      </c>
      <c r="J1430" s="345">
        <v>221</v>
      </c>
      <c r="K1430" s="345">
        <v>2918</v>
      </c>
      <c r="L1430" s="346"/>
      <c r="M1430" s="346"/>
      <c r="N1430" s="346"/>
      <c r="O1430" s="345"/>
      <c r="P1430" s="345"/>
      <c r="Q1430" s="345"/>
      <c r="R1430" s="345">
        <v>0</v>
      </c>
      <c r="S1430" s="345">
        <v>0</v>
      </c>
      <c r="T1430" s="345">
        <v>1008.3</v>
      </c>
      <c r="U1430" s="345">
        <v>9.5</v>
      </c>
      <c r="V1430" s="345">
        <v>211.5</v>
      </c>
      <c r="W1430" s="345">
        <v>2743.05</v>
      </c>
      <c r="X1430" s="345">
        <v>10</v>
      </c>
      <c r="Y1430" s="345">
        <v>203</v>
      </c>
      <c r="Z1430" s="345">
        <v>2398.5500000000002</v>
      </c>
      <c r="AA1430">
        <f t="shared" si="22"/>
        <v>9</v>
      </c>
    </row>
    <row r="1431" spans="1:27" ht="28.8" x14ac:dyDescent="0.3">
      <c r="A1431" s="345" t="s">
        <v>3091</v>
      </c>
      <c r="B1431" s="805"/>
      <c r="C1431" s="802"/>
      <c r="D1431" s="802"/>
      <c r="E1431" s="803"/>
      <c r="F1431" s="805">
        <v>175.5</v>
      </c>
      <c r="G1431" s="803"/>
      <c r="H1431" s="345">
        <v>2717.05</v>
      </c>
      <c r="I1431" s="345">
        <v>0.5</v>
      </c>
      <c r="J1431" s="345">
        <v>221.5</v>
      </c>
      <c r="K1431" s="345">
        <v>2918.5</v>
      </c>
      <c r="L1431" s="346"/>
      <c r="M1431" s="346"/>
      <c r="N1431" s="346"/>
      <c r="O1431" s="345"/>
      <c r="P1431" s="345"/>
      <c r="Q1431" s="345"/>
      <c r="R1431" s="345">
        <v>0</v>
      </c>
      <c r="S1431" s="345">
        <v>0</v>
      </c>
      <c r="T1431" s="345">
        <v>1008.3</v>
      </c>
      <c r="U1431" s="345">
        <v>0.5</v>
      </c>
      <c r="V1431" s="345">
        <v>212</v>
      </c>
      <c r="W1431" s="345">
        <v>2743.55</v>
      </c>
      <c r="X1431" s="345">
        <v>0.5</v>
      </c>
      <c r="Y1431" s="345">
        <v>203.5</v>
      </c>
      <c r="Z1431" s="345">
        <v>2399.0500000000002</v>
      </c>
      <c r="AA1431">
        <f t="shared" si="22"/>
        <v>0.5</v>
      </c>
    </row>
    <row r="1432" spans="1:27" s="362" customFormat="1" ht="28.8" x14ac:dyDescent="0.3">
      <c r="A1432" s="359" t="s">
        <v>3092</v>
      </c>
      <c r="B1432" s="811"/>
      <c r="C1432" s="812"/>
      <c r="D1432" s="812"/>
      <c r="E1432" s="813"/>
      <c r="F1432" s="811">
        <v>176</v>
      </c>
      <c r="G1432" s="813"/>
      <c r="H1432" s="359">
        <v>2717.55</v>
      </c>
      <c r="I1432" s="359">
        <v>3</v>
      </c>
      <c r="J1432" s="359">
        <v>224.5</v>
      </c>
      <c r="K1432" s="359">
        <v>2921.5</v>
      </c>
      <c r="L1432" s="359"/>
      <c r="M1432" s="359"/>
      <c r="N1432" s="359"/>
      <c r="O1432" s="359"/>
      <c r="P1432" s="359"/>
      <c r="Q1432" s="359"/>
      <c r="R1432" s="359">
        <v>0</v>
      </c>
      <c r="S1432" s="359">
        <v>0</v>
      </c>
      <c r="T1432" s="359">
        <v>1008.3</v>
      </c>
      <c r="U1432" s="359">
        <v>1</v>
      </c>
      <c r="V1432" s="359">
        <v>213</v>
      </c>
      <c r="W1432" s="359">
        <v>2744.55</v>
      </c>
      <c r="X1432" s="359">
        <v>0.5</v>
      </c>
      <c r="Y1432" s="359">
        <v>204</v>
      </c>
      <c r="Z1432" s="359">
        <v>2399.5500000000002</v>
      </c>
      <c r="AA1432" s="362">
        <f t="shared" si="22"/>
        <v>3</v>
      </c>
    </row>
    <row r="1433" spans="1:27" ht="28.8" x14ac:dyDescent="0.3">
      <c r="A1433" s="345" t="s">
        <v>3093</v>
      </c>
      <c r="B1433" s="805"/>
      <c r="C1433" s="802"/>
      <c r="D1433" s="802"/>
      <c r="E1433" s="803"/>
      <c r="F1433" s="805">
        <v>30</v>
      </c>
      <c r="G1433" s="803"/>
      <c r="H1433" s="345">
        <v>2747.55</v>
      </c>
      <c r="I1433" s="345">
        <v>32.5</v>
      </c>
      <c r="J1433" s="345">
        <v>32.5</v>
      </c>
      <c r="K1433" s="345">
        <v>2954</v>
      </c>
      <c r="L1433" s="346"/>
      <c r="M1433" s="346"/>
      <c r="N1433" s="346"/>
      <c r="O1433" s="345"/>
      <c r="P1433" s="345"/>
      <c r="Q1433" s="345"/>
      <c r="R1433" s="345">
        <v>0</v>
      </c>
      <c r="S1433" s="345">
        <v>0</v>
      </c>
      <c r="T1433" s="345">
        <v>1008.3</v>
      </c>
      <c r="U1433" s="345">
        <v>32</v>
      </c>
      <c r="V1433" s="345">
        <v>32</v>
      </c>
      <c r="W1433" s="345">
        <v>2776.55</v>
      </c>
      <c r="X1433" s="345">
        <v>30</v>
      </c>
      <c r="Y1433" s="345">
        <v>30</v>
      </c>
      <c r="Z1433" s="345">
        <v>2429.5500000000002</v>
      </c>
      <c r="AA1433">
        <f t="shared" si="22"/>
        <v>32.5</v>
      </c>
    </row>
    <row r="1434" spans="1:27" ht="28.8" x14ac:dyDescent="0.3">
      <c r="A1434" s="345" t="s">
        <v>3094</v>
      </c>
      <c r="B1434" s="805"/>
      <c r="C1434" s="802"/>
      <c r="D1434" s="802"/>
      <c r="E1434" s="803"/>
      <c r="F1434" s="805">
        <v>30</v>
      </c>
      <c r="G1434" s="803"/>
      <c r="H1434" s="345">
        <v>2747.55</v>
      </c>
      <c r="I1434" s="345">
        <v>0</v>
      </c>
      <c r="J1434" s="345">
        <v>32.5</v>
      </c>
      <c r="K1434" s="345">
        <v>2954</v>
      </c>
      <c r="L1434" s="346"/>
      <c r="M1434" s="346"/>
      <c r="N1434" s="346"/>
      <c r="O1434" s="345"/>
      <c r="P1434" s="345"/>
      <c r="Q1434" s="345"/>
      <c r="R1434" s="345">
        <v>0</v>
      </c>
      <c r="S1434" s="345">
        <v>0</v>
      </c>
      <c r="T1434" s="345">
        <v>1008.3</v>
      </c>
      <c r="U1434" s="345">
        <v>0</v>
      </c>
      <c r="V1434" s="345">
        <v>32</v>
      </c>
      <c r="W1434" s="345">
        <v>2776.55</v>
      </c>
      <c r="X1434" s="345">
        <v>0</v>
      </c>
      <c r="Y1434" s="345">
        <v>30</v>
      </c>
      <c r="Z1434" s="345">
        <v>2429.5500000000002</v>
      </c>
      <c r="AA1434">
        <f t="shared" si="22"/>
        <v>0</v>
      </c>
    </row>
    <row r="1435" spans="1:27" ht="28.8" x14ac:dyDescent="0.3">
      <c r="A1435" s="345" t="s">
        <v>3095</v>
      </c>
      <c r="B1435" s="805"/>
      <c r="C1435" s="802"/>
      <c r="D1435" s="802"/>
      <c r="E1435" s="803"/>
      <c r="F1435" s="805">
        <v>30</v>
      </c>
      <c r="G1435" s="803"/>
      <c r="H1435" s="345">
        <v>2747.55</v>
      </c>
      <c r="I1435" s="345">
        <v>0</v>
      </c>
      <c r="J1435" s="345">
        <v>32.5</v>
      </c>
      <c r="K1435" s="345">
        <v>2954</v>
      </c>
      <c r="L1435" s="346"/>
      <c r="M1435" s="346"/>
      <c r="N1435" s="346"/>
      <c r="O1435" s="345"/>
      <c r="P1435" s="345"/>
      <c r="Q1435" s="345"/>
      <c r="R1435" s="345">
        <v>0</v>
      </c>
      <c r="S1435" s="345">
        <v>0</v>
      </c>
      <c r="T1435" s="345">
        <v>1008.3</v>
      </c>
      <c r="U1435" s="345">
        <v>0</v>
      </c>
      <c r="V1435" s="345">
        <v>32</v>
      </c>
      <c r="W1435" s="345">
        <v>2776.55</v>
      </c>
      <c r="X1435" s="345">
        <v>0</v>
      </c>
      <c r="Y1435" s="345">
        <v>30</v>
      </c>
      <c r="Z1435" s="345">
        <v>2429.5500000000002</v>
      </c>
      <c r="AA1435">
        <f t="shared" si="22"/>
        <v>0</v>
      </c>
    </row>
    <row r="1436" spans="1:27" ht="28.8" x14ac:dyDescent="0.3">
      <c r="A1436" s="345" t="s">
        <v>3096</v>
      </c>
      <c r="B1436" s="805"/>
      <c r="C1436" s="802"/>
      <c r="D1436" s="802"/>
      <c r="E1436" s="803"/>
      <c r="F1436" s="805">
        <v>33</v>
      </c>
      <c r="G1436" s="803"/>
      <c r="H1436" s="345">
        <v>2750.55</v>
      </c>
      <c r="I1436" s="345">
        <v>3</v>
      </c>
      <c r="J1436" s="345">
        <v>35.5</v>
      </c>
      <c r="K1436" s="345">
        <v>2957</v>
      </c>
      <c r="L1436" s="346"/>
      <c r="M1436" s="346"/>
      <c r="N1436" s="346"/>
      <c r="O1436" s="345"/>
      <c r="P1436" s="345"/>
      <c r="Q1436" s="345"/>
      <c r="R1436" s="345">
        <v>0</v>
      </c>
      <c r="S1436" s="345">
        <v>0</v>
      </c>
      <c r="T1436" s="345">
        <v>1008.3</v>
      </c>
      <c r="U1436" s="345">
        <v>2.5</v>
      </c>
      <c r="V1436" s="345">
        <v>34.5</v>
      </c>
      <c r="W1436" s="345">
        <v>2779.05</v>
      </c>
      <c r="X1436" s="345">
        <v>2</v>
      </c>
      <c r="Y1436" s="345">
        <v>32</v>
      </c>
      <c r="Z1436" s="345">
        <v>2431.5500000000002</v>
      </c>
      <c r="AA1436">
        <f t="shared" si="22"/>
        <v>3</v>
      </c>
    </row>
    <row r="1437" spans="1:27" ht="28.8" x14ac:dyDescent="0.3">
      <c r="A1437" s="345" t="s">
        <v>3097</v>
      </c>
      <c r="B1437" s="805"/>
      <c r="C1437" s="802"/>
      <c r="D1437" s="802"/>
      <c r="E1437" s="803"/>
      <c r="F1437" s="805">
        <v>35</v>
      </c>
      <c r="G1437" s="803"/>
      <c r="H1437" s="345">
        <v>2752.55</v>
      </c>
      <c r="I1437" s="345">
        <v>1</v>
      </c>
      <c r="J1437" s="345">
        <v>36.5</v>
      </c>
      <c r="K1437" s="345">
        <v>2958</v>
      </c>
      <c r="L1437" s="346"/>
      <c r="M1437" s="346"/>
      <c r="N1437" s="346"/>
      <c r="O1437" s="345"/>
      <c r="P1437" s="345"/>
      <c r="Q1437" s="345"/>
      <c r="R1437" s="345">
        <v>0</v>
      </c>
      <c r="S1437" s="345">
        <v>0</v>
      </c>
      <c r="T1437" s="345">
        <v>1008.3</v>
      </c>
      <c r="U1437" s="345">
        <v>1.5</v>
      </c>
      <c r="V1437" s="345">
        <v>36</v>
      </c>
      <c r="W1437" s="345">
        <v>2780.55</v>
      </c>
      <c r="X1437" s="345">
        <v>1.5</v>
      </c>
      <c r="Y1437" s="345">
        <v>33.5</v>
      </c>
      <c r="Z1437" s="345">
        <v>2433.0500000000002</v>
      </c>
      <c r="AA1437">
        <f t="shared" si="22"/>
        <v>1</v>
      </c>
    </row>
    <row r="1438" spans="1:27" ht="28.8" x14ac:dyDescent="0.3">
      <c r="A1438" s="345" t="s">
        <v>3098</v>
      </c>
      <c r="B1438" s="805"/>
      <c r="C1438" s="802"/>
      <c r="D1438" s="802"/>
      <c r="E1438" s="803"/>
      <c r="F1438" s="805">
        <v>35</v>
      </c>
      <c r="G1438" s="803"/>
      <c r="H1438" s="345">
        <v>2752.55</v>
      </c>
      <c r="I1438" s="345">
        <v>0</v>
      </c>
      <c r="J1438" s="345">
        <v>36.5</v>
      </c>
      <c r="K1438" s="345">
        <v>2958</v>
      </c>
      <c r="L1438" s="346"/>
      <c r="M1438" s="346"/>
      <c r="N1438" s="346"/>
      <c r="O1438" s="345"/>
      <c r="P1438" s="345"/>
      <c r="Q1438" s="345"/>
      <c r="R1438" s="345">
        <v>0</v>
      </c>
      <c r="S1438" s="345">
        <v>0</v>
      </c>
      <c r="T1438" s="345">
        <v>1008.3</v>
      </c>
      <c r="U1438" s="345">
        <v>0</v>
      </c>
      <c r="V1438" s="345">
        <v>36</v>
      </c>
      <c r="W1438" s="345">
        <v>2780.55</v>
      </c>
      <c r="X1438" s="345">
        <v>0</v>
      </c>
      <c r="Y1438" s="345">
        <v>33.5</v>
      </c>
      <c r="Z1438" s="345">
        <v>2433.0500000000002</v>
      </c>
      <c r="AA1438">
        <f t="shared" si="22"/>
        <v>0</v>
      </c>
    </row>
    <row r="1439" spans="1:27" ht="28.8" x14ac:dyDescent="0.3">
      <c r="A1439" s="345" t="s">
        <v>3099</v>
      </c>
      <c r="B1439" s="805"/>
      <c r="C1439" s="802"/>
      <c r="D1439" s="802"/>
      <c r="E1439" s="803"/>
      <c r="F1439" s="805">
        <v>35</v>
      </c>
      <c r="G1439" s="803"/>
      <c r="H1439" s="345">
        <v>2752.55</v>
      </c>
      <c r="I1439" s="345">
        <v>0</v>
      </c>
      <c r="J1439" s="345">
        <v>36.5</v>
      </c>
      <c r="K1439" s="345">
        <v>2958</v>
      </c>
      <c r="L1439" s="346"/>
      <c r="M1439" s="346"/>
      <c r="N1439" s="346"/>
      <c r="O1439" s="345"/>
      <c r="P1439" s="345"/>
      <c r="Q1439" s="345"/>
      <c r="R1439" s="345">
        <v>0</v>
      </c>
      <c r="S1439" s="345">
        <v>0</v>
      </c>
      <c r="T1439" s="345">
        <v>1008.3</v>
      </c>
      <c r="U1439" s="345">
        <v>0</v>
      </c>
      <c r="V1439" s="345">
        <v>36</v>
      </c>
      <c r="W1439" s="345">
        <v>2780.55</v>
      </c>
      <c r="X1439" s="345">
        <v>0</v>
      </c>
      <c r="Y1439" s="345">
        <v>33.5</v>
      </c>
      <c r="Z1439" s="345">
        <v>2433.0500000000002</v>
      </c>
      <c r="AA1439">
        <f t="shared" si="22"/>
        <v>0</v>
      </c>
    </row>
    <row r="1440" spans="1:27" ht="28.8" x14ac:dyDescent="0.3">
      <c r="A1440" s="345" t="s">
        <v>3100</v>
      </c>
      <c r="B1440" s="805"/>
      <c r="C1440" s="802"/>
      <c r="D1440" s="802"/>
      <c r="E1440" s="803"/>
      <c r="F1440" s="805">
        <v>43</v>
      </c>
      <c r="G1440" s="803"/>
      <c r="H1440" s="345">
        <v>2760.55</v>
      </c>
      <c r="I1440" s="345">
        <v>7.5</v>
      </c>
      <c r="J1440" s="345">
        <v>44</v>
      </c>
      <c r="K1440" s="345">
        <v>2965.5</v>
      </c>
      <c r="L1440" s="346"/>
      <c r="M1440" s="346"/>
      <c r="N1440" s="346"/>
      <c r="O1440" s="345"/>
      <c r="P1440" s="345"/>
      <c r="Q1440" s="345"/>
      <c r="R1440" s="345">
        <v>0</v>
      </c>
      <c r="S1440" s="345">
        <v>0</v>
      </c>
      <c r="T1440" s="345">
        <v>1008.3</v>
      </c>
      <c r="U1440" s="345">
        <v>9.5</v>
      </c>
      <c r="V1440" s="345">
        <v>45.5</v>
      </c>
      <c r="W1440" s="345">
        <v>2790.05</v>
      </c>
      <c r="X1440" s="345">
        <v>9</v>
      </c>
      <c r="Y1440" s="345">
        <v>42.5</v>
      </c>
      <c r="Z1440" s="345">
        <v>2442.0500000000002</v>
      </c>
      <c r="AA1440">
        <f t="shared" si="22"/>
        <v>7.5</v>
      </c>
    </row>
    <row r="1441" spans="1:27" ht="28.8" x14ac:dyDescent="0.3">
      <c r="A1441" s="345" t="s">
        <v>3101</v>
      </c>
      <c r="B1441" s="805"/>
      <c r="C1441" s="802"/>
      <c r="D1441" s="802"/>
      <c r="E1441" s="803"/>
      <c r="F1441" s="805">
        <v>43.5</v>
      </c>
      <c r="G1441" s="803"/>
      <c r="H1441" s="345">
        <v>2761.05</v>
      </c>
      <c r="I1441" s="345">
        <v>0.5</v>
      </c>
      <c r="J1441" s="345">
        <v>44.5</v>
      </c>
      <c r="K1441" s="345">
        <v>2966</v>
      </c>
      <c r="L1441" s="346"/>
      <c r="M1441" s="346"/>
      <c r="N1441" s="346"/>
      <c r="O1441" s="345"/>
      <c r="P1441" s="345"/>
      <c r="Q1441" s="345"/>
      <c r="R1441" s="345">
        <v>0</v>
      </c>
      <c r="S1441" s="345">
        <v>0</v>
      </c>
      <c r="T1441" s="345">
        <v>1008.3</v>
      </c>
      <c r="U1441" s="345">
        <v>0</v>
      </c>
      <c r="V1441" s="345">
        <v>45.5</v>
      </c>
      <c r="W1441" s="345">
        <v>2790.05</v>
      </c>
      <c r="X1441" s="345">
        <v>0.5</v>
      </c>
      <c r="Y1441" s="345">
        <v>43</v>
      </c>
      <c r="Z1441" s="345">
        <v>2442.5500000000002</v>
      </c>
      <c r="AA1441">
        <f t="shared" si="22"/>
        <v>0.5</v>
      </c>
    </row>
    <row r="1442" spans="1:27" x14ac:dyDescent="0.3">
      <c r="A1442" s="345"/>
      <c r="B1442" s="345"/>
      <c r="C1442" s="341"/>
      <c r="D1442" s="341"/>
      <c r="E1442" s="342"/>
      <c r="F1442" s="345"/>
      <c r="G1442" s="342"/>
      <c r="H1442" s="345"/>
      <c r="I1442" s="345"/>
      <c r="J1442" s="345"/>
      <c r="K1442" s="345"/>
      <c r="L1442" s="346"/>
      <c r="M1442" s="346"/>
      <c r="N1442" s="346"/>
      <c r="O1442" s="345"/>
      <c r="P1442" s="345"/>
      <c r="Q1442" s="345"/>
      <c r="R1442" s="345"/>
      <c r="S1442" s="345"/>
      <c r="T1442" s="345"/>
      <c r="U1442" s="345"/>
      <c r="V1442" s="345"/>
      <c r="W1442" s="345"/>
      <c r="X1442" s="345"/>
      <c r="Y1442" s="345"/>
      <c r="Z1442" s="345"/>
    </row>
    <row r="1443" spans="1:27" ht="28.8" x14ac:dyDescent="0.3">
      <c r="A1443" s="345" t="s">
        <v>3102</v>
      </c>
      <c r="B1443" s="805"/>
      <c r="C1443" s="802"/>
      <c r="D1443" s="802"/>
      <c r="E1443" s="803"/>
      <c r="F1443" s="805">
        <v>43.5</v>
      </c>
      <c r="G1443" s="803"/>
      <c r="H1443" s="345">
        <v>2761.05</v>
      </c>
      <c r="I1443" s="345">
        <v>0</v>
      </c>
      <c r="J1443" s="345">
        <v>44.5</v>
      </c>
      <c r="K1443" s="345">
        <v>2966</v>
      </c>
      <c r="L1443" s="346"/>
      <c r="M1443" s="346"/>
      <c r="N1443" s="346"/>
      <c r="O1443" s="345"/>
      <c r="P1443" s="345"/>
      <c r="Q1443" s="345"/>
      <c r="R1443" s="345"/>
      <c r="S1443" s="345"/>
      <c r="T1443" s="345"/>
      <c r="U1443" s="345">
        <v>0</v>
      </c>
      <c r="V1443" s="345">
        <v>45.5</v>
      </c>
      <c r="W1443" s="345">
        <v>2790.05</v>
      </c>
      <c r="X1443" s="345">
        <v>0</v>
      </c>
      <c r="Y1443" s="345">
        <v>43</v>
      </c>
      <c r="Z1443" s="345">
        <v>2442.5500000000002</v>
      </c>
      <c r="AA1443">
        <f t="shared" si="22"/>
        <v>0</v>
      </c>
    </row>
    <row r="1444" spans="1:27" ht="28.8" x14ac:dyDescent="0.3">
      <c r="A1444" s="345" t="s">
        <v>3103</v>
      </c>
      <c r="B1444" s="805"/>
      <c r="C1444" s="802"/>
      <c r="D1444" s="802"/>
      <c r="E1444" s="803"/>
      <c r="F1444" s="805">
        <v>49.5</v>
      </c>
      <c r="G1444" s="803"/>
      <c r="H1444" s="345">
        <v>2767.05</v>
      </c>
      <c r="I1444" s="345">
        <v>4</v>
      </c>
      <c r="J1444" s="345">
        <v>48.5</v>
      </c>
      <c r="K1444" s="345">
        <v>2970</v>
      </c>
      <c r="L1444" s="346"/>
      <c r="M1444" s="346"/>
      <c r="N1444" s="346"/>
      <c r="O1444" s="345"/>
      <c r="P1444" s="345"/>
      <c r="Q1444" s="345"/>
      <c r="R1444" s="345"/>
      <c r="S1444" s="345"/>
      <c r="T1444" s="345"/>
      <c r="U1444" s="345">
        <v>7</v>
      </c>
      <c r="V1444" s="345">
        <v>52.5</v>
      </c>
      <c r="W1444" s="345">
        <v>2797.05</v>
      </c>
      <c r="X1444" s="345">
        <v>7.5</v>
      </c>
      <c r="Y1444" s="345">
        <v>50.5</v>
      </c>
      <c r="Z1444" s="345">
        <v>2450.0500000000002</v>
      </c>
      <c r="AA1444">
        <f t="shared" si="22"/>
        <v>4</v>
      </c>
    </row>
    <row r="1445" spans="1:27" ht="28.8" x14ac:dyDescent="0.3">
      <c r="A1445" s="345" t="s">
        <v>3104</v>
      </c>
      <c r="B1445" s="805"/>
      <c r="C1445" s="802"/>
      <c r="D1445" s="802"/>
      <c r="E1445" s="803"/>
      <c r="F1445" s="805">
        <v>49.5</v>
      </c>
      <c r="G1445" s="803"/>
      <c r="H1445" s="345">
        <v>2767.05</v>
      </c>
      <c r="I1445" s="345">
        <v>0</v>
      </c>
      <c r="J1445" s="345">
        <v>48.5</v>
      </c>
      <c r="K1445" s="345">
        <v>2970</v>
      </c>
      <c r="L1445" s="346"/>
      <c r="M1445" s="346"/>
      <c r="N1445" s="346"/>
      <c r="O1445" s="345"/>
      <c r="P1445" s="345"/>
      <c r="Q1445" s="345"/>
      <c r="R1445" s="345"/>
      <c r="S1445" s="345"/>
      <c r="T1445" s="345"/>
      <c r="U1445" s="345">
        <v>0</v>
      </c>
      <c r="V1445" s="345">
        <v>52.5</v>
      </c>
      <c r="W1445" s="345">
        <v>2797.05</v>
      </c>
      <c r="X1445" s="345">
        <v>0</v>
      </c>
      <c r="Y1445" s="345">
        <v>50.5</v>
      </c>
      <c r="Z1445" s="345">
        <v>2450.0500000000002</v>
      </c>
      <c r="AA1445">
        <f t="shared" si="22"/>
        <v>0</v>
      </c>
    </row>
    <row r="1446" spans="1:27" ht="28.8" x14ac:dyDescent="0.3">
      <c r="A1446" s="345" t="s">
        <v>3105</v>
      </c>
      <c r="B1446" s="805"/>
      <c r="C1446" s="802"/>
      <c r="D1446" s="802"/>
      <c r="E1446" s="803"/>
      <c r="F1446" s="805">
        <v>52.5</v>
      </c>
      <c r="G1446" s="803"/>
      <c r="H1446" s="345">
        <v>2770.05</v>
      </c>
      <c r="I1446" s="345">
        <v>3</v>
      </c>
      <c r="J1446" s="345">
        <v>51.5</v>
      </c>
      <c r="K1446" s="345">
        <v>2973</v>
      </c>
      <c r="L1446" s="346"/>
      <c r="M1446" s="346"/>
      <c r="N1446" s="346"/>
      <c r="O1446" s="345"/>
      <c r="P1446" s="345"/>
      <c r="Q1446" s="345"/>
      <c r="R1446" s="345"/>
      <c r="S1446" s="345"/>
      <c r="T1446" s="345"/>
      <c r="U1446" s="345">
        <v>4</v>
      </c>
      <c r="V1446" s="345">
        <v>56.5</v>
      </c>
      <c r="W1446" s="345">
        <v>2801.05</v>
      </c>
      <c r="X1446" s="345">
        <v>4</v>
      </c>
      <c r="Y1446" s="345">
        <v>54.5</v>
      </c>
      <c r="Z1446" s="345">
        <v>2454.0500000000002</v>
      </c>
      <c r="AA1446">
        <f t="shared" si="22"/>
        <v>3</v>
      </c>
    </row>
    <row r="1447" spans="1:27" ht="28.8" x14ac:dyDescent="0.3">
      <c r="A1447" s="345" t="s">
        <v>3106</v>
      </c>
      <c r="B1447" s="805"/>
      <c r="C1447" s="802"/>
      <c r="D1447" s="802"/>
      <c r="E1447" s="803"/>
      <c r="F1447" s="805">
        <v>54.5</v>
      </c>
      <c r="G1447" s="803"/>
      <c r="H1447" s="345">
        <v>2772.05</v>
      </c>
      <c r="I1447" s="345">
        <v>9</v>
      </c>
      <c r="J1447" s="345">
        <v>60.5</v>
      </c>
      <c r="K1447" s="345">
        <v>2982</v>
      </c>
      <c r="L1447" s="346"/>
      <c r="M1447" s="346"/>
      <c r="N1447" s="346"/>
      <c r="O1447" s="345"/>
      <c r="P1447" s="345"/>
      <c r="Q1447" s="345"/>
      <c r="R1447" s="345"/>
      <c r="S1447" s="345"/>
      <c r="T1447" s="345"/>
      <c r="U1447" s="345">
        <v>1.5</v>
      </c>
      <c r="V1447" s="345">
        <v>58</v>
      </c>
      <c r="W1447" s="345">
        <v>2802.55</v>
      </c>
      <c r="X1447" s="345">
        <v>2.5</v>
      </c>
      <c r="Y1447" s="345">
        <v>57</v>
      </c>
      <c r="Z1447" s="345">
        <v>2456.5500000000002</v>
      </c>
      <c r="AA1447">
        <f t="shared" si="22"/>
        <v>9</v>
      </c>
    </row>
    <row r="1448" spans="1:27" ht="28.8" x14ac:dyDescent="0.3">
      <c r="A1448" s="345" t="s">
        <v>3107</v>
      </c>
      <c r="B1448" s="805"/>
      <c r="C1448" s="802"/>
      <c r="D1448" s="802"/>
      <c r="E1448" s="803"/>
      <c r="F1448" s="805">
        <v>54.5</v>
      </c>
      <c r="G1448" s="803"/>
      <c r="H1448" s="345">
        <v>2772.05</v>
      </c>
      <c r="I1448" s="345">
        <v>0</v>
      </c>
      <c r="J1448" s="345">
        <v>60.5</v>
      </c>
      <c r="K1448" s="345">
        <v>2982</v>
      </c>
      <c r="L1448" s="346"/>
      <c r="M1448" s="346"/>
      <c r="N1448" s="346"/>
      <c r="O1448" s="345"/>
      <c r="P1448" s="345"/>
      <c r="Q1448" s="345"/>
      <c r="R1448" s="345">
        <v>0</v>
      </c>
      <c r="S1448" s="345">
        <v>0</v>
      </c>
      <c r="T1448" s="345">
        <v>1008.3</v>
      </c>
      <c r="U1448" s="345">
        <v>0</v>
      </c>
      <c r="V1448" s="345">
        <v>58</v>
      </c>
      <c r="W1448" s="345">
        <v>2802.55</v>
      </c>
      <c r="X1448" s="345">
        <v>0</v>
      </c>
      <c r="Y1448" s="345">
        <v>57</v>
      </c>
      <c r="Z1448" s="345">
        <v>2456.5500000000002</v>
      </c>
      <c r="AA1448">
        <f t="shared" si="22"/>
        <v>0</v>
      </c>
    </row>
    <row r="1449" spans="1:27" ht="28.8" x14ac:dyDescent="0.3">
      <c r="A1449" s="345" t="s">
        <v>3108</v>
      </c>
      <c r="B1449" s="805"/>
      <c r="C1449" s="802"/>
      <c r="D1449" s="802"/>
      <c r="E1449" s="803"/>
      <c r="F1449" s="805">
        <v>54.5</v>
      </c>
      <c r="G1449" s="803"/>
      <c r="H1449" s="345">
        <v>2772.05</v>
      </c>
      <c r="I1449" s="345">
        <v>0</v>
      </c>
      <c r="J1449" s="345">
        <v>60.5</v>
      </c>
      <c r="K1449" s="345">
        <v>2982</v>
      </c>
      <c r="L1449" s="346"/>
      <c r="M1449" s="346"/>
      <c r="N1449" s="346"/>
      <c r="O1449" s="345"/>
      <c r="P1449" s="345"/>
      <c r="Q1449" s="345"/>
      <c r="R1449" s="345">
        <v>0</v>
      </c>
      <c r="S1449" s="345">
        <v>0</v>
      </c>
      <c r="T1449" s="345">
        <v>1008.3</v>
      </c>
      <c r="U1449" s="345">
        <v>0</v>
      </c>
      <c r="V1449" s="345">
        <v>58</v>
      </c>
      <c r="W1449" s="345">
        <v>2802.55</v>
      </c>
      <c r="X1449" s="345">
        <v>0</v>
      </c>
      <c r="Y1449" s="345">
        <v>57</v>
      </c>
      <c r="Z1449" s="345">
        <v>2456.5500000000002</v>
      </c>
      <c r="AA1449">
        <f t="shared" si="22"/>
        <v>0</v>
      </c>
    </row>
    <row r="1450" spans="1:27" ht="28.8" x14ac:dyDescent="0.3">
      <c r="A1450" s="345" t="s">
        <v>3109</v>
      </c>
      <c r="B1450" s="805"/>
      <c r="C1450" s="802"/>
      <c r="D1450" s="802"/>
      <c r="E1450" s="803"/>
      <c r="F1450" s="805">
        <v>54.5</v>
      </c>
      <c r="G1450" s="803"/>
      <c r="H1450" s="345">
        <v>2772.05</v>
      </c>
      <c r="I1450" s="345">
        <v>0</v>
      </c>
      <c r="J1450" s="345">
        <v>60.5</v>
      </c>
      <c r="K1450" s="345">
        <v>2982</v>
      </c>
      <c r="L1450" s="346"/>
      <c r="M1450" s="346"/>
      <c r="N1450" s="346"/>
      <c r="O1450" s="345"/>
      <c r="P1450" s="345"/>
      <c r="Q1450" s="345"/>
      <c r="R1450" s="345"/>
      <c r="S1450" s="345"/>
      <c r="T1450" s="345"/>
      <c r="U1450" s="345">
        <v>0</v>
      </c>
      <c r="V1450" s="345">
        <v>58</v>
      </c>
      <c r="W1450" s="345">
        <v>2802.55</v>
      </c>
      <c r="X1450" s="345">
        <v>0</v>
      </c>
      <c r="Y1450" s="345">
        <v>57</v>
      </c>
      <c r="Z1450" s="345">
        <v>2456.5500000000002</v>
      </c>
      <c r="AA1450">
        <f t="shared" si="22"/>
        <v>0</v>
      </c>
    </row>
    <row r="1451" spans="1:27" ht="28.8" x14ac:dyDescent="0.3">
      <c r="A1451" s="345" t="s">
        <v>3110</v>
      </c>
      <c r="B1451" s="805"/>
      <c r="C1451" s="802"/>
      <c r="D1451" s="802"/>
      <c r="E1451" s="803"/>
      <c r="F1451" s="805">
        <v>55</v>
      </c>
      <c r="G1451" s="803"/>
      <c r="H1451" s="345">
        <v>2772.55</v>
      </c>
      <c r="I1451" s="345">
        <v>4.5</v>
      </c>
      <c r="J1451" s="345">
        <v>65</v>
      </c>
      <c r="K1451" s="345">
        <v>2986.5</v>
      </c>
      <c r="L1451" s="346"/>
      <c r="M1451" s="346"/>
      <c r="N1451" s="346"/>
      <c r="O1451" s="345"/>
      <c r="P1451" s="345"/>
      <c r="Q1451" s="345"/>
      <c r="R1451" s="345">
        <v>0</v>
      </c>
      <c r="S1451" s="345">
        <v>0</v>
      </c>
      <c r="T1451" s="345">
        <v>1008.3</v>
      </c>
      <c r="U1451" s="345">
        <v>0.5</v>
      </c>
      <c r="V1451" s="345">
        <v>58.5</v>
      </c>
      <c r="W1451" s="345">
        <v>2803.05</v>
      </c>
      <c r="X1451" s="345">
        <v>0.5</v>
      </c>
      <c r="Y1451" s="345">
        <v>57.5</v>
      </c>
      <c r="Z1451" s="345">
        <v>2457.0500000000002</v>
      </c>
      <c r="AA1451">
        <f t="shared" si="22"/>
        <v>4.5</v>
      </c>
    </row>
    <row r="1452" spans="1:27" ht="28.8" x14ac:dyDescent="0.3">
      <c r="A1452" s="345" t="s">
        <v>3111</v>
      </c>
      <c r="B1452" s="805"/>
      <c r="C1452" s="802"/>
      <c r="D1452" s="802"/>
      <c r="E1452" s="803"/>
      <c r="F1452" s="805">
        <v>69</v>
      </c>
      <c r="G1452" s="803"/>
      <c r="H1452" s="345">
        <v>2786.55</v>
      </c>
      <c r="I1452" s="345">
        <v>13.5</v>
      </c>
      <c r="J1452" s="345">
        <v>78.5</v>
      </c>
      <c r="K1452" s="345">
        <v>3000</v>
      </c>
      <c r="L1452" s="346"/>
      <c r="M1452" s="346"/>
      <c r="N1452" s="346"/>
      <c r="O1452" s="345"/>
      <c r="P1452" s="345"/>
      <c r="Q1452" s="345"/>
      <c r="R1452" s="345">
        <v>0</v>
      </c>
      <c r="S1452" s="345">
        <v>0</v>
      </c>
      <c r="T1452" s="345">
        <v>1008.3</v>
      </c>
      <c r="U1452" s="345">
        <v>14.5</v>
      </c>
      <c r="V1452" s="345">
        <v>73</v>
      </c>
      <c r="W1452" s="345">
        <v>2817.55</v>
      </c>
      <c r="X1452" s="345">
        <v>14</v>
      </c>
      <c r="Y1452" s="345">
        <v>71.5</v>
      </c>
      <c r="Z1452" s="345">
        <v>2471.0500000000002</v>
      </c>
      <c r="AA1452">
        <f t="shared" si="22"/>
        <v>13.5</v>
      </c>
    </row>
    <row r="1453" spans="1:27" ht="28.8" x14ac:dyDescent="0.3">
      <c r="A1453" s="345" t="s">
        <v>3112</v>
      </c>
      <c r="B1453" s="805"/>
      <c r="C1453" s="802"/>
      <c r="D1453" s="802"/>
      <c r="E1453" s="803"/>
      <c r="F1453" s="805">
        <v>71</v>
      </c>
      <c r="G1453" s="803"/>
      <c r="H1453" s="345">
        <v>2788.55</v>
      </c>
      <c r="I1453" s="345">
        <v>7</v>
      </c>
      <c r="J1453" s="345">
        <v>85.5</v>
      </c>
      <c r="K1453" s="345">
        <v>3007</v>
      </c>
      <c r="L1453" s="346"/>
      <c r="M1453" s="346"/>
      <c r="N1453" s="346"/>
      <c r="O1453" s="345"/>
      <c r="P1453" s="345"/>
      <c r="Q1453" s="345"/>
      <c r="R1453" s="345">
        <v>0</v>
      </c>
      <c r="S1453" s="345">
        <v>0</v>
      </c>
      <c r="T1453" s="345">
        <v>1008.3</v>
      </c>
      <c r="U1453" s="345">
        <v>3</v>
      </c>
      <c r="V1453" s="345">
        <v>76</v>
      </c>
      <c r="W1453" s="345">
        <v>2820.55</v>
      </c>
      <c r="X1453" s="345">
        <v>3</v>
      </c>
      <c r="Y1453" s="345">
        <v>74.5</v>
      </c>
      <c r="Z1453" s="345">
        <v>2474.0500000000002</v>
      </c>
      <c r="AA1453">
        <f t="shared" si="22"/>
        <v>7</v>
      </c>
    </row>
    <row r="1454" spans="1:27" ht="28.8" x14ac:dyDescent="0.3">
      <c r="A1454" s="345" t="s">
        <v>3113</v>
      </c>
      <c r="B1454" s="805"/>
      <c r="C1454" s="802"/>
      <c r="D1454" s="802"/>
      <c r="E1454" s="803"/>
      <c r="F1454" s="805">
        <v>80.5</v>
      </c>
      <c r="G1454" s="803"/>
      <c r="H1454" s="345">
        <v>2798.05</v>
      </c>
      <c r="I1454" s="345">
        <v>7.5</v>
      </c>
      <c r="J1454" s="345">
        <v>93</v>
      </c>
      <c r="K1454" s="345">
        <v>3014.5</v>
      </c>
      <c r="L1454" s="346"/>
      <c r="M1454" s="346"/>
      <c r="N1454" s="346"/>
      <c r="O1454" s="345"/>
      <c r="P1454" s="345"/>
      <c r="Q1454" s="345"/>
      <c r="R1454" s="345">
        <v>0</v>
      </c>
      <c r="S1454" s="345">
        <v>0</v>
      </c>
      <c r="T1454" s="345">
        <v>1008.3</v>
      </c>
      <c r="U1454" s="345">
        <v>7.5</v>
      </c>
      <c r="V1454" s="345">
        <v>83.5</v>
      </c>
      <c r="W1454" s="345">
        <v>2828.05</v>
      </c>
      <c r="X1454" s="345">
        <v>7</v>
      </c>
      <c r="Y1454" s="345">
        <v>81.5</v>
      </c>
      <c r="Z1454" s="345">
        <v>2481.0500000000002</v>
      </c>
      <c r="AA1454">
        <f t="shared" si="22"/>
        <v>7.5</v>
      </c>
    </row>
    <row r="1455" spans="1:27" ht="28.8" x14ac:dyDescent="0.3">
      <c r="A1455" s="345" t="s">
        <v>3114</v>
      </c>
      <c r="B1455" s="805"/>
      <c r="C1455" s="802"/>
      <c r="D1455" s="802"/>
      <c r="E1455" s="803"/>
      <c r="F1455" s="805">
        <v>84</v>
      </c>
      <c r="G1455" s="803"/>
      <c r="H1455" s="345">
        <v>2801.55</v>
      </c>
      <c r="I1455" s="345">
        <v>4</v>
      </c>
      <c r="J1455" s="345">
        <v>97</v>
      </c>
      <c r="K1455" s="345">
        <v>3018.5</v>
      </c>
      <c r="L1455" s="346"/>
      <c r="M1455" s="346"/>
      <c r="N1455" s="346"/>
      <c r="O1455" s="345"/>
      <c r="P1455" s="345"/>
      <c r="Q1455" s="345"/>
      <c r="R1455" s="345">
        <v>0</v>
      </c>
      <c r="S1455" s="345">
        <v>0</v>
      </c>
      <c r="T1455" s="345">
        <v>1008.3</v>
      </c>
      <c r="U1455" s="345">
        <v>4</v>
      </c>
      <c r="V1455" s="345">
        <v>87.5</v>
      </c>
      <c r="W1455" s="345">
        <v>2832.05</v>
      </c>
      <c r="X1455" s="345">
        <v>3.5</v>
      </c>
      <c r="Y1455" s="345">
        <v>85</v>
      </c>
      <c r="Z1455" s="345">
        <v>2484.5500000000002</v>
      </c>
      <c r="AA1455">
        <f t="shared" si="22"/>
        <v>4</v>
      </c>
    </row>
    <row r="1456" spans="1:27" ht="28.8" x14ac:dyDescent="0.3">
      <c r="A1456" s="345" t="s">
        <v>3115</v>
      </c>
      <c r="B1456" s="805"/>
      <c r="C1456" s="802"/>
      <c r="D1456" s="802"/>
      <c r="E1456" s="803"/>
      <c r="F1456" s="805">
        <v>84</v>
      </c>
      <c r="G1456" s="803"/>
      <c r="H1456" s="345">
        <v>2801.55</v>
      </c>
      <c r="I1456" s="345">
        <v>0</v>
      </c>
      <c r="J1456" s="345">
        <v>97</v>
      </c>
      <c r="K1456" s="345">
        <v>3018.5</v>
      </c>
      <c r="L1456" s="346"/>
      <c r="M1456" s="346"/>
      <c r="N1456" s="346"/>
      <c r="O1456" s="345"/>
      <c r="P1456" s="345"/>
      <c r="Q1456" s="345"/>
      <c r="R1456" s="345">
        <v>0</v>
      </c>
      <c r="S1456" s="345">
        <v>0</v>
      </c>
      <c r="T1456" s="345">
        <v>1008.3</v>
      </c>
      <c r="U1456" s="345">
        <v>0</v>
      </c>
      <c r="V1456" s="345">
        <v>87.5</v>
      </c>
      <c r="W1456" s="345">
        <v>2832.05</v>
      </c>
      <c r="X1456" s="345">
        <v>0</v>
      </c>
      <c r="Y1456" s="345">
        <v>85</v>
      </c>
      <c r="Z1456" s="345">
        <v>2484.5500000000002</v>
      </c>
      <c r="AA1456">
        <f t="shared" si="22"/>
        <v>0</v>
      </c>
    </row>
    <row r="1457" spans="1:27" ht="28.8" x14ac:dyDescent="0.3">
      <c r="A1457" s="345" t="s">
        <v>3116</v>
      </c>
      <c r="B1457" s="805"/>
      <c r="C1457" s="802"/>
      <c r="D1457" s="802"/>
      <c r="E1457" s="803"/>
      <c r="F1457" s="805">
        <v>84</v>
      </c>
      <c r="G1457" s="803"/>
      <c r="H1457" s="345">
        <v>2801.55</v>
      </c>
      <c r="I1457" s="345">
        <v>0</v>
      </c>
      <c r="J1457" s="345">
        <v>97</v>
      </c>
      <c r="K1457" s="345">
        <v>3018.5</v>
      </c>
      <c r="L1457" s="346"/>
      <c r="M1457" s="346"/>
      <c r="N1457" s="346"/>
      <c r="O1457" s="345"/>
      <c r="P1457" s="345"/>
      <c r="Q1457" s="345"/>
      <c r="R1457" s="345">
        <v>0</v>
      </c>
      <c r="S1457" s="345">
        <v>0</v>
      </c>
      <c r="T1457" s="345">
        <v>1008.3</v>
      </c>
      <c r="U1457" s="345">
        <v>0</v>
      </c>
      <c r="V1457" s="345">
        <v>87.5</v>
      </c>
      <c r="W1457" s="345">
        <v>2832.05</v>
      </c>
      <c r="X1457" s="345">
        <v>0</v>
      </c>
      <c r="Y1457" s="345">
        <v>85</v>
      </c>
      <c r="Z1457" s="345">
        <v>2484.5500000000002</v>
      </c>
      <c r="AA1457">
        <f t="shared" si="22"/>
        <v>0</v>
      </c>
    </row>
    <row r="1458" spans="1:27" ht="28.8" x14ac:dyDescent="0.3">
      <c r="A1458" s="345" t="s">
        <v>3117</v>
      </c>
      <c r="B1458" s="805"/>
      <c r="C1458" s="802"/>
      <c r="D1458" s="802"/>
      <c r="E1458" s="803"/>
      <c r="F1458" s="805">
        <v>84</v>
      </c>
      <c r="G1458" s="803"/>
      <c r="H1458" s="345">
        <v>2801.55</v>
      </c>
      <c r="I1458" s="345">
        <v>0</v>
      </c>
      <c r="J1458" s="345">
        <v>97</v>
      </c>
      <c r="K1458" s="345">
        <v>3018.5</v>
      </c>
      <c r="L1458" s="346"/>
      <c r="M1458" s="346"/>
      <c r="N1458" s="346"/>
      <c r="O1458" s="345"/>
      <c r="P1458" s="345"/>
      <c r="Q1458" s="345"/>
      <c r="R1458" s="345">
        <v>0</v>
      </c>
      <c r="S1458" s="345">
        <v>0</v>
      </c>
      <c r="T1458" s="345">
        <v>1008.3</v>
      </c>
      <c r="U1458" s="345">
        <v>0</v>
      </c>
      <c r="V1458" s="345">
        <v>87.5</v>
      </c>
      <c r="W1458" s="345">
        <v>2832.05</v>
      </c>
      <c r="X1458" s="345">
        <v>0</v>
      </c>
      <c r="Y1458" s="345">
        <v>85</v>
      </c>
      <c r="Z1458" s="345">
        <v>2484.5500000000002</v>
      </c>
      <c r="AA1458">
        <f t="shared" si="22"/>
        <v>0</v>
      </c>
    </row>
    <row r="1459" spans="1:27" ht="28.8" x14ac:dyDescent="0.3">
      <c r="A1459" s="345" t="s">
        <v>3118</v>
      </c>
      <c r="B1459" s="805"/>
      <c r="C1459" s="802"/>
      <c r="D1459" s="802"/>
      <c r="E1459" s="803"/>
      <c r="F1459" s="805">
        <v>84</v>
      </c>
      <c r="G1459" s="803"/>
      <c r="H1459" s="345">
        <v>2801.55</v>
      </c>
      <c r="I1459" s="345">
        <v>0.5</v>
      </c>
      <c r="J1459" s="345">
        <v>97.5</v>
      </c>
      <c r="K1459" s="345">
        <v>3019</v>
      </c>
      <c r="L1459" s="346"/>
      <c r="M1459" s="346"/>
      <c r="N1459" s="346"/>
      <c r="O1459" s="345"/>
      <c r="P1459" s="345"/>
      <c r="Q1459" s="345"/>
      <c r="R1459" s="345">
        <v>0</v>
      </c>
      <c r="S1459" s="345">
        <v>0</v>
      </c>
      <c r="T1459" s="345">
        <v>1008.3</v>
      </c>
      <c r="U1459" s="345">
        <v>0.5</v>
      </c>
      <c r="V1459" s="345">
        <v>88</v>
      </c>
      <c r="W1459" s="345">
        <v>2832.55</v>
      </c>
      <c r="X1459" s="345">
        <v>0.5</v>
      </c>
      <c r="Y1459" s="345">
        <v>85.5</v>
      </c>
      <c r="Z1459" s="345">
        <v>2485.0500000000002</v>
      </c>
      <c r="AA1459">
        <f t="shared" si="22"/>
        <v>0.5</v>
      </c>
    </row>
    <row r="1460" spans="1:27" ht="28.8" x14ac:dyDescent="0.3">
      <c r="A1460" s="345" t="s">
        <v>3119</v>
      </c>
      <c r="B1460" s="805"/>
      <c r="C1460" s="802"/>
      <c r="D1460" s="802"/>
      <c r="E1460" s="803"/>
      <c r="F1460" s="805">
        <v>86.5</v>
      </c>
      <c r="G1460" s="803"/>
      <c r="H1460" s="345">
        <v>2804.05</v>
      </c>
      <c r="I1460" s="345">
        <v>2.5</v>
      </c>
      <c r="J1460" s="345">
        <v>100</v>
      </c>
      <c r="K1460" s="345">
        <v>3021.5</v>
      </c>
      <c r="L1460" s="346"/>
      <c r="M1460" s="346"/>
      <c r="N1460" s="346"/>
      <c r="O1460" s="345"/>
      <c r="P1460" s="345"/>
      <c r="Q1460" s="345"/>
      <c r="R1460" s="345">
        <v>0</v>
      </c>
      <c r="S1460" s="345">
        <v>0</v>
      </c>
      <c r="T1460" s="345">
        <v>1008.3</v>
      </c>
      <c r="U1460" s="345">
        <v>3</v>
      </c>
      <c r="V1460" s="345">
        <v>91</v>
      </c>
      <c r="W1460" s="345">
        <v>2835.55</v>
      </c>
      <c r="X1460" s="345">
        <v>3.5</v>
      </c>
      <c r="Y1460" s="345">
        <v>89</v>
      </c>
      <c r="Z1460" s="345">
        <v>2488.5500000000002</v>
      </c>
      <c r="AA1460">
        <f t="shared" si="22"/>
        <v>2.5</v>
      </c>
    </row>
    <row r="1461" spans="1:27" ht="28.8" x14ac:dyDescent="0.3">
      <c r="A1461" s="345" t="s">
        <v>3120</v>
      </c>
      <c r="B1461" s="805"/>
      <c r="C1461" s="802"/>
      <c r="D1461" s="802"/>
      <c r="E1461" s="803"/>
      <c r="F1461" s="805">
        <v>86.5</v>
      </c>
      <c r="G1461" s="803"/>
      <c r="H1461" s="345">
        <v>2804.05</v>
      </c>
      <c r="I1461" s="345">
        <v>0</v>
      </c>
      <c r="J1461" s="345">
        <v>100</v>
      </c>
      <c r="K1461" s="345">
        <v>3021.5</v>
      </c>
      <c r="L1461" s="346"/>
      <c r="M1461" s="346"/>
      <c r="N1461" s="346"/>
      <c r="O1461" s="345"/>
      <c r="P1461" s="345"/>
      <c r="Q1461" s="345"/>
      <c r="R1461" s="345"/>
      <c r="S1461" s="345"/>
      <c r="T1461" s="345"/>
      <c r="U1461" s="345">
        <v>0</v>
      </c>
      <c r="V1461" s="345">
        <v>91</v>
      </c>
      <c r="W1461" s="345">
        <v>2835.55</v>
      </c>
      <c r="X1461" s="345">
        <v>0</v>
      </c>
      <c r="Y1461" s="345">
        <v>89</v>
      </c>
      <c r="Z1461" s="345">
        <v>2488.5500000000002</v>
      </c>
      <c r="AA1461">
        <f t="shared" si="22"/>
        <v>0</v>
      </c>
    </row>
    <row r="1462" spans="1:27" ht="28.8" x14ac:dyDescent="0.3">
      <c r="A1462" s="345" t="s">
        <v>3121</v>
      </c>
      <c r="B1462" s="805"/>
      <c r="C1462" s="802"/>
      <c r="D1462" s="802"/>
      <c r="E1462" s="803"/>
      <c r="F1462" s="805">
        <v>99</v>
      </c>
      <c r="G1462" s="803"/>
      <c r="H1462" s="345">
        <v>2816.55</v>
      </c>
      <c r="I1462" s="345">
        <v>13</v>
      </c>
      <c r="J1462" s="345">
        <v>113</v>
      </c>
      <c r="K1462" s="345">
        <v>3034.5</v>
      </c>
      <c r="L1462" s="346"/>
      <c r="M1462" s="346"/>
      <c r="N1462" s="346"/>
      <c r="O1462" s="345"/>
      <c r="P1462" s="345"/>
      <c r="Q1462" s="345"/>
      <c r="R1462" s="345"/>
      <c r="S1462" s="345"/>
      <c r="T1462" s="345"/>
      <c r="U1462" s="345">
        <v>17</v>
      </c>
      <c r="V1462" s="345">
        <v>108</v>
      </c>
      <c r="W1462" s="345">
        <v>2852.55</v>
      </c>
      <c r="X1462" s="345">
        <v>23</v>
      </c>
      <c r="Y1462" s="345">
        <v>112</v>
      </c>
      <c r="Z1462" s="345">
        <v>2511.5500000000002</v>
      </c>
      <c r="AA1462">
        <f t="shared" si="22"/>
        <v>13</v>
      </c>
    </row>
    <row r="1463" spans="1:27" s="362" customFormat="1" ht="28.8" x14ac:dyDescent="0.3">
      <c r="A1463" s="359" t="s">
        <v>3122</v>
      </c>
      <c r="B1463" s="811"/>
      <c r="C1463" s="812"/>
      <c r="D1463" s="812"/>
      <c r="E1463" s="813"/>
      <c r="F1463" s="811">
        <v>99</v>
      </c>
      <c r="G1463" s="813"/>
      <c r="H1463" s="359">
        <v>2816.55</v>
      </c>
      <c r="I1463" s="359">
        <v>0</v>
      </c>
      <c r="J1463" s="359">
        <v>113</v>
      </c>
      <c r="K1463" s="359">
        <v>3034.5</v>
      </c>
      <c r="L1463" s="359"/>
      <c r="M1463" s="359"/>
      <c r="N1463" s="359"/>
      <c r="O1463" s="359"/>
      <c r="P1463" s="359"/>
      <c r="Q1463" s="359"/>
      <c r="R1463" s="359"/>
      <c r="S1463" s="359"/>
      <c r="T1463" s="359"/>
      <c r="U1463" s="359">
        <v>0</v>
      </c>
      <c r="V1463" s="359">
        <v>108</v>
      </c>
      <c r="W1463" s="359">
        <v>2852.55</v>
      </c>
      <c r="X1463" s="359">
        <v>0</v>
      </c>
      <c r="Y1463" s="359">
        <v>112</v>
      </c>
      <c r="Z1463" s="359">
        <v>2511.5500000000002</v>
      </c>
      <c r="AA1463" s="362">
        <f t="shared" si="22"/>
        <v>0</v>
      </c>
    </row>
    <row r="1464" spans="1:27" ht="28.8" x14ac:dyDescent="0.3">
      <c r="A1464" s="345" t="s">
        <v>3123</v>
      </c>
      <c r="B1464" s="805"/>
      <c r="C1464" s="802"/>
      <c r="D1464" s="802"/>
      <c r="E1464" s="803"/>
      <c r="F1464" s="805">
        <v>33</v>
      </c>
      <c r="G1464" s="803"/>
      <c r="H1464" s="345">
        <v>33</v>
      </c>
      <c r="I1464" s="345">
        <v>33.5</v>
      </c>
      <c r="J1464" s="345">
        <v>33.5</v>
      </c>
      <c r="K1464" s="345">
        <v>33.5</v>
      </c>
      <c r="L1464" s="346"/>
      <c r="M1464" s="346"/>
      <c r="N1464" s="346"/>
      <c r="O1464" s="345"/>
      <c r="P1464" s="345"/>
      <c r="Q1464" s="345"/>
      <c r="R1464" s="345"/>
      <c r="S1464" s="345"/>
      <c r="T1464" s="345"/>
      <c r="U1464" s="345">
        <v>29.5</v>
      </c>
      <c r="V1464" s="345">
        <v>29.5</v>
      </c>
      <c r="W1464" s="345">
        <v>29.5</v>
      </c>
      <c r="X1464" s="345">
        <v>30</v>
      </c>
      <c r="Y1464" s="345">
        <v>30</v>
      </c>
      <c r="Z1464" s="345">
        <v>30</v>
      </c>
      <c r="AA1464">
        <f t="shared" si="22"/>
        <v>33.5</v>
      </c>
    </row>
    <row r="1465" spans="1:27" ht="28.8" x14ac:dyDescent="0.3">
      <c r="A1465" s="345" t="s">
        <v>3124</v>
      </c>
      <c r="B1465" s="805"/>
      <c r="C1465" s="802"/>
      <c r="D1465" s="802"/>
      <c r="E1465" s="803"/>
      <c r="F1465" s="805">
        <v>41</v>
      </c>
      <c r="G1465" s="803"/>
      <c r="H1465" s="345">
        <v>41</v>
      </c>
      <c r="I1465" s="345">
        <v>6.5</v>
      </c>
      <c r="J1465" s="345">
        <v>40</v>
      </c>
      <c r="K1465" s="345">
        <v>40</v>
      </c>
      <c r="L1465" s="346"/>
      <c r="M1465" s="346"/>
      <c r="N1465" s="346"/>
      <c r="O1465" s="345"/>
      <c r="P1465" s="345"/>
      <c r="Q1465" s="345"/>
      <c r="R1465" s="345"/>
      <c r="S1465" s="345"/>
      <c r="T1465" s="345"/>
      <c r="U1465" s="345">
        <v>7</v>
      </c>
      <c r="V1465" s="345">
        <v>36.5</v>
      </c>
      <c r="W1465" s="345">
        <v>36.5</v>
      </c>
      <c r="X1465" s="345">
        <v>6.5</v>
      </c>
      <c r="Y1465" s="345">
        <v>36.5</v>
      </c>
      <c r="Z1465" s="345">
        <v>36.5</v>
      </c>
      <c r="AA1465">
        <f t="shared" si="22"/>
        <v>6.5</v>
      </c>
    </row>
    <row r="1466" spans="1:27" ht="28.8" x14ac:dyDescent="0.3">
      <c r="A1466" s="345" t="s">
        <v>3125</v>
      </c>
      <c r="B1466" s="805"/>
      <c r="C1466" s="802"/>
      <c r="D1466" s="802"/>
      <c r="E1466" s="803"/>
      <c r="F1466" s="805">
        <v>44</v>
      </c>
      <c r="G1466" s="803"/>
      <c r="H1466" s="345">
        <v>44</v>
      </c>
      <c r="I1466" s="345">
        <v>3.5</v>
      </c>
      <c r="J1466" s="345">
        <v>43.5</v>
      </c>
      <c r="K1466" s="345">
        <v>43.5</v>
      </c>
      <c r="L1466" s="346"/>
      <c r="M1466" s="346"/>
      <c r="N1466" s="346"/>
      <c r="O1466" s="345"/>
      <c r="P1466" s="345"/>
      <c r="Q1466" s="345"/>
      <c r="R1466" s="345"/>
      <c r="S1466" s="345"/>
      <c r="T1466" s="345"/>
      <c r="U1466" s="345">
        <v>3</v>
      </c>
      <c r="V1466" s="345">
        <v>39.5</v>
      </c>
      <c r="W1466" s="345">
        <v>39.5</v>
      </c>
      <c r="X1466" s="345">
        <v>3.5</v>
      </c>
      <c r="Y1466" s="345">
        <v>40</v>
      </c>
      <c r="Z1466" s="345">
        <v>40</v>
      </c>
      <c r="AA1466">
        <f t="shared" si="22"/>
        <v>3.5</v>
      </c>
    </row>
    <row r="1467" spans="1:27" ht="28.8" x14ac:dyDescent="0.3">
      <c r="A1467" s="345" t="s">
        <v>3126</v>
      </c>
      <c r="B1467" s="805"/>
      <c r="C1467" s="802"/>
      <c r="D1467" s="802"/>
      <c r="E1467" s="803"/>
      <c r="F1467" s="805">
        <v>49.5</v>
      </c>
      <c r="G1467" s="803"/>
      <c r="H1467" s="345">
        <v>49.5</v>
      </c>
      <c r="I1467" s="345">
        <v>12</v>
      </c>
      <c r="J1467" s="345">
        <v>55.5</v>
      </c>
      <c r="K1467" s="345">
        <v>55.5</v>
      </c>
      <c r="L1467" s="346"/>
      <c r="M1467" s="346"/>
      <c r="N1467" s="346"/>
      <c r="O1467" s="345"/>
      <c r="P1467" s="345"/>
      <c r="Q1467" s="345"/>
      <c r="R1467" s="345">
        <v>0</v>
      </c>
      <c r="S1467" s="345">
        <v>0</v>
      </c>
      <c r="T1467" s="345">
        <v>0</v>
      </c>
      <c r="U1467" s="345">
        <v>4</v>
      </c>
      <c r="V1467" s="345">
        <v>43.5</v>
      </c>
      <c r="W1467" s="345">
        <v>43.5</v>
      </c>
      <c r="X1467" s="345">
        <v>3.5</v>
      </c>
      <c r="Y1467" s="345">
        <v>43.5</v>
      </c>
      <c r="Z1467" s="345">
        <v>43.5</v>
      </c>
      <c r="AA1467">
        <f t="shared" si="22"/>
        <v>12</v>
      </c>
    </row>
    <row r="1468" spans="1:27" ht="28.8" x14ac:dyDescent="0.3">
      <c r="A1468" s="345" t="s">
        <v>3127</v>
      </c>
      <c r="B1468" s="805"/>
      <c r="C1468" s="802"/>
      <c r="D1468" s="802"/>
      <c r="E1468" s="803"/>
      <c r="F1468" s="805">
        <v>49.5</v>
      </c>
      <c r="G1468" s="803"/>
      <c r="H1468" s="345">
        <v>49.5</v>
      </c>
      <c r="I1468" s="345">
        <v>0</v>
      </c>
      <c r="J1468" s="345">
        <v>55.5</v>
      </c>
      <c r="K1468" s="345">
        <v>55.5</v>
      </c>
      <c r="L1468" s="346"/>
      <c r="M1468" s="346"/>
      <c r="N1468" s="346"/>
      <c r="O1468" s="345"/>
      <c r="P1468" s="345"/>
      <c r="Q1468" s="345"/>
      <c r="R1468" s="345">
        <v>0</v>
      </c>
      <c r="S1468" s="345">
        <v>0</v>
      </c>
      <c r="T1468" s="345">
        <v>0</v>
      </c>
      <c r="U1468" s="345">
        <v>0</v>
      </c>
      <c r="V1468" s="345">
        <v>43.5</v>
      </c>
      <c r="W1468" s="345">
        <v>43.5</v>
      </c>
      <c r="X1468" s="345">
        <v>0</v>
      </c>
      <c r="Y1468" s="345">
        <v>43.5</v>
      </c>
      <c r="Z1468" s="345">
        <v>43.5</v>
      </c>
      <c r="AA1468">
        <f t="shared" si="22"/>
        <v>0</v>
      </c>
    </row>
    <row r="1469" spans="1:27" ht="28.8" x14ac:dyDescent="0.3">
      <c r="A1469" s="345" t="s">
        <v>3128</v>
      </c>
      <c r="B1469" s="805"/>
      <c r="C1469" s="802"/>
      <c r="D1469" s="802"/>
      <c r="E1469" s="803"/>
      <c r="F1469" s="805">
        <v>54</v>
      </c>
      <c r="G1469" s="803"/>
      <c r="H1469" s="345">
        <v>54</v>
      </c>
      <c r="I1469" s="345">
        <v>6</v>
      </c>
      <c r="J1469" s="345">
        <v>61.5</v>
      </c>
      <c r="K1469" s="345">
        <v>61.5</v>
      </c>
      <c r="L1469" s="346"/>
      <c r="M1469" s="346"/>
      <c r="N1469" s="346"/>
      <c r="O1469" s="345"/>
      <c r="P1469" s="345"/>
      <c r="Q1469" s="345"/>
      <c r="R1469" s="345">
        <v>0</v>
      </c>
      <c r="S1469" s="345">
        <v>0</v>
      </c>
      <c r="T1469" s="345">
        <v>0</v>
      </c>
      <c r="U1469" s="345">
        <v>5.5</v>
      </c>
      <c r="V1469" s="345">
        <v>49</v>
      </c>
      <c r="W1469" s="345">
        <v>49</v>
      </c>
      <c r="X1469" s="345">
        <v>5</v>
      </c>
      <c r="Y1469" s="345">
        <v>48.5</v>
      </c>
      <c r="Z1469" s="345">
        <v>48.5</v>
      </c>
      <c r="AA1469">
        <f t="shared" si="22"/>
        <v>6</v>
      </c>
    </row>
    <row r="1470" spans="1:27" ht="28.8" x14ac:dyDescent="0.3">
      <c r="A1470" s="345" t="s">
        <v>3129</v>
      </c>
      <c r="B1470" s="805"/>
      <c r="C1470" s="802"/>
      <c r="D1470" s="802"/>
      <c r="E1470" s="803"/>
      <c r="F1470" s="805">
        <v>63</v>
      </c>
      <c r="G1470" s="803"/>
      <c r="H1470" s="345">
        <v>63</v>
      </c>
      <c r="I1470" s="345">
        <v>9.5</v>
      </c>
      <c r="J1470" s="345">
        <v>71</v>
      </c>
      <c r="K1470" s="345">
        <v>71</v>
      </c>
      <c r="L1470" s="346"/>
      <c r="M1470" s="346"/>
      <c r="N1470" s="346"/>
      <c r="O1470" s="345"/>
      <c r="P1470" s="345"/>
      <c r="Q1470" s="345"/>
      <c r="R1470" s="345">
        <v>0</v>
      </c>
      <c r="S1470" s="345">
        <v>0</v>
      </c>
      <c r="T1470" s="345">
        <v>0</v>
      </c>
      <c r="U1470" s="345">
        <v>16</v>
      </c>
      <c r="V1470" s="345">
        <v>65</v>
      </c>
      <c r="W1470" s="345">
        <v>65</v>
      </c>
      <c r="X1470" s="345">
        <v>13.5</v>
      </c>
      <c r="Y1470" s="345">
        <v>62</v>
      </c>
      <c r="Z1470" s="345">
        <v>62</v>
      </c>
      <c r="AA1470">
        <f t="shared" si="22"/>
        <v>9.5</v>
      </c>
    </row>
    <row r="1471" spans="1:27" ht="28.8" x14ac:dyDescent="0.3">
      <c r="A1471" s="345" t="s">
        <v>3130</v>
      </c>
      <c r="B1471" s="805"/>
      <c r="C1471" s="802"/>
      <c r="D1471" s="802"/>
      <c r="E1471" s="803"/>
      <c r="F1471" s="805">
        <v>64</v>
      </c>
      <c r="G1471" s="803"/>
      <c r="H1471" s="345">
        <v>64</v>
      </c>
      <c r="I1471" s="345">
        <v>5.5</v>
      </c>
      <c r="J1471" s="345">
        <v>76.5</v>
      </c>
      <c r="K1471" s="345">
        <v>76.5</v>
      </c>
      <c r="L1471" s="346"/>
      <c r="M1471" s="346"/>
      <c r="N1471" s="346"/>
      <c r="O1471" s="345"/>
      <c r="P1471" s="345"/>
      <c r="Q1471" s="345"/>
      <c r="R1471" s="345">
        <v>0</v>
      </c>
      <c r="S1471" s="345">
        <v>0</v>
      </c>
      <c r="T1471" s="345">
        <v>0</v>
      </c>
      <c r="U1471" s="345">
        <v>1</v>
      </c>
      <c r="V1471" s="345">
        <v>66</v>
      </c>
      <c r="W1471" s="345">
        <v>66</v>
      </c>
      <c r="X1471" s="345">
        <v>0.5</v>
      </c>
      <c r="Y1471" s="345">
        <v>62.5</v>
      </c>
      <c r="Z1471" s="345">
        <v>62.5</v>
      </c>
      <c r="AA1471">
        <f t="shared" si="22"/>
        <v>5.5</v>
      </c>
    </row>
    <row r="1472" spans="1:27" ht="28.8" x14ac:dyDescent="0.3">
      <c r="A1472" s="345" t="s">
        <v>3131</v>
      </c>
      <c r="B1472" s="805"/>
      <c r="C1472" s="802"/>
      <c r="D1472" s="802"/>
      <c r="E1472" s="803"/>
      <c r="F1472" s="805">
        <v>64</v>
      </c>
      <c r="G1472" s="803"/>
      <c r="H1472" s="345">
        <v>64</v>
      </c>
      <c r="I1472" s="345">
        <v>0</v>
      </c>
      <c r="J1472" s="345">
        <v>76.5</v>
      </c>
      <c r="K1472" s="345">
        <v>76.5</v>
      </c>
      <c r="L1472" s="346"/>
      <c r="M1472" s="346"/>
      <c r="N1472" s="346"/>
      <c r="O1472" s="345"/>
      <c r="P1472" s="345"/>
      <c r="Q1472" s="345"/>
      <c r="R1472" s="345">
        <v>0</v>
      </c>
      <c r="S1472" s="345">
        <v>0</v>
      </c>
      <c r="T1472" s="345">
        <v>0</v>
      </c>
      <c r="U1472" s="345">
        <v>0</v>
      </c>
      <c r="V1472" s="345">
        <v>66</v>
      </c>
      <c r="W1472" s="345">
        <v>66</v>
      </c>
      <c r="X1472" s="345">
        <v>0</v>
      </c>
      <c r="Y1472" s="345">
        <v>62.5</v>
      </c>
      <c r="Z1472" s="345">
        <v>62.5</v>
      </c>
      <c r="AA1472">
        <f t="shared" si="22"/>
        <v>0</v>
      </c>
    </row>
    <row r="1473" spans="1:27" ht="28.8" x14ac:dyDescent="0.3">
      <c r="A1473" s="345" t="s">
        <v>3132</v>
      </c>
      <c r="B1473" s="805"/>
      <c r="C1473" s="802"/>
      <c r="D1473" s="802"/>
      <c r="E1473" s="803"/>
      <c r="F1473" s="805">
        <v>64</v>
      </c>
      <c r="G1473" s="803"/>
      <c r="H1473" s="345">
        <v>64</v>
      </c>
      <c r="I1473" s="345">
        <v>0.5</v>
      </c>
      <c r="J1473" s="345">
        <v>77</v>
      </c>
      <c r="K1473" s="345">
        <v>77</v>
      </c>
      <c r="L1473" s="346"/>
      <c r="M1473" s="346"/>
      <c r="N1473" s="346"/>
      <c r="O1473" s="345"/>
      <c r="P1473" s="345"/>
      <c r="Q1473" s="345"/>
      <c r="R1473" s="345">
        <v>0</v>
      </c>
      <c r="S1473" s="345">
        <v>0</v>
      </c>
      <c r="T1473" s="345">
        <v>0</v>
      </c>
      <c r="U1473" s="345">
        <v>0.5</v>
      </c>
      <c r="V1473" s="345">
        <v>66.5</v>
      </c>
      <c r="W1473" s="345">
        <v>66.5</v>
      </c>
      <c r="X1473" s="345">
        <v>0.5</v>
      </c>
      <c r="Y1473" s="345">
        <v>63</v>
      </c>
      <c r="Z1473" s="345">
        <v>63</v>
      </c>
      <c r="AA1473">
        <f t="shared" si="22"/>
        <v>0.5</v>
      </c>
    </row>
    <row r="1474" spans="1:27" ht="28.8" x14ac:dyDescent="0.3">
      <c r="A1474" s="345" t="s">
        <v>3133</v>
      </c>
      <c r="B1474" s="805"/>
      <c r="C1474" s="802"/>
      <c r="D1474" s="802"/>
      <c r="E1474" s="803"/>
      <c r="F1474" s="805">
        <v>74</v>
      </c>
      <c r="G1474" s="803"/>
      <c r="H1474" s="345">
        <v>74</v>
      </c>
      <c r="I1474" s="345">
        <v>6.5</v>
      </c>
      <c r="J1474" s="345">
        <v>83.5</v>
      </c>
      <c r="K1474" s="345">
        <v>83.5</v>
      </c>
      <c r="L1474" s="346"/>
      <c r="M1474" s="346"/>
      <c r="N1474" s="346"/>
      <c r="O1474" s="345"/>
      <c r="P1474" s="345"/>
      <c r="Q1474" s="345"/>
      <c r="R1474" s="345">
        <v>0</v>
      </c>
      <c r="S1474" s="345">
        <v>0</v>
      </c>
      <c r="T1474" s="345">
        <v>0</v>
      </c>
      <c r="U1474" s="345">
        <v>5</v>
      </c>
      <c r="V1474" s="345">
        <v>71.5</v>
      </c>
      <c r="W1474" s="345">
        <v>71.5</v>
      </c>
      <c r="X1474" s="345">
        <v>5.5</v>
      </c>
      <c r="Y1474" s="345">
        <v>68.5</v>
      </c>
      <c r="Z1474" s="345">
        <v>68.5</v>
      </c>
      <c r="AA1474">
        <f t="shared" si="22"/>
        <v>6.5</v>
      </c>
    </row>
    <row r="1475" spans="1:27" ht="28.8" x14ac:dyDescent="0.3">
      <c r="A1475" s="345" t="s">
        <v>3134</v>
      </c>
      <c r="B1475" s="805"/>
      <c r="C1475" s="802"/>
      <c r="D1475" s="802"/>
      <c r="E1475" s="803"/>
      <c r="F1475" s="805">
        <v>75.5</v>
      </c>
      <c r="G1475" s="803"/>
      <c r="H1475" s="345">
        <v>75.5</v>
      </c>
      <c r="I1475" s="345">
        <v>4</v>
      </c>
      <c r="J1475" s="345">
        <v>87.5</v>
      </c>
      <c r="K1475" s="345">
        <v>87.5</v>
      </c>
      <c r="L1475" s="346"/>
      <c r="M1475" s="346"/>
      <c r="N1475" s="346"/>
      <c r="O1475" s="345"/>
      <c r="P1475" s="345"/>
      <c r="Q1475" s="345"/>
      <c r="R1475" s="345"/>
      <c r="S1475" s="345"/>
      <c r="T1475" s="345"/>
      <c r="U1475" s="345">
        <v>3</v>
      </c>
      <c r="V1475" s="345">
        <v>74.5</v>
      </c>
      <c r="W1475" s="345">
        <v>74.5</v>
      </c>
      <c r="X1475" s="345">
        <v>1</v>
      </c>
      <c r="Y1475" s="345">
        <v>69.5</v>
      </c>
      <c r="Z1475" s="345">
        <v>69.5</v>
      </c>
      <c r="AA1475">
        <f t="shared" si="22"/>
        <v>4</v>
      </c>
    </row>
    <row r="1476" spans="1:27" ht="28.8" x14ac:dyDescent="0.3">
      <c r="A1476" s="345" t="s">
        <v>3135</v>
      </c>
      <c r="B1476" s="805"/>
      <c r="C1476" s="802"/>
      <c r="D1476" s="802"/>
      <c r="E1476" s="803"/>
      <c r="F1476" s="805">
        <v>75.5</v>
      </c>
      <c r="G1476" s="803"/>
      <c r="H1476" s="345">
        <v>75.5</v>
      </c>
      <c r="I1476" s="345">
        <v>0</v>
      </c>
      <c r="J1476" s="345">
        <v>87.5</v>
      </c>
      <c r="K1476" s="345">
        <v>87.5</v>
      </c>
      <c r="L1476" s="346"/>
      <c r="M1476" s="346"/>
      <c r="N1476" s="346"/>
      <c r="O1476" s="345"/>
      <c r="P1476" s="345"/>
      <c r="Q1476" s="345"/>
      <c r="R1476" s="345"/>
      <c r="S1476" s="345"/>
      <c r="T1476" s="345"/>
      <c r="U1476" s="345">
        <v>0</v>
      </c>
      <c r="V1476" s="345">
        <v>74.5</v>
      </c>
      <c r="W1476" s="345">
        <v>74.5</v>
      </c>
      <c r="X1476" s="345">
        <v>0</v>
      </c>
      <c r="Y1476" s="345">
        <v>69.5</v>
      </c>
      <c r="Z1476" s="345">
        <v>69.5</v>
      </c>
      <c r="AA1476">
        <f t="shared" si="22"/>
        <v>0</v>
      </c>
    </row>
    <row r="1477" spans="1:27" ht="28.8" x14ac:dyDescent="0.3">
      <c r="A1477" s="345" t="s">
        <v>3136</v>
      </c>
      <c r="B1477" s="805"/>
      <c r="C1477" s="802"/>
      <c r="D1477" s="802"/>
      <c r="E1477" s="803"/>
      <c r="F1477" s="805">
        <v>77.5</v>
      </c>
      <c r="G1477" s="803"/>
      <c r="H1477" s="345">
        <v>77.5</v>
      </c>
      <c r="I1477" s="345">
        <v>2.5</v>
      </c>
      <c r="J1477" s="345">
        <v>90</v>
      </c>
      <c r="K1477" s="345">
        <v>90</v>
      </c>
      <c r="L1477" s="346"/>
      <c r="M1477" s="346"/>
      <c r="N1477" s="346"/>
      <c r="O1477" s="345"/>
      <c r="P1477" s="345"/>
      <c r="Q1477" s="345"/>
      <c r="R1477" s="345"/>
      <c r="S1477" s="345"/>
      <c r="T1477" s="345"/>
      <c r="U1477" s="345">
        <v>1.5</v>
      </c>
      <c r="V1477" s="345">
        <v>76</v>
      </c>
      <c r="W1477" s="345">
        <v>76</v>
      </c>
      <c r="X1477" s="345">
        <v>1.5</v>
      </c>
      <c r="Y1477" s="345">
        <v>71</v>
      </c>
      <c r="Z1477" s="345">
        <v>71</v>
      </c>
      <c r="AA1477">
        <f t="shared" si="22"/>
        <v>2.5</v>
      </c>
    </row>
    <row r="1478" spans="1:27" x14ac:dyDescent="0.3">
      <c r="A1478" s="345"/>
      <c r="B1478" s="345"/>
      <c r="C1478" s="341"/>
      <c r="D1478" s="341"/>
      <c r="E1478" s="342"/>
      <c r="F1478" s="345"/>
      <c r="G1478" s="342"/>
      <c r="H1478" s="345"/>
      <c r="I1478" s="345"/>
      <c r="J1478" s="345"/>
      <c r="K1478" s="345"/>
      <c r="L1478" s="346"/>
      <c r="M1478" s="346"/>
      <c r="N1478" s="346"/>
      <c r="O1478" s="345"/>
      <c r="P1478" s="345"/>
      <c r="Q1478" s="345"/>
      <c r="R1478" s="345"/>
      <c r="S1478" s="345"/>
      <c r="T1478" s="345"/>
      <c r="U1478" s="345"/>
      <c r="V1478" s="345"/>
      <c r="W1478" s="345"/>
      <c r="X1478" s="345"/>
      <c r="Y1478" s="345"/>
      <c r="Z1478" s="345"/>
    </row>
    <row r="1479" spans="1:27" ht="28.8" x14ac:dyDescent="0.3">
      <c r="A1479" s="345" t="s">
        <v>3137</v>
      </c>
      <c r="B1479" s="805"/>
      <c r="C1479" s="802"/>
      <c r="D1479" s="802"/>
      <c r="E1479" s="803"/>
      <c r="F1479" s="805">
        <v>78</v>
      </c>
      <c r="G1479" s="803"/>
      <c r="H1479" s="345">
        <v>78</v>
      </c>
      <c r="I1479" s="345">
        <v>1</v>
      </c>
      <c r="J1479" s="345">
        <v>91</v>
      </c>
      <c r="K1479" s="345">
        <v>91</v>
      </c>
      <c r="L1479" s="346"/>
      <c r="M1479" s="346"/>
      <c r="N1479" s="346"/>
      <c r="O1479" s="345"/>
      <c r="P1479" s="345"/>
      <c r="Q1479" s="345"/>
      <c r="R1479" s="345"/>
      <c r="S1479" s="345"/>
      <c r="T1479" s="345"/>
      <c r="U1479" s="345">
        <v>1</v>
      </c>
      <c r="V1479" s="345">
        <v>77</v>
      </c>
      <c r="W1479" s="345">
        <v>77</v>
      </c>
      <c r="X1479" s="345">
        <v>0.5</v>
      </c>
      <c r="Y1479" s="345">
        <v>71.5</v>
      </c>
      <c r="Z1479" s="345">
        <v>71.5</v>
      </c>
      <c r="AA1479">
        <f t="shared" si="22"/>
        <v>1</v>
      </c>
    </row>
    <row r="1480" spans="1:27" ht="28.8" x14ac:dyDescent="0.3">
      <c r="A1480" s="345" t="s">
        <v>3138</v>
      </c>
      <c r="B1480" s="805"/>
      <c r="C1480" s="802"/>
      <c r="D1480" s="802"/>
      <c r="E1480" s="803"/>
      <c r="F1480" s="805">
        <v>80</v>
      </c>
      <c r="G1480" s="803"/>
      <c r="H1480" s="345">
        <v>80</v>
      </c>
      <c r="I1480" s="345">
        <v>2</v>
      </c>
      <c r="J1480" s="345">
        <v>93</v>
      </c>
      <c r="K1480" s="345">
        <v>93</v>
      </c>
      <c r="L1480" s="346"/>
      <c r="M1480" s="346"/>
      <c r="N1480" s="346"/>
      <c r="O1480" s="345"/>
      <c r="P1480" s="345"/>
      <c r="Q1480" s="345"/>
      <c r="R1480" s="345"/>
      <c r="S1480" s="345"/>
      <c r="T1480" s="345"/>
      <c r="U1480" s="345">
        <v>1</v>
      </c>
      <c r="V1480" s="345">
        <v>78</v>
      </c>
      <c r="W1480" s="345">
        <v>78</v>
      </c>
      <c r="X1480" s="345">
        <v>2</v>
      </c>
      <c r="Y1480" s="345">
        <v>73.5</v>
      </c>
      <c r="Z1480" s="345">
        <v>73.5</v>
      </c>
      <c r="AA1480">
        <f t="shared" si="22"/>
        <v>2</v>
      </c>
    </row>
    <row r="1481" spans="1:27" ht="28.8" x14ac:dyDescent="0.3">
      <c r="A1481" s="345" t="s">
        <v>3139</v>
      </c>
      <c r="B1481" s="805"/>
      <c r="C1481" s="802"/>
      <c r="D1481" s="802"/>
      <c r="E1481" s="803"/>
      <c r="F1481" s="805">
        <v>84.5</v>
      </c>
      <c r="G1481" s="803"/>
      <c r="H1481" s="345">
        <v>84.5</v>
      </c>
      <c r="I1481" s="345">
        <v>5</v>
      </c>
      <c r="J1481" s="345">
        <v>98</v>
      </c>
      <c r="K1481" s="345">
        <v>98</v>
      </c>
      <c r="L1481" s="346"/>
      <c r="M1481" s="346"/>
      <c r="N1481" s="346"/>
      <c r="O1481" s="345"/>
      <c r="P1481" s="345"/>
      <c r="Q1481" s="345"/>
      <c r="R1481" s="345"/>
      <c r="S1481" s="345"/>
      <c r="T1481" s="345"/>
      <c r="U1481" s="345">
        <v>3</v>
      </c>
      <c r="V1481" s="345">
        <v>81</v>
      </c>
      <c r="W1481" s="345">
        <v>81</v>
      </c>
      <c r="X1481" s="345">
        <v>3</v>
      </c>
      <c r="Y1481" s="345">
        <v>76.5</v>
      </c>
      <c r="Z1481" s="345">
        <v>76.5</v>
      </c>
      <c r="AA1481">
        <f t="shared" si="22"/>
        <v>5</v>
      </c>
    </row>
    <row r="1482" spans="1:27" ht="28.8" x14ac:dyDescent="0.3">
      <c r="A1482" s="345" t="s">
        <v>3140</v>
      </c>
      <c r="B1482" s="805"/>
      <c r="C1482" s="802"/>
      <c r="D1482" s="802"/>
      <c r="E1482" s="803"/>
      <c r="F1482" s="805">
        <v>89.5</v>
      </c>
      <c r="G1482" s="803"/>
      <c r="H1482" s="345">
        <v>89.5</v>
      </c>
      <c r="I1482" s="345">
        <v>6</v>
      </c>
      <c r="J1482" s="345">
        <v>104</v>
      </c>
      <c r="K1482" s="345">
        <v>104</v>
      </c>
      <c r="L1482" s="346"/>
      <c r="M1482" s="346"/>
      <c r="N1482" s="346"/>
      <c r="O1482" s="345"/>
      <c r="P1482" s="345"/>
      <c r="Q1482" s="345"/>
      <c r="R1482" s="345">
        <v>0</v>
      </c>
      <c r="S1482" s="345">
        <v>0</v>
      </c>
      <c r="T1482" s="345">
        <v>0</v>
      </c>
      <c r="U1482" s="345">
        <v>7</v>
      </c>
      <c r="V1482" s="345">
        <v>88</v>
      </c>
      <c r="W1482" s="345">
        <v>88</v>
      </c>
      <c r="X1482" s="345">
        <v>8.5</v>
      </c>
      <c r="Y1482" s="345">
        <v>85</v>
      </c>
      <c r="Z1482" s="345">
        <v>85</v>
      </c>
      <c r="AA1482">
        <f t="shared" si="22"/>
        <v>6</v>
      </c>
    </row>
    <row r="1483" spans="1:27" ht="28.8" x14ac:dyDescent="0.3">
      <c r="A1483" s="345" t="s">
        <v>3141</v>
      </c>
      <c r="B1483" s="805"/>
      <c r="C1483" s="802"/>
      <c r="D1483" s="802"/>
      <c r="E1483" s="803"/>
      <c r="F1483" s="805">
        <v>90</v>
      </c>
      <c r="G1483" s="803"/>
      <c r="H1483" s="345">
        <v>90</v>
      </c>
      <c r="I1483" s="345">
        <v>1</v>
      </c>
      <c r="J1483" s="345">
        <v>105</v>
      </c>
      <c r="K1483" s="345">
        <v>105</v>
      </c>
      <c r="L1483" s="346"/>
      <c r="M1483" s="346"/>
      <c r="N1483" s="346"/>
      <c r="O1483" s="345"/>
      <c r="P1483" s="345"/>
      <c r="Q1483" s="345"/>
      <c r="R1483" s="345">
        <v>0</v>
      </c>
      <c r="S1483" s="345">
        <v>0</v>
      </c>
      <c r="T1483" s="345">
        <v>0</v>
      </c>
      <c r="U1483" s="345">
        <v>0.5</v>
      </c>
      <c r="V1483" s="345">
        <v>88.5</v>
      </c>
      <c r="W1483" s="345">
        <v>88.5</v>
      </c>
      <c r="X1483" s="345">
        <v>0.5</v>
      </c>
      <c r="Y1483" s="345">
        <v>85.5</v>
      </c>
      <c r="Z1483" s="345">
        <v>85.5</v>
      </c>
      <c r="AA1483">
        <f t="shared" si="22"/>
        <v>1</v>
      </c>
    </row>
    <row r="1484" spans="1:27" ht="28.8" x14ac:dyDescent="0.3">
      <c r="A1484" s="345" t="s">
        <v>3142</v>
      </c>
      <c r="B1484" s="805"/>
      <c r="C1484" s="802"/>
      <c r="D1484" s="802"/>
      <c r="E1484" s="803"/>
      <c r="F1484" s="805">
        <v>123</v>
      </c>
      <c r="G1484" s="803"/>
      <c r="H1484" s="345">
        <v>123</v>
      </c>
      <c r="I1484" s="345">
        <v>30.5</v>
      </c>
      <c r="J1484" s="345">
        <v>135.5</v>
      </c>
      <c r="K1484" s="345">
        <v>135.5</v>
      </c>
      <c r="L1484" s="346"/>
      <c r="M1484" s="346"/>
      <c r="N1484" s="346"/>
      <c r="O1484" s="345"/>
      <c r="P1484" s="345"/>
      <c r="Q1484" s="345"/>
      <c r="R1484" s="345">
        <v>0</v>
      </c>
      <c r="S1484" s="345">
        <v>0</v>
      </c>
      <c r="T1484" s="345">
        <v>0</v>
      </c>
      <c r="U1484" s="345">
        <v>33.5</v>
      </c>
      <c r="V1484" s="345">
        <v>122</v>
      </c>
      <c r="W1484" s="345">
        <v>122</v>
      </c>
      <c r="X1484" s="345">
        <v>38</v>
      </c>
      <c r="Y1484" s="345">
        <v>123.5</v>
      </c>
      <c r="Z1484" s="345">
        <v>123.5</v>
      </c>
      <c r="AA1484">
        <f t="shared" si="22"/>
        <v>30.5</v>
      </c>
    </row>
    <row r="1485" spans="1:27" ht="28.8" x14ac:dyDescent="0.3">
      <c r="A1485" s="345" t="s">
        <v>3143</v>
      </c>
      <c r="B1485" s="805"/>
      <c r="C1485" s="802"/>
      <c r="D1485" s="802"/>
      <c r="E1485" s="803"/>
      <c r="F1485" s="805">
        <v>125</v>
      </c>
      <c r="G1485" s="803"/>
      <c r="H1485" s="345">
        <v>125</v>
      </c>
      <c r="I1485" s="345">
        <v>2</v>
      </c>
      <c r="J1485" s="345">
        <v>137.5</v>
      </c>
      <c r="K1485" s="345">
        <v>137.5</v>
      </c>
      <c r="L1485" s="346"/>
      <c r="M1485" s="346"/>
      <c r="N1485" s="346"/>
      <c r="O1485" s="345"/>
      <c r="P1485" s="345"/>
      <c r="Q1485" s="345"/>
      <c r="R1485" s="345">
        <v>0</v>
      </c>
      <c r="S1485" s="345">
        <v>0</v>
      </c>
      <c r="T1485" s="345">
        <v>0</v>
      </c>
      <c r="U1485" s="345">
        <v>1.5</v>
      </c>
      <c r="V1485" s="345">
        <v>123.5</v>
      </c>
      <c r="W1485" s="345">
        <v>123.5</v>
      </c>
      <c r="X1485" s="345">
        <v>1.5</v>
      </c>
      <c r="Y1485" s="345">
        <v>125</v>
      </c>
      <c r="Z1485" s="345">
        <v>125</v>
      </c>
      <c r="AA1485">
        <f t="shared" si="22"/>
        <v>2</v>
      </c>
    </row>
    <row r="1486" spans="1:27" ht="28.8" x14ac:dyDescent="0.3">
      <c r="A1486" s="345" t="s">
        <v>3144</v>
      </c>
      <c r="B1486" s="805"/>
      <c r="C1486" s="802"/>
      <c r="D1486" s="802"/>
      <c r="E1486" s="803"/>
      <c r="F1486" s="805">
        <v>126</v>
      </c>
      <c r="G1486" s="803"/>
      <c r="H1486" s="345">
        <v>126</v>
      </c>
      <c r="I1486" s="345">
        <v>0.5</v>
      </c>
      <c r="J1486" s="345">
        <v>138</v>
      </c>
      <c r="K1486" s="345">
        <v>138</v>
      </c>
      <c r="L1486" s="346"/>
      <c r="M1486" s="346"/>
      <c r="N1486" s="346"/>
      <c r="O1486" s="345"/>
      <c r="P1486" s="345"/>
      <c r="Q1486" s="345"/>
      <c r="R1486" s="345">
        <v>0</v>
      </c>
      <c r="S1486" s="345">
        <v>0</v>
      </c>
      <c r="T1486" s="345">
        <v>0</v>
      </c>
      <c r="U1486" s="345">
        <v>1</v>
      </c>
      <c r="V1486" s="345">
        <v>124.5</v>
      </c>
      <c r="W1486" s="345">
        <v>124.5</v>
      </c>
      <c r="X1486" s="345">
        <v>1</v>
      </c>
      <c r="Y1486" s="345">
        <v>126</v>
      </c>
      <c r="Z1486" s="345">
        <v>126</v>
      </c>
      <c r="AA1486">
        <f t="shared" si="22"/>
        <v>0.5</v>
      </c>
    </row>
    <row r="1487" spans="1:27" ht="28.8" x14ac:dyDescent="0.3">
      <c r="A1487" s="345" t="s">
        <v>3145</v>
      </c>
      <c r="B1487" s="805"/>
      <c r="C1487" s="802"/>
      <c r="D1487" s="802"/>
      <c r="E1487" s="803"/>
      <c r="F1487" s="805">
        <v>127</v>
      </c>
      <c r="G1487" s="803"/>
      <c r="H1487" s="345">
        <v>127</v>
      </c>
      <c r="I1487" s="345">
        <v>1</v>
      </c>
      <c r="J1487" s="345">
        <v>139</v>
      </c>
      <c r="K1487" s="345">
        <v>139</v>
      </c>
      <c r="L1487" s="346"/>
      <c r="M1487" s="346"/>
      <c r="N1487" s="346"/>
      <c r="O1487" s="345"/>
      <c r="P1487" s="345"/>
      <c r="Q1487" s="345"/>
      <c r="R1487" s="345">
        <v>0</v>
      </c>
      <c r="S1487" s="345">
        <v>0</v>
      </c>
      <c r="T1487" s="345">
        <v>0</v>
      </c>
      <c r="U1487" s="345">
        <v>1</v>
      </c>
      <c r="V1487" s="345">
        <v>125.5</v>
      </c>
      <c r="W1487" s="345">
        <v>125.5</v>
      </c>
      <c r="X1487" s="345">
        <v>1.5</v>
      </c>
      <c r="Y1487" s="345">
        <v>127.5</v>
      </c>
      <c r="Z1487" s="345">
        <v>127.5</v>
      </c>
      <c r="AA1487">
        <f t="shared" si="22"/>
        <v>1</v>
      </c>
    </row>
    <row r="1488" spans="1:27" ht="28.8" x14ac:dyDescent="0.3">
      <c r="A1488" s="345" t="s">
        <v>3146</v>
      </c>
      <c r="B1488" s="805"/>
      <c r="C1488" s="802"/>
      <c r="D1488" s="802"/>
      <c r="E1488" s="803"/>
      <c r="F1488" s="805">
        <v>203</v>
      </c>
      <c r="G1488" s="803"/>
      <c r="H1488" s="345">
        <v>203</v>
      </c>
      <c r="I1488" s="345">
        <v>74</v>
      </c>
      <c r="J1488" s="345">
        <v>213</v>
      </c>
      <c r="K1488" s="345">
        <v>213</v>
      </c>
      <c r="L1488" s="346"/>
      <c r="M1488" s="346"/>
      <c r="N1488" s="346"/>
      <c r="O1488" s="345"/>
      <c r="P1488" s="345"/>
      <c r="Q1488" s="345"/>
      <c r="R1488" s="345">
        <v>0</v>
      </c>
      <c r="S1488" s="345">
        <v>0</v>
      </c>
      <c r="T1488" s="345">
        <v>0</v>
      </c>
      <c r="U1488" s="345">
        <v>74</v>
      </c>
      <c r="V1488" s="345">
        <v>199.5</v>
      </c>
      <c r="W1488" s="345">
        <v>199.5</v>
      </c>
      <c r="X1488" s="345">
        <v>66</v>
      </c>
      <c r="Y1488" s="345">
        <v>193.5</v>
      </c>
      <c r="Z1488" s="345">
        <v>193.5</v>
      </c>
      <c r="AA1488">
        <f t="shared" si="22"/>
        <v>74</v>
      </c>
    </row>
    <row r="1489" spans="1:27" ht="28.8" x14ac:dyDescent="0.3">
      <c r="A1489" s="345" t="s">
        <v>3147</v>
      </c>
      <c r="B1489" s="805"/>
      <c r="C1489" s="802"/>
      <c r="D1489" s="802"/>
      <c r="E1489" s="803"/>
      <c r="F1489" s="805">
        <v>204.5</v>
      </c>
      <c r="G1489" s="803"/>
      <c r="H1489" s="345">
        <v>204.5</v>
      </c>
      <c r="I1489" s="345">
        <v>0</v>
      </c>
      <c r="J1489" s="345">
        <v>213</v>
      </c>
      <c r="K1489" s="345">
        <v>213</v>
      </c>
      <c r="L1489" s="346"/>
      <c r="M1489" s="346"/>
      <c r="N1489" s="346"/>
      <c r="O1489" s="345"/>
      <c r="P1489" s="345"/>
      <c r="Q1489" s="345"/>
      <c r="R1489" s="345">
        <v>0</v>
      </c>
      <c r="S1489" s="345">
        <v>0</v>
      </c>
      <c r="T1489" s="345">
        <v>0</v>
      </c>
      <c r="U1489" s="345">
        <v>0</v>
      </c>
      <c r="V1489" s="345">
        <v>199.5</v>
      </c>
      <c r="W1489" s="345">
        <v>199.5</v>
      </c>
      <c r="X1489" s="345">
        <v>1.5</v>
      </c>
      <c r="Y1489" s="345">
        <v>195</v>
      </c>
      <c r="Z1489" s="345">
        <v>195</v>
      </c>
      <c r="AA1489">
        <f t="shared" si="22"/>
        <v>0</v>
      </c>
    </row>
    <row r="1490" spans="1:27" ht="28.8" x14ac:dyDescent="0.3">
      <c r="A1490" s="345" t="s">
        <v>3148</v>
      </c>
      <c r="B1490" s="805"/>
      <c r="C1490" s="802"/>
      <c r="D1490" s="802"/>
      <c r="E1490" s="803"/>
      <c r="F1490" s="805">
        <v>226.5</v>
      </c>
      <c r="G1490" s="803"/>
      <c r="H1490" s="345">
        <v>226.5</v>
      </c>
      <c r="I1490" s="345">
        <v>9</v>
      </c>
      <c r="J1490" s="345">
        <v>222</v>
      </c>
      <c r="K1490" s="345">
        <v>222</v>
      </c>
      <c r="L1490" s="346"/>
      <c r="M1490" s="346"/>
      <c r="N1490" s="346"/>
      <c r="O1490" s="345"/>
      <c r="P1490" s="345"/>
      <c r="Q1490" s="345"/>
      <c r="R1490" s="345">
        <v>0</v>
      </c>
      <c r="S1490" s="345">
        <v>0</v>
      </c>
      <c r="T1490" s="345">
        <v>0</v>
      </c>
      <c r="U1490" s="345">
        <v>28.5</v>
      </c>
      <c r="V1490" s="345">
        <v>228</v>
      </c>
      <c r="W1490" s="345">
        <v>228</v>
      </c>
      <c r="X1490" s="345">
        <v>29</v>
      </c>
      <c r="Y1490" s="345">
        <v>224</v>
      </c>
      <c r="Z1490" s="345">
        <v>224</v>
      </c>
      <c r="AA1490">
        <f t="shared" si="22"/>
        <v>9</v>
      </c>
    </row>
    <row r="1491" spans="1:27" ht="28.8" x14ac:dyDescent="0.3">
      <c r="A1491" s="345" t="s">
        <v>3149</v>
      </c>
      <c r="B1491" s="805"/>
      <c r="C1491" s="802"/>
      <c r="D1491" s="802"/>
      <c r="E1491" s="803"/>
      <c r="F1491" s="805">
        <v>241</v>
      </c>
      <c r="G1491" s="803"/>
      <c r="H1491" s="345">
        <v>241</v>
      </c>
      <c r="I1491" s="345">
        <v>15</v>
      </c>
      <c r="J1491" s="345">
        <v>237</v>
      </c>
      <c r="K1491" s="345">
        <v>237</v>
      </c>
      <c r="L1491" s="346"/>
      <c r="M1491" s="346"/>
      <c r="N1491" s="346"/>
      <c r="O1491" s="345"/>
      <c r="P1491" s="345"/>
      <c r="Q1491" s="345"/>
      <c r="R1491" s="345">
        <v>0</v>
      </c>
      <c r="S1491" s="345">
        <v>0</v>
      </c>
      <c r="T1491" s="345">
        <v>0</v>
      </c>
      <c r="U1491" s="345">
        <v>13.5</v>
      </c>
      <c r="V1491" s="345">
        <v>241.5</v>
      </c>
      <c r="W1491" s="345">
        <v>241.5</v>
      </c>
      <c r="X1491" s="345">
        <v>14</v>
      </c>
      <c r="Y1491" s="345">
        <v>238</v>
      </c>
      <c r="Z1491" s="345">
        <v>238</v>
      </c>
      <c r="AA1491">
        <f t="shared" si="22"/>
        <v>15</v>
      </c>
    </row>
    <row r="1492" spans="1:27" ht="28.8" x14ac:dyDescent="0.3">
      <c r="A1492" s="345" t="s">
        <v>3150</v>
      </c>
      <c r="B1492" s="805"/>
      <c r="C1492" s="802"/>
      <c r="D1492" s="802"/>
      <c r="E1492" s="803"/>
      <c r="F1492" s="805">
        <v>244</v>
      </c>
      <c r="G1492" s="803"/>
      <c r="H1492" s="345">
        <v>244</v>
      </c>
      <c r="I1492" s="345">
        <v>3.5</v>
      </c>
      <c r="J1492" s="345">
        <v>240.5</v>
      </c>
      <c r="K1492" s="345">
        <v>240.5</v>
      </c>
      <c r="L1492" s="346"/>
      <c r="M1492" s="346"/>
      <c r="N1492" s="346"/>
      <c r="O1492" s="345"/>
      <c r="P1492" s="345"/>
      <c r="Q1492" s="345"/>
      <c r="R1492" s="345"/>
      <c r="S1492" s="345"/>
      <c r="T1492" s="345"/>
      <c r="U1492" s="345">
        <v>2.5</v>
      </c>
      <c r="V1492" s="345">
        <v>244</v>
      </c>
      <c r="W1492" s="345">
        <v>244</v>
      </c>
      <c r="X1492" s="345">
        <v>2.5</v>
      </c>
      <c r="Y1492" s="345">
        <v>240.5</v>
      </c>
      <c r="Z1492" s="345">
        <v>240.5</v>
      </c>
      <c r="AA1492">
        <f t="shared" si="22"/>
        <v>3.5</v>
      </c>
    </row>
    <row r="1493" spans="1:27" ht="28.8" x14ac:dyDescent="0.3">
      <c r="A1493" s="345" t="s">
        <v>3151</v>
      </c>
      <c r="B1493" s="805"/>
      <c r="C1493" s="802"/>
      <c r="D1493" s="802"/>
      <c r="E1493" s="803"/>
      <c r="F1493" s="805">
        <v>244</v>
      </c>
      <c r="G1493" s="803"/>
      <c r="H1493" s="345">
        <v>244</v>
      </c>
      <c r="I1493" s="345">
        <v>0</v>
      </c>
      <c r="J1493" s="345">
        <v>240.5</v>
      </c>
      <c r="K1493" s="345">
        <v>240.5</v>
      </c>
      <c r="L1493" s="346"/>
      <c r="M1493" s="346"/>
      <c r="N1493" s="346"/>
      <c r="O1493" s="345"/>
      <c r="P1493" s="345"/>
      <c r="Q1493" s="345"/>
      <c r="R1493" s="345"/>
      <c r="S1493" s="345"/>
      <c r="T1493" s="345"/>
      <c r="U1493" s="345">
        <v>0</v>
      </c>
      <c r="V1493" s="345">
        <v>244</v>
      </c>
      <c r="W1493" s="345">
        <v>244</v>
      </c>
      <c r="X1493" s="345">
        <v>0</v>
      </c>
      <c r="Y1493" s="345">
        <v>240.5</v>
      </c>
      <c r="Z1493" s="345">
        <v>240.5</v>
      </c>
      <c r="AA1493">
        <f t="shared" ref="AA1493:AA1556" si="23">MAX(B1493+I1493+L1493+O1493)</f>
        <v>0</v>
      </c>
    </row>
    <row r="1494" spans="1:27" s="362" customFormat="1" ht="28.8" x14ac:dyDescent="0.3">
      <c r="A1494" s="359" t="s">
        <v>3152</v>
      </c>
      <c r="B1494" s="811"/>
      <c r="C1494" s="812"/>
      <c r="D1494" s="812"/>
      <c r="E1494" s="813"/>
      <c r="F1494" s="811">
        <v>244</v>
      </c>
      <c r="G1494" s="813"/>
      <c r="H1494" s="359">
        <v>244</v>
      </c>
      <c r="I1494" s="359">
        <v>0</v>
      </c>
      <c r="J1494" s="359">
        <v>240.5</v>
      </c>
      <c r="K1494" s="359">
        <v>240.5</v>
      </c>
      <c r="L1494" s="359"/>
      <c r="M1494" s="359"/>
      <c r="N1494" s="359"/>
      <c r="O1494" s="359"/>
      <c r="P1494" s="359"/>
      <c r="Q1494" s="359"/>
      <c r="R1494" s="359"/>
      <c r="S1494" s="359"/>
      <c r="T1494" s="359"/>
      <c r="U1494" s="359">
        <v>0</v>
      </c>
      <c r="V1494" s="359">
        <v>244</v>
      </c>
      <c r="W1494" s="359">
        <v>244</v>
      </c>
      <c r="X1494" s="359">
        <v>0</v>
      </c>
      <c r="Y1494" s="359">
        <v>240.5</v>
      </c>
      <c r="Z1494" s="359">
        <v>240.5</v>
      </c>
      <c r="AA1494" s="362">
        <f t="shared" si="23"/>
        <v>0</v>
      </c>
    </row>
    <row r="1495" spans="1:27" ht="28.8" x14ac:dyDescent="0.3">
      <c r="A1495" s="345" t="s">
        <v>3153</v>
      </c>
      <c r="B1495" s="805"/>
      <c r="C1495" s="802"/>
      <c r="D1495" s="802"/>
      <c r="E1495" s="803"/>
      <c r="F1495" s="805">
        <v>6.5</v>
      </c>
      <c r="G1495" s="803"/>
      <c r="H1495" s="345">
        <v>250.5</v>
      </c>
      <c r="I1495" s="345">
        <v>6.5</v>
      </c>
      <c r="J1495" s="345">
        <v>6.5</v>
      </c>
      <c r="K1495" s="345">
        <v>247</v>
      </c>
      <c r="L1495" s="346"/>
      <c r="M1495" s="346"/>
      <c r="N1495" s="346"/>
      <c r="O1495" s="345"/>
      <c r="P1495" s="345"/>
      <c r="Q1495" s="345"/>
      <c r="R1495" s="345"/>
      <c r="S1495" s="345"/>
      <c r="T1495" s="345"/>
      <c r="U1495" s="345">
        <v>3.5</v>
      </c>
      <c r="V1495" s="345">
        <v>3.5</v>
      </c>
      <c r="W1495" s="345">
        <v>247.5</v>
      </c>
      <c r="X1495" s="345">
        <v>4.5</v>
      </c>
      <c r="Y1495" s="345">
        <v>4.5</v>
      </c>
      <c r="Z1495" s="345">
        <v>245</v>
      </c>
      <c r="AA1495">
        <f t="shared" si="23"/>
        <v>6.5</v>
      </c>
    </row>
    <row r="1496" spans="1:27" ht="28.8" x14ac:dyDescent="0.3">
      <c r="A1496" s="345" t="s">
        <v>3154</v>
      </c>
      <c r="B1496" s="805"/>
      <c r="C1496" s="802"/>
      <c r="D1496" s="802"/>
      <c r="E1496" s="803"/>
      <c r="F1496" s="805">
        <v>18</v>
      </c>
      <c r="G1496" s="803"/>
      <c r="H1496" s="345">
        <v>262</v>
      </c>
      <c r="I1496" s="345">
        <v>4</v>
      </c>
      <c r="J1496" s="345">
        <v>10.5</v>
      </c>
      <c r="K1496" s="345">
        <v>251</v>
      </c>
      <c r="L1496" s="346"/>
      <c r="M1496" s="346"/>
      <c r="N1496" s="346"/>
      <c r="O1496" s="345"/>
      <c r="P1496" s="345"/>
      <c r="Q1496" s="345"/>
      <c r="R1496" s="345">
        <v>0</v>
      </c>
      <c r="S1496" s="345">
        <v>0</v>
      </c>
      <c r="T1496" s="345">
        <v>0</v>
      </c>
      <c r="U1496" s="345">
        <v>2</v>
      </c>
      <c r="V1496" s="345">
        <v>5.5</v>
      </c>
      <c r="W1496" s="345">
        <v>249.5</v>
      </c>
      <c r="X1496" s="345">
        <v>2.5</v>
      </c>
      <c r="Y1496" s="345">
        <v>7</v>
      </c>
      <c r="Z1496" s="345">
        <v>247.5</v>
      </c>
      <c r="AA1496">
        <f t="shared" si="23"/>
        <v>4</v>
      </c>
    </row>
    <row r="1497" spans="1:27" ht="28.8" x14ac:dyDescent="0.3">
      <c r="A1497" s="345" t="s">
        <v>3155</v>
      </c>
      <c r="B1497" s="805"/>
      <c r="C1497" s="802"/>
      <c r="D1497" s="802"/>
      <c r="E1497" s="803"/>
      <c r="F1497" s="805">
        <v>20</v>
      </c>
      <c r="G1497" s="803"/>
      <c r="H1497" s="345">
        <v>264</v>
      </c>
      <c r="I1497" s="345">
        <v>0.5</v>
      </c>
      <c r="J1497" s="345">
        <v>11</v>
      </c>
      <c r="K1497" s="345">
        <v>251.5</v>
      </c>
      <c r="L1497" s="346"/>
      <c r="M1497" s="346"/>
      <c r="N1497" s="346"/>
      <c r="O1497" s="345"/>
      <c r="P1497" s="345"/>
      <c r="Q1497" s="345"/>
      <c r="R1497" s="345">
        <v>0</v>
      </c>
      <c r="S1497" s="345">
        <v>0</v>
      </c>
      <c r="T1497" s="345">
        <v>0</v>
      </c>
      <c r="U1497" s="345">
        <v>3</v>
      </c>
      <c r="V1497" s="345">
        <v>8.5</v>
      </c>
      <c r="W1497" s="345">
        <v>252.5</v>
      </c>
      <c r="X1497" s="345">
        <v>3</v>
      </c>
      <c r="Y1497" s="345">
        <v>10</v>
      </c>
      <c r="Z1497" s="345">
        <v>250.5</v>
      </c>
      <c r="AA1497">
        <f t="shared" si="23"/>
        <v>0.5</v>
      </c>
    </row>
    <row r="1498" spans="1:27" ht="28.8" x14ac:dyDescent="0.3">
      <c r="A1498" s="345" t="s">
        <v>3156</v>
      </c>
      <c r="B1498" s="805"/>
      <c r="C1498" s="802"/>
      <c r="D1498" s="802"/>
      <c r="E1498" s="803"/>
      <c r="F1498" s="805">
        <v>57</v>
      </c>
      <c r="G1498" s="803"/>
      <c r="H1498" s="345">
        <v>301</v>
      </c>
      <c r="I1498" s="345">
        <v>33</v>
      </c>
      <c r="J1498" s="345">
        <v>44</v>
      </c>
      <c r="K1498" s="345">
        <v>284.5</v>
      </c>
      <c r="L1498" s="346"/>
      <c r="M1498" s="346"/>
      <c r="N1498" s="346"/>
      <c r="O1498" s="345"/>
      <c r="P1498" s="345"/>
      <c r="Q1498" s="345"/>
      <c r="R1498" s="345">
        <v>0</v>
      </c>
      <c r="S1498" s="345">
        <v>0</v>
      </c>
      <c r="T1498" s="345">
        <v>0</v>
      </c>
      <c r="U1498" s="345">
        <v>17</v>
      </c>
      <c r="V1498" s="345">
        <v>25.5</v>
      </c>
      <c r="W1498" s="345">
        <v>269.5</v>
      </c>
      <c r="X1498" s="345">
        <v>32.5</v>
      </c>
      <c r="Y1498" s="345">
        <v>42.5</v>
      </c>
      <c r="Z1498" s="345">
        <v>283</v>
      </c>
      <c r="AA1498">
        <f t="shared" si="23"/>
        <v>33</v>
      </c>
    </row>
    <row r="1499" spans="1:27" ht="28.8" x14ac:dyDescent="0.3">
      <c r="A1499" s="345" t="s">
        <v>3157</v>
      </c>
      <c r="B1499" s="805"/>
      <c r="C1499" s="802"/>
      <c r="D1499" s="802"/>
      <c r="E1499" s="803"/>
      <c r="F1499" s="805">
        <v>60</v>
      </c>
      <c r="G1499" s="803"/>
      <c r="H1499" s="345">
        <v>304</v>
      </c>
      <c r="I1499" s="345">
        <v>5</v>
      </c>
      <c r="J1499" s="345">
        <v>49</v>
      </c>
      <c r="K1499" s="345">
        <v>289.5</v>
      </c>
      <c r="L1499" s="346"/>
      <c r="M1499" s="346"/>
      <c r="N1499" s="346"/>
      <c r="O1499" s="345"/>
      <c r="P1499" s="345"/>
      <c r="Q1499" s="345"/>
      <c r="R1499" s="345">
        <v>0</v>
      </c>
      <c r="S1499" s="345">
        <v>0</v>
      </c>
      <c r="T1499" s="345">
        <v>0</v>
      </c>
      <c r="U1499" s="345">
        <v>7</v>
      </c>
      <c r="V1499" s="345">
        <v>32.5</v>
      </c>
      <c r="W1499" s="345">
        <v>276.5</v>
      </c>
      <c r="X1499" s="345">
        <v>7.5</v>
      </c>
      <c r="Y1499" s="345">
        <v>50</v>
      </c>
      <c r="Z1499" s="345">
        <v>290.5</v>
      </c>
      <c r="AA1499">
        <f t="shared" si="23"/>
        <v>5</v>
      </c>
    </row>
    <row r="1500" spans="1:27" ht="28.8" x14ac:dyDescent="0.3">
      <c r="A1500" s="345" t="s">
        <v>3158</v>
      </c>
      <c r="B1500" s="805"/>
      <c r="C1500" s="802"/>
      <c r="D1500" s="802"/>
      <c r="E1500" s="803"/>
      <c r="F1500" s="805">
        <v>61</v>
      </c>
      <c r="G1500" s="803"/>
      <c r="H1500" s="345">
        <v>305</v>
      </c>
      <c r="I1500" s="345">
        <v>1</v>
      </c>
      <c r="J1500" s="345">
        <v>50</v>
      </c>
      <c r="K1500" s="345">
        <v>290.5</v>
      </c>
      <c r="L1500" s="346"/>
      <c r="M1500" s="346"/>
      <c r="N1500" s="346"/>
      <c r="O1500" s="345"/>
      <c r="P1500" s="345"/>
      <c r="Q1500" s="345"/>
      <c r="R1500" s="345">
        <v>0</v>
      </c>
      <c r="S1500" s="345">
        <v>0</v>
      </c>
      <c r="T1500" s="345">
        <v>0</v>
      </c>
      <c r="U1500" s="345">
        <v>3.5</v>
      </c>
      <c r="V1500" s="345">
        <v>36</v>
      </c>
      <c r="W1500" s="345">
        <v>280</v>
      </c>
      <c r="X1500" s="345">
        <v>3.5</v>
      </c>
      <c r="Y1500" s="345">
        <v>53.5</v>
      </c>
      <c r="Z1500" s="345">
        <v>294</v>
      </c>
      <c r="AA1500">
        <f t="shared" si="23"/>
        <v>1</v>
      </c>
    </row>
    <row r="1501" spans="1:27" ht="28.8" x14ac:dyDescent="0.3">
      <c r="A1501" s="345" t="s">
        <v>3159</v>
      </c>
      <c r="B1501" s="805"/>
      <c r="C1501" s="802"/>
      <c r="D1501" s="802"/>
      <c r="E1501" s="803"/>
      <c r="F1501" s="805">
        <v>61</v>
      </c>
      <c r="G1501" s="803"/>
      <c r="H1501" s="345">
        <v>305</v>
      </c>
      <c r="I1501" s="345">
        <v>0</v>
      </c>
      <c r="J1501" s="345">
        <v>50</v>
      </c>
      <c r="K1501" s="345">
        <v>290.5</v>
      </c>
      <c r="L1501" s="346"/>
      <c r="M1501" s="346"/>
      <c r="N1501" s="346"/>
      <c r="O1501" s="345"/>
      <c r="P1501" s="345"/>
      <c r="Q1501" s="345"/>
      <c r="R1501" s="345">
        <v>0</v>
      </c>
      <c r="S1501" s="345">
        <v>0</v>
      </c>
      <c r="T1501" s="345">
        <v>0</v>
      </c>
      <c r="U1501" s="345">
        <v>0</v>
      </c>
      <c r="V1501" s="345">
        <v>36</v>
      </c>
      <c r="W1501" s="345">
        <v>280</v>
      </c>
      <c r="X1501" s="345">
        <v>0</v>
      </c>
      <c r="Y1501" s="345">
        <v>53.5</v>
      </c>
      <c r="Z1501" s="345">
        <v>294</v>
      </c>
      <c r="AA1501">
        <f t="shared" si="23"/>
        <v>0</v>
      </c>
    </row>
    <row r="1502" spans="1:27" ht="28.8" x14ac:dyDescent="0.3">
      <c r="A1502" s="345" t="s">
        <v>3160</v>
      </c>
      <c r="B1502" s="805"/>
      <c r="C1502" s="802"/>
      <c r="D1502" s="802"/>
      <c r="E1502" s="803"/>
      <c r="F1502" s="805">
        <v>62.5</v>
      </c>
      <c r="G1502" s="803"/>
      <c r="H1502" s="345">
        <v>306.5</v>
      </c>
      <c r="I1502" s="345">
        <v>1.5</v>
      </c>
      <c r="J1502" s="345">
        <v>51.5</v>
      </c>
      <c r="K1502" s="345">
        <v>292</v>
      </c>
      <c r="L1502" s="346"/>
      <c r="M1502" s="346"/>
      <c r="N1502" s="346"/>
      <c r="O1502" s="345"/>
      <c r="P1502" s="345"/>
      <c r="Q1502" s="345"/>
      <c r="R1502" s="345">
        <v>0</v>
      </c>
      <c r="S1502" s="345">
        <v>0</v>
      </c>
      <c r="T1502" s="345">
        <v>0</v>
      </c>
      <c r="U1502" s="345">
        <v>1.5</v>
      </c>
      <c r="V1502" s="345">
        <v>37.5</v>
      </c>
      <c r="W1502" s="345">
        <v>281.5</v>
      </c>
      <c r="X1502" s="345">
        <v>2</v>
      </c>
      <c r="Y1502" s="345">
        <v>55.5</v>
      </c>
      <c r="Z1502" s="345">
        <v>296</v>
      </c>
      <c r="AA1502">
        <f t="shared" si="23"/>
        <v>1.5</v>
      </c>
    </row>
    <row r="1503" spans="1:27" ht="28.8" x14ac:dyDescent="0.3">
      <c r="A1503" s="345" t="s">
        <v>3161</v>
      </c>
      <c r="B1503" s="805"/>
      <c r="C1503" s="802"/>
      <c r="D1503" s="802"/>
      <c r="E1503" s="803"/>
      <c r="F1503" s="805">
        <v>62.5</v>
      </c>
      <c r="G1503" s="803"/>
      <c r="H1503" s="345">
        <v>306.5</v>
      </c>
      <c r="I1503" s="345">
        <v>0</v>
      </c>
      <c r="J1503" s="345">
        <v>51.5</v>
      </c>
      <c r="K1503" s="345">
        <v>292</v>
      </c>
      <c r="L1503" s="346"/>
      <c r="M1503" s="346"/>
      <c r="N1503" s="346"/>
      <c r="O1503" s="345"/>
      <c r="P1503" s="345"/>
      <c r="Q1503" s="345"/>
      <c r="R1503" s="345"/>
      <c r="S1503" s="345"/>
      <c r="T1503" s="345"/>
      <c r="U1503" s="345">
        <v>0</v>
      </c>
      <c r="V1503" s="345">
        <v>37.5</v>
      </c>
      <c r="W1503" s="345">
        <v>281.5</v>
      </c>
      <c r="X1503" s="345">
        <v>0</v>
      </c>
      <c r="Y1503" s="345">
        <v>55.5</v>
      </c>
      <c r="Z1503" s="345">
        <v>296</v>
      </c>
      <c r="AA1503">
        <f t="shared" si="23"/>
        <v>0</v>
      </c>
    </row>
    <row r="1504" spans="1:27" ht="28.8" x14ac:dyDescent="0.3">
      <c r="A1504" s="345" t="s">
        <v>3162</v>
      </c>
      <c r="B1504" s="805"/>
      <c r="C1504" s="802"/>
      <c r="D1504" s="802"/>
      <c r="E1504" s="803"/>
      <c r="F1504" s="805">
        <v>68.5</v>
      </c>
      <c r="G1504" s="803"/>
      <c r="H1504" s="345">
        <v>312.5</v>
      </c>
      <c r="I1504" s="345">
        <v>4.5</v>
      </c>
      <c r="J1504" s="345">
        <v>56</v>
      </c>
      <c r="K1504" s="345">
        <v>296.5</v>
      </c>
      <c r="L1504" s="346"/>
      <c r="M1504" s="346"/>
      <c r="N1504" s="346"/>
      <c r="O1504" s="345"/>
      <c r="P1504" s="345"/>
      <c r="Q1504" s="345"/>
      <c r="R1504" s="345"/>
      <c r="S1504" s="345"/>
      <c r="T1504" s="345"/>
      <c r="U1504" s="345">
        <v>6.5</v>
      </c>
      <c r="V1504" s="345">
        <v>44</v>
      </c>
      <c r="W1504" s="345">
        <v>288</v>
      </c>
      <c r="X1504" s="345">
        <v>6.5</v>
      </c>
      <c r="Y1504" s="345">
        <v>62</v>
      </c>
      <c r="Z1504" s="345">
        <v>302.5</v>
      </c>
      <c r="AA1504">
        <f t="shared" si="23"/>
        <v>4.5</v>
      </c>
    </row>
    <row r="1505" spans="1:27" ht="28.8" x14ac:dyDescent="0.3">
      <c r="A1505" s="345" t="s">
        <v>3163</v>
      </c>
      <c r="B1505" s="805"/>
      <c r="C1505" s="802"/>
      <c r="D1505" s="802"/>
      <c r="E1505" s="803"/>
      <c r="F1505" s="805">
        <v>70</v>
      </c>
      <c r="G1505" s="803"/>
      <c r="H1505" s="345">
        <v>314</v>
      </c>
      <c r="I1505" s="345">
        <v>1</v>
      </c>
      <c r="J1505" s="345">
        <v>57</v>
      </c>
      <c r="K1505" s="345">
        <v>297.5</v>
      </c>
      <c r="L1505" s="346"/>
      <c r="M1505" s="346"/>
      <c r="N1505" s="346"/>
      <c r="O1505" s="345"/>
      <c r="P1505" s="345"/>
      <c r="Q1505" s="345"/>
      <c r="R1505" s="345"/>
      <c r="S1505" s="345"/>
      <c r="T1505" s="345"/>
      <c r="U1505" s="345">
        <v>1</v>
      </c>
      <c r="V1505" s="345">
        <v>45</v>
      </c>
      <c r="W1505" s="345">
        <v>289</v>
      </c>
      <c r="X1505" s="345">
        <v>1</v>
      </c>
      <c r="Y1505" s="345">
        <v>63</v>
      </c>
      <c r="Z1505" s="345">
        <v>303.5</v>
      </c>
      <c r="AA1505">
        <f t="shared" si="23"/>
        <v>1</v>
      </c>
    </row>
    <row r="1506" spans="1:27" ht="28.8" x14ac:dyDescent="0.3">
      <c r="A1506" s="345" t="s">
        <v>3164</v>
      </c>
      <c r="B1506" s="805"/>
      <c r="C1506" s="802"/>
      <c r="D1506" s="802"/>
      <c r="E1506" s="803"/>
      <c r="F1506" s="805">
        <v>77.5</v>
      </c>
      <c r="G1506" s="803"/>
      <c r="H1506" s="345">
        <v>321.5</v>
      </c>
      <c r="I1506" s="345">
        <v>11.5</v>
      </c>
      <c r="J1506" s="345">
        <v>68.5</v>
      </c>
      <c r="K1506" s="345">
        <v>309</v>
      </c>
      <c r="L1506" s="346"/>
      <c r="M1506" s="346"/>
      <c r="N1506" s="346"/>
      <c r="O1506" s="345"/>
      <c r="P1506" s="345"/>
      <c r="Q1506" s="345"/>
      <c r="R1506" s="345"/>
      <c r="S1506" s="345"/>
      <c r="T1506" s="345"/>
      <c r="U1506" s="345">
        <v>19.5</v>
      </c>
      <c r="V1506" s="345">
        <v>64.5</v>
      </c>
      <c r="W1506" s="345">
        <v>308.5</v>
      </c>
      <c r="X1506" s="345">
        <v>21.5</v>
      </c>
      <c r="Y1506" s="345">
        <v>84.5</v>
      </c>
      <c r="Z1506" s="345">
        <v>325</v>
      </c>
      <c r="AA1506">
        <f t="shared" si="23"/>
        <v>11.5</v>
      </c>
    </row>
    <row r="1507" spans="1:27" ht="28.8" x14ac:dyDescent="0.3">
      <c r="A1507" s="345" t="s">
        <v>3165</v>
      </c>
      <c r="B1507" s="805"/>
      <c r="C1507" s="802"/>
      <c r="D1507" s="802"/>
      <c r="E1507" s="803"/>
      <c r="F1507" s="805">
        <v>93.5</v>
      </c>
      <c r="G1507" s="803"/>
      <c r="H1507" s="345">
        <v>337.5</v>
      </c>
      <c r="I1507" s="345">
        <v>14</v>
      </c>
      <c r="J1507" s="345">
        <v>82.5</v>
      </c>
      <c r="K1507" s="345">
        <v>323</v>
      </c>
      <c r="L1507" s="346"/>
      <c r="M1507" s="346"/>
      <c r="N1507" s="346"/>
      <c r="O1507" s="345"/>
      <c r="P1507" s="345"/>
      <c r="Q1507" s="345"/>
      <c r="R1507" s="345"/>
      <c r="S1507" s="345"/>
      <c r="T1507" s="345"/>
      <c r="U1507" s="345">
        <v>18.5</v>
      </c>
      <c r="V1507" s="345">
        <v>83</v>
      </c>
      <c r="W1507" s="345">
        <v>327</v>
      </c>
      <c r="X1507" s="345">
        <v>20.5</v>
      </c>
      <c r="Y1507" s="345">
        <v>105</v>
      </c>
      <c r="Z1507" s="345">
        <v>345.5</v>
      </c>
      <c r="AA1507">
        <f t="shared" si="23"/>
        <v>14</v>
      </c>
    </row>
    <row r="1508" spans="1:27" ht="28.8" x14ac:dyDescent="0.3">
      <c r="A1508" s="345" t="s">
        <v>3166</v>
      </c>
      <c r="B1508" s="805"/>
      <c r="C1508" s="802"/>
      <c r="D1508" s="802"/>
      <c r="E1508" s="803"/>
      <c r="F1508" s="805">
        <v>102</v>
      </c>
      <c r="G1508" s="803"/>
      <c r="H1508" s="345">
        <v>346</v>
      </c>
      <c r="I1508" s="345">
        <v>17.5</v>
      </c>
      <c r="J1508" s="345">
        <v>100</v>
      </c>
      <c r="K1508" s="345">
        <v>340.5</v>
      </c>
      <c r="L1508" s="346"/>
      <c r="M1508" s="346"/>
      <c r="N1508" s="346"/>
      <c r="O1508" s="345"/>
      <c r="P1508" s="345"/>
      <c r="Q1508" s="345"/>
      <c r="R1508" s="345"/>
      <c r="S1508" s="345"/>
      <c r="T1508" s="345"/>
      <c r="U1508" s="345">
        <v>8</v>
      </c>
      <c r="V1508" s="345">
        <v>91</v>
      </c>
      <c r="W1508" s="345">
        <v>335</v>
      </c>
      <c r="X1508" s="345">
        <v>4.5</v>
      </c>
      <c r="Y1508" s="345">
        <v>109.5</v>
      </c>
      <c r="Z1508" s="345">
        <v>350</v>
      </c>
      <c r="AA1508">
        <f t="shared" si="23"/>
        <v>17.5</v>
      </c>
    </row>
    <row r="1509" spans="1:27" ht="28.8" x14ac:dyDescent="0.3">
      <c r="A1509" s="345" t="s">
        <v>3167</v>
      </c>
      <c r="B1509" s="805"/>
      <c r="C1509" s="802"/>
      <c r="D1509" s="802"/>
      <c r="E1509" s="803"/>
      <c r="F1509" s="805">
        <v>116</v>
      </c>
      <c r="G1509" s="803"/>
      <c r="H1509" s="345">
        <v>360</v>
      </c>
      <c r="I1509" s="345">
        <v>10.5</v>
      </c>
      <c r="J1509" s="345">
        <v>110.5</v>
      </c>
      <c r="K1509" s="345">
        <v>351</v>
      </c>
      <c r="L1509" s="346"/>
      <c r="M1509" s="346"/>
      <c r="N1509" s="346"/>
      <c r="O1509" s="345"/>
      <c r="P1509" s="345"/>
      <c r="Q1509" s="345"/>
      <c r="R1509" s="345"/>
      <c r="S1509" s="345"/>
      <c r="T1509" s="345"/>
      <c r="U1509" s="345">
        <v>26</v>
      </c>
      <c r="V1509" s="345">
        <v>117</v>
      </c>
      <c r="W1509" s="345">
        <v>361</v>
      </c>
      <c r="X1509" s="345">
        <v>29</v>
      </c>
      <c r="Y1509" s="345">
        <v>138.5</v>
      </c>
      <c r="Z1509" s="345">
        <v>379</v>
      </c>
      <c r="AA1509">
        <f t="shared" si="23"/>
        <v>10.5</v>
      </c>
    </row>
    <row r="1510" spans="1:27" ht="28.8" x14ac:dyDescent="0.3">
      <c r="A1510" s="345" t="s">
        <v>3168</v>
      </c>
      <c r="B1510" s="805"/>
      <c r="C1510" s="802"/>
      <c r="D1510" s="802"/>
      <c r="E1510" s="803"/>
      <c r="F1510" s="805">
        <v>133.5</v>
      </c>
      <c r="G1510" s="803"/>
      <c r="H1510" s="345">
        <v>377.5</v>
      </c>
      <c r="I1510" s="345">
        <v>17.5</v>
      </c>
      <c r="J1510" s="345">
        <v>128</v>
      </c>
      <c r="K1510" s="345">
        <v>368.5</v>
      </c>
      <c r="L1510" s="346"/>
      <c r="M1510" s="346"/>
      <c r="N1510" s="346"/>
      <c r="O1510" s="345"/>
      <c r="P1510" s="345"/>
      <c r="Q1510" s="345"/>
      <c r="R1510" s="345"/>
      <c r="S1510" s="345"/>
      <c r="T1510" s="345"/>
      <c r="U1510" s="345">
        <v>15.5</v>
      </c>
      <c r="V1510" s="345">
        <v>132.5</v>
      </c>
      <c r="W1510" s="345">
        <v>376.5</v>
      </c>
      <c r="X1510" s="345">
        <v>12</v>
      </c>
      <c r="Y1510" s="345">
        <v>150.5</v>
      </c>
      <c r="Z1510" s="345">
        <v>391</v>
      </c>
      <c r="AA1510">
        <f t="shared" si="23"/>
        <v>17.5</v>
      </c>
    </row>
    <row r="1511" spans="1:27" ht="28.8" x14ac:dyDescent="0.3">
      <c r="A1511" s="345" t="s">
        <v>3169</v>
      </c>
      <c r="B1511" s="805"/>
      <c r="C1511" s="802"/>
      <c r="D1511" s="802"/>
      <c r="E1511" s="803"/>
      <c r="F1511" s="805">
        <v>142</v>
      </c>
      <c r="G1511" s="803"/>
      <c r="H1511" s="345">
        <v>386</v>
      </c>
      <c r="I1511" s="345">
        <v>9.5</v>
      </c>
      <c r="J1511" s="345">
        <v>137.5</v>
      </c>
      <c r="K1511" s="345">
        <v>378</v>
      </c>
      <c r="L1511" s="346"/>
      <c r="M1511" s="346"/>
      <c r="N1511" s="346"/>
      <c r="O1511" s="345"/>
      <c r="P1511" s="345"/>
      <c r="Q1511" s="345"/>
      <c r="R1511" s="345">
        <v>0</v>
      </c>
      <c r="S1511" s="345">
        <v>0</v>
      </c>
      <c r="T1511" s="345">
        <v>0</v>
      </c>
      <c r="U1511" s="345">
        <v>8.5</v>
      </c>
      <c r="V1511" s="345">
        <v>141</v>
      </c>
      <c r="W1511" s="345">
        <v>385</v>
      </c>
      <c r="X1511" s="345">
        <v>9</v>
      </c>
      <c r="Y1511" s="345">
        <v>159.5</v>
      </c>
      <c r="Z1511" s="345">
        <v>400</v>
      </c>
      <c r="AA1511">
        <f t="shared" si="23"/>
        <v>9.5</v>
      </c>
    </row>
    <row r="1512" spans="1:27" ht="28.8" x14ac:dyDescent="0.3">
      <c r="A1512" s="345" t="s">
        <v>3170</v>
      </c>
      <c r="B1512" s="805"/>
      <c r="C1512" s="802"/>
      <c r="D1512" s="802"/>
      <c r="E1512" s="803"/>
      <c r="F1512" s="805">
        <v>173</v>
      </c>
      <c r="G1512" s="803"/>
      <c r="H1512" s="345">
        <v>417</v>
      </c>
      <c r="I1512" s="345">
        <v>13.5</v>
      </c>
      <c r="J1512" s="345">
        <v>151</v>
      </c>
      <c r="K1512" s="345">
        <v>391.5</v>
      </c>
      <c r="L1512" s="346"/>
      <c r="M1512" s="346"/>
      <c r="N1512" s="346"/>
      <c r="O1512" s="345"/>
      <c r="P1512" s="345"/>
      <c r="Q1512" s="345"/>
      <c r="R1512" s="345">
        <v>0</v>
      </c>
      <c r="S1512" s="345">
        <v>0</v>
      </c>
      <c r="T1512" s="345">
        <v>0</v>
      </c>
      <c r="U1512" s="345">
        <v>17.5</v>
      </c>
      <c r="V1512" s="345">
        <v>158.5</v>
      </c>
      <c r="W1512" s="345">
        <v>402.5</v>
      </c>
      <c r="X1512" s="345">
        <v>29</v>
      </c>
      <c r="Y1512" s="345">
        <v>188.5</v>
      </c>
      <c r="Z1512" s="345">
        <v>429</v>
      </c>
      <c r="AA1512">
        <f t="shared" si="23"/>
        <v>13.5</v>
      </c>
    </row>
    <row r="1513" spans="1:27" ht="28.8" x14ac:dyDescent="0.3">
      <c r="A1513" s="345" t="s">
        <v>3171</v>
      </c>
      <c r="B1513" s="805"/>
      <c r="C1513" s="802"/>
      <c r="D1513" s="802"/>
      <c r="E1513" s="803"/>
      <c r="F1513" s="805">
        <v>189.5</v>
      </c>
      <c r="G1513" s="803"/>
      <c r="H1513" s="345">
        <v>433.5</v>
      </c>
      <c r="I1513" s="345">
        <v>8.5</v>
      </c>
      <c r="J1513" s="345">
        <v>159.5</v>
      </c>
      <c r="K1513" s="345">
        <v>400</v>
      </c>
      <c r="L1513" s="346"/>
      <c r="M1513" s="346"/>
      <c r="N1513" s="346"/>
      <c r="O1513" s="345"/>
      <c r="P1513" s="345"/>
      <c r="Q1513" s="345"/>
      <c r="R1513" s="345">
        <v>0</v>
      </c>
      <c r="S1513" s="345">
        <v>0</v>
      </c>
      <c r="T1513" s="345">
        <v>0</v>
      </c>
      <c r="U1513" s="345">
        <v>12.5</v>
      </c>
      <c r="V1513" s="345">
        <v>171</v>
      </c>
      <c r="W1513" s="345">
        <v>415</v>
      </c>
      <c r="X1513" s="345">
        <v>13</v>
      </c>
      <c r="Y1513" s="345">
        <v>201.5</v>
      </c>
      <c r="Z1513" s="345">
        <v>442</v>
      </c>
      <c r="AA1513">
        <f t="shared" si="23"/>
        <v>8.5</v>
      </c>
    </row>
    <row r="1514" spans="1:27" ht="28.8" x14ac:dyDescent="0.3">
      <c r="A1514" s="345" t="s">
        <v>3172</v>
      </c>
      <c r="B1514" s="805"/>
      <c r="C1514" s="802"/>
      <c r="D1514" s="802"/>
      <c r="E1514" s="803"/>
      <c r="F1514" s="805">
        <v>193.5</v>
      </c>
      <c r="G1514" s="803"/>
      <c r="H1514" s="345">
        <v>437.5</v>
      </c>
      <c r="I1514" s="345">
        <v>4.5</v>
      </c>
      <c r="J1514" s="345">
        <v>164</v>
      </c>
      <c r="K1514" s="345">
        <v>404.5</v>
      </c>
      <c r="L1514" s="346"/>
      <c r="M1514" s="346"/>
      <c r="N1514" s="346"/>
      <c r="O1514" s="345"/>
      <c r="P1514" s="345"/>
      <c r="Q1514" s="345"/>
      <c r="R1514" s="345">
        <v>0</v>
      </c>
      <c r="S1514" s="345">
        <v>0</v>
      </c>
      <c r="T1514" s="345">
        <v>0</v>
      </c>
      <c r="U1514" s="345">
        <v>5</v>
      </c>
      <c r="V1514" s="345">
        <v>176</v>
      </c>
      <c r="W1514" s="345">
        <v>420</v>
      </c>
      <c r="X1514" s="345">
        <v>5.5</v>
      </c>
      <c r="Y1514" s="345">
        <v>207</v>
      </c>
      <c r="Z1514" s="345">
        <v>447.5</v>
      </c>
      <c r="AA1514">
        <f t="shared" si="23"/>
        <v>4.5</v>
      </c>
    </row>
    <row r="1515" spans="1:27" ht="28.8" x14ac:dyDescent="0.3">
      <c r="A1515" s="345" t="s">
        <v>3173</v>
      </c>
      <c r="B1515" s="805"/>
      <c r="C1515" s="802"/>
      <c r="D1515" s="802"/>
      <c r="E1515" s="803"/>
      <c r="F1515" s="805">
        <v>212.5</v>
      </c>
      <c r="G1515" s="803"/>
      <c r="H1515" s="345">
        <v>456.5</v>
      </c>
      <c r="I1515" s="345">
        <v>17</v>
      </c>
      <c r="J1515" s="345">
        <v>181</v>
      </c>
      <c r="K1515" s="345">
        <v>421.5</v>
      </c>
      <c r="L1515" s="346"/>
      <c r="M1515" s="346"/>
      <c r="N1515" s="346"/>
      <c r="O1515" s="345"/>
      <c r="P1515" s="345"/>
      <c r="Q1515" s="345"/>
      <c r="R1515" s="345">
        <v>0</v>
      </c>
      <c r="S1515" s="345">
        <v>0</v>
      </c>
      <c r="T1515" s="345">
        <v>0</v>
      </c>
      <c r="U1515" s="345">
        <v>19.5</v>
      </c>
      <c r="V1515" s="345">
        <v>195.5</v>
      </c>
      <c r="W1515" s="345">
        <v>439.5</v>
      </c>
      <c r="X1515" s="345">
        <v>19</v>
      </c>
      <c r="Y1515" s="345">
        <v>226</v>
      </c>
      <c r="Z1515" s="345">
        <v>466.5</v>
      </c>
      <c r="AA1515">
        <f t="shared" si="23"/>
        <v>17</v>
      </c>
    </row>
    <row r="1516" spans="1:27" ht="28.8" x14ac:dyDescent="0.3">
      <c r="A1516" s="345" t="s">
        <v>3174</v>
      </c>
      <c r="B1516" s="805"/>
      <c r="C1516" s="802"/>
      <c r="D1516" s="802"/>
      <c r="E1516" s="803"/>
      <c r="F1516" s="805">
        <v>220</v>
      </c>
      <c r="G1516" s="803"/>
      <c r="H1516" s="345">
        <v>464</v>
      </c>
      <c r="I1516" s="345">
        <v>5</v>
      </c>
      <c r="J1516" s="345">
        <v>186</v>
      </c>
      <c r="K1516" s="345">
        <v>426.5</v>
      </c>
      <c r="L1516" s="346"/>
      <c r="M1516" s="346"/>
      <c r="N1516" s="346"/>
      <c r="O1516" s="345"/>
      <c r="P1516" s="345"/>
      <c r="Q1516" s="345"/>
      <c r="R1516" s="345">
        <v>0</v>
      </c>
      <c r="S1516" s="345">
        <v>0</v>
      </c>
      <c r="T1516" s="345">
        <v>0</v>
      </c>
      <c r="U1516" s="345">
        <v>7</v>
      </c>
      <c r="V1516" s="345">
        <v>202.5</v>
      </c>
      <c r="W1516" s="345">
        <v>446.5</v>
      </c>
      <c r="X1516" s="345">
        <v>7</v>
      </c>
      <c r="Y1516" s="345">
        <v>233</v>
      </c>
      <c r="Z1516" s="345">
        <v>473.5</v>
      </c>
      <c r="AA1516">
        <f t="shared" si="23"/>
        <v>5</v>
      </c>
    </row>
    <row r="1517" spans="1:27" ht="28.8" x14ac:dyDescent="0.3">
      <c r="A1517" s="345" t="s">
        <v>3175</v>
      </c>
      <c r="B1517" s="805"/>
      <c r="C1517" s="802"/>
      <c r="D1517" s="802"/>
      <c r="E1517" s="803"/>
      <c r="F1517" s="805">
        <v>220</v>
      </c>
      <c r="G1517" s="803"/>
      <c r="H1517" s="345">
        <v>464</v>
      </c>
      <c r="I1517" s="345">
        <v>0</v>
      </c>
      <c r="J1517" s="345">
        <v>186</v>
      </c>
      <c r="K1517" s="345">
        <v>426.5</v>
      </c>
      <c r="L1517" s="346"/>
      <c r="M1517" s="346"/>
      <c r="N1517" s="346"/>
      <c r="O1517" s="345"/>
      <c r="P1517" s="345"/>
      <c r="Q1517" s="345"/>
      <c r="R1517" s="345">
        <v>0</v>
      </c>
      <c r="S1517" s="345">
        <v>0</v>
      </c>
      <c r="T1517" s="345">
        <v>0</v>
      </c>
      <c r="U1517" s="345">
        <v>0</v>
      </c>
      <c r="V1517" s="345">
        <v>202.5</v>
      </c>
      <c r="W1517" s="345">
        <v>446.5</v>
      </c>
      <c r="X1517" s="345">
        <v>0</v>
      </c>
      <c r="Y1517" s="345">
        <v>233</v>
      </c>
      <c r="Z1517" s="345">
        <v>473.5</v>
      </c>
      <c r="AA1517">
        <f t="shared" si="23"/>
        <v>0</v>
      </c>
    </row>
    <row r="1518" spans="1:27" ht="28.8" x14ac:dyDescent="0.3">
      <c r="A1518" s="345" t="s">
        <v>3176</v>
      </c>
      <c r="B1518" s="805"/>
      <c r="C1518" s="802"/>
      <c r="D1518" s="802"/>
      <c r="E1518" s="803"/>
      <c r="F1518" s="805">
        <v>220</v>
      </c>
      <c r="G1518" s="803"/>
      <c r="H1518" s="345">
        <v>464</v>
      </c>
      <c r="I1518" s="345">
        <v>0</v>
      </c>
      <c r="J1518" s="345">
        <v>186</v>
      </c>
      <c r="K1518" s="345">
        <v>426.5</v>
      </c>
      <c r="L1518" s="346"/>
      <c r="M1518" s="346"/>
      <c r="N1518" s="346"/>
      <c r="O1518" s="345"/>
      <c r="P1518" s="345"/>
      <c r="Q1518" s="345"/>
      <c r="R1518" s="345">
        <v>0</v>
      </c>
      <c r="S1518" s="345">
        <v>0</v>
      </c>
      <c r="T1518" s="345">
        <v>0</v>
      </c>
      <c r="U1518" s="345">
        <v>0</v>
      </c>
      <c r="V1518" s="345">
        <v>202.5</v>
      </c>
      <c r="W1518" s="345">
        <v>446.5</v>
      </c>
      <c r="X1518" s="345">
        <v>0</v>
      </c>
      <c r="Y1518" s="345">
        <v>233</v>
      </c>
      <c r="Z1518" s="345">
        <v>473.5</v>
      </c>
      <c r="AA1518">
        <f t="shared" si="23"/>
        <v>0</v>
      </c>
    </row>
    <row r="1519" spans="1:27" ht="28.8" x14ac:dyDescent="0.3">
      <c r="A1519" s="345" t="s">
        <v>3177</v>
      </c>
      <c r="B1519" s="805"/>
      <c r="C1519" s="802"/>
      <c r="D1519" s="802"/>
      <c r="E1519" s="803"/>
      <c r="F1519" s="805">
        <v>236.5</v>
      </c>
      <c r="G1519" s="803"/>
      <c r="H1519" s="345">
        <v>480.5</v>
      </c>
      <c r="I1519" s="345">
        <v>22</v>
      </c>
      <c r="J1519" s="345">
        <v>208</v>
      </c>
      <c r="K1519" s="345">
        <v>448.5</v>
      </c>
      <c r="L1519" s="346"/>
      <c r="M1519" s="346"/>
      <c r="N1519" s="346"/>
      <c r="O1519" s="345"/>
      <c r="P1519" s="345"/>
      <c r="Q1519" s="345"/>
      <c r="R1519" s="345"/>
      <c r="S1519" s="345"/>
      <c r="T1519" s="345"/>
      <c r="U1519" s="345">
        <v>19</v>
      </c>
      <c r="V1519" s="345">
        <v>221.5</v>
      </c>
      <c r="W1519" s="345">
        <v>465.5</v>
      </c>
      <c r="X1519" s="345">
        <v>16.5</v>
      </c>
      <c r="Y1519" s="345">
        <v>249.5</v>
      </c>
      <c r="Z1519" s="345">
        <v>490</v>
      </c>
      <c r="AA1519">
        <f t="shared" si="23"/>
        <v>22</v>
      </c>
    </row>
    <row r="1520" spans="1:27" ht="28.8" x14ac:dyDescent="0.3">
      <c r="A1520" s="345" t="s">
        <v>3178</v>
      </c>
      <c r="B1520" s="805"/>
      <c r="C1520" s="802"/>
      <c r="D1520" s="802"/>
      <c r="E1520" s="803"/>
      <c r="F1520" s="805">
        <v>239.5</v>
      </c>
      <c r="G1520" s="803"/>
      <c r="H1520" s="345">
        <v>483.5</v>
      </c>
      <c r="I1520" s="345">
        <v>6.5</v>
      </c>
      <c r="J1520" s="345">
        <v>214.5</v>
      </c>
      <c r="K1520" s="345">
        <v>455</v>
      </c>
      <c r="L1520" s="346"/>
      <c r="M1520" s="346"/>
      <c r="N1520" s="346"/>
      <c r="O1520" s="345"/>
      <c r="P1520" s="345"/>
      <c r="Q1520" s="345"/>
      <c r="R1520" s="345"/>
      <c r="S1520" s="345"/>
      <c r="T1520" s="345"/>
      <c r="U1520" s="345">
        <v>12.5</v>
      </c>
      <c r="V1520" s="345">
        <v>234</v>
      </c>
      <c r="W1520" s="345">
        <v>478</v>
      </c>
      <c r="X1520" s="345">
        <v>11</v>
      </c>
      <c r="Y1520" s="345">
        <v>260.5</v>
      </c>
      <c r="Z1520" s="345">
        <v>501</v>
      </c>
      <c r="AA1520">
        <f t="shared" si="23"/>
        <v>6.5</v>
      </c>
    </row>
    <row r="1521" spans="1:27" ht="28.8" x14ac:dyDescent="0.3">
      <c r="A1521" s="345" t="s">
        <v>3179</v>
      </c>
      <c r="B1521" s="805"/>
      <c r="C1521" s="802"/>
      <c r="D1521" s="802"/>
      <c r="E1521" s="803"/>
      <c r="F1521" s="805">
        <v>243</v>
      </c>
      <c r="G1521" s="803"/>
      <c r="H1521" s="345">
        <v>487</v>
      </c>
      <c r="I1521" s="345">
        <v>3</v>
      </c>
      <c r="J1521" s="345">
        <v>217.5</v>
      </c>
      <c r="K1521" s="345">
        <v>458</v>
      </c>
      <c r="L1521" s="346"/>
      <c r="M1521" s="346"/>
      <c r="N1521" s="346"/>
      <c r="O1521" s="345"/>
      <c r="P1521" s="345"/>
      <c r="Q1521" s="345"/>
      <c r="R1521" s="345"/>
      <c r="S1521" s="345"/>
      <c r="T1521" s="345"/>
      <c r="U1521" s="345">
        <v>3</v>
      </c>
      <c r="V1521" s="345">
        <v>237</v>
      </c>
      <c r="W1521" s="345">
        <v>481</v>
      </c>
      <c r="X1521" s="345">
        <v>2.5</v>
      </c>
      <c r="Y1521" s="345">
        <v>263</v>
      </c>
      <c r="Z1521" s="345">
        <v>503.5</v>
      </c>
      <c r="AA1521">
        <f t="shared" si="23"/>
        <v>3</v>
      </c>
    </row>
    <row r="1522" spans="1:27" s="362" customFormat="1" ht="28.8" x14ac:dyDescent="0.3">
      <c r="A1522" s="359" t="s">
        <v>3180</v>
      </c>
      <c r="B1522" s="811"/>
      <c r="C1522" s="812"/>
      <c r="D1522" s="812"/>
      <c r="E1522" s="813"/>
      <c r="F1522" s="811">
        <v>243.5</v>
      </c>
      <c r="G1522" s="813"/>
      <c r="H1522" s="359">
        <v>487.5</v>
      </c>
      <c r="I1522" s="359">
        <v>0.5</v>
      </c>
      <c r="J1522" s="359">
        <v>218</v>
      </c>
      <c r="K1522" s="359">
        <v>458.5</v>
      </c>
      <c r="L1522" s="359"/>
      <c r="M1522" s="359"/>
      <c r="N1522" s="359"/>
      <c r="O1522" s="359"/>
      <c r="P1522" s="359"/>
      <c r="Q1522" s="359"/>
      <c r="R1522" s="359"/>
      <c r="S1522" s="359"/>
      <c r="T1522" s="359"/>
      <c r="U1522" s="359">
        <v>0.5</v>
      </c>
      <c r="V1522" s="359">
        <v>237.5</v>
      </c>
      <c r="W1522" s="359">
        <v>481.5</v>
      </c>
      <c r="X1522" s="359">
        <v>1</v>
      </c>
      <c r="Y1522" s="359">
        <v>264</v>
      </c>
      <c r="Z1522" s="359">
        <v>504.5</v>
      </c>
      <c r="AA1522" s="362">
        <f t="shared" si="23"/>
        <v>0.5</v>
      </c>
    </row>
    <row r="1523" spans="1:27" ht="28.8" x14ac:dyDescent="0.3">
      <c r="A1523" s="345" t="s">
        <v>3181</v>
      </c>
      <c r="B1523" s="805"/>
      <c r="C1523" s="802"/>
      <c r="D1523" s="802"/>
      <c r="E1523" s="803"/>
      <c r="F1523" s="805">
        <v>0</v>
      </c>
      <c r="G1523" s="803"/>
      <c r="H1523" s="345">
        <v>487.5</v>
      </c>
      <c r="I1523" s="345">
        <v>0</v>
      </c>
      <c r="J1523" s="345">
        <v>0</v>
      </c>
      <c r="K1523" s="345">
        <v>458.5</v>
      </c>
      <c r="L1523" s="346"/>
      <c r="M1523" s="346"/>
      <c r="N1523" s="346"/>
      <c r="O1523" s="345"/>
      <c r="P1523" s="345"/>
      <c r="Q1523" s="345"/>
      <c r="R1523" s="345"/>
      <c r="S1523" s="345"/>
      <c r="T1523" s="345"/>
      <c r="U1523" s="345">
        <v>0</v>
      </c>
      <c r="V1523" s="345">
        <v>0</v>
      </c>
      <c r="W1523" s="345">
        <v>481.5</v>
      </c>
      <c r="X1523" s="345">
        <v>0</v>
      </c>
      <c r="Y1523" s="345">
        <v>0</v>
      </c>
      <c r="Z1523" s="345">
        <v>504.5</v>
      </c>
      <c r="AA1523">
        <f t="shared" si="23"/>
        <v>0</v>
      </c>
    </row>
    <row r="1524" spans="1:27" ht="28.8" x14ac:dyDescent="0.3">
      <c r="A1524" s="345" t="s">
        <v>3182</v>
      </c>
      <c r="B1524" s="805"/>
      <c r="C1524" s="802"/>
      <c r="D1524" s="802"/>
      <c r="E1524" s="803"/>
      <c r="F1524" s="805">
        <v>12</v>
      </c>
      <c r="G1524" s="803"/>
      <c r="H1524" s="345">
        <v>499.5</v>
      </c>
      <c r="I1524" s="345">
        <v>6.5</v>
      </c>
      <c r="J1524" s="345">
        <v>6.5</v>
      </c>
      <c r="K1524" s="345">
        <v>465</v>
      </c>
      <c r="L1524" s="346"/>
      <c r="M1524" s="346"/>
      <c r="N1524" s="346"/>
      <c r="O1524" s="345"/>
      <c r="P1524" s="345"/>
      <c r="Q1524" s="345"/>
      <c r="R1524" s="345"/>
      <c r="S1524" s="345"/>
      <c r="T1524" s="345"/>
      <c r="U1524" s="345">
        <v>9.5</v>
      </c>
      <c r="V1524" s="345">
        <v>9.5</v>
      </c>
      <c r="W1524" s="345">
        <v>491</v>
      </c>
      <c r="X1524" s="345">
        <v>8.5</v>
      </c>
      <c r="Y1524" s="345">
        <v>8.5</v>
      </c>
      <c r="Z1524" s="345">
        <v>513</v>
      </c>
      <c r="AA1524">
        <f t="shared" si="23"/>
        <v>6.5</v>
      </c>
    </row>
    <row r="1525" spans="1:27" ht="28.8" x14ac:dyDescent="0.3">
      <c r="A1525" s="345" t="s">
        <v>3183</v>
      </c>
      <c r="B1525" s="805"/>
      <c r="C1525" s="802"/>
      <c r="D1525" s="802"/>
      <c r="E1525" s="803"/>
      <c r="F1525" s="805">
        <v>12</v>
      </c>
      <c r="G1525" s="803"/>
      <c r="H1525" s="345">
        <v>499.5</v>
      </c>
      <c r="I1525" s="345">
        <v>0</v>
      </c>
      <c r="J1525" s="345">
        <v>6.5</v>
      </c>
      <c r="K1525" s="345">
        <v>465</v>
      </c>
      <c r="L1525" s="346"/>
      <c r="M1525" s="346"/>
      <c r="N1525" s="346"/>
      <c r="O1525" s="345"/>
      <c r="P1525" s="345"/>
      <c r="Q1525" s="345"/>
      <c r="R1525" s="345"/>
      <c r="S1525" s="345"/>
      <c r="T1525" s="345"/>
      <c r="U1525" s="345">
        <v>0</v>
      </c>
      <c r="V1525" s="345">
        <v>9.5</v>
      </c>
      <c r="W1525" s="345">
        <v>491</v>
      </c>
      <c r="X1525" s="345">
        <v>0</v>
      </c>
      <c r="Y1525" s="345">
        <v>8.5</v>
      </c>
      <c r="Z1525" s="345">
        <v>513</v>
      </c>
      <c r="AA1525">
        <f t="shared" si="23"/>
        <v>0</v>
      </c>
    </row>
    <row r="1526" spans="1:27" ht="28.8" x14ac:dyDescent="0.3">
      <c r="A1526" s="345" t="s">
        <v>3184</v>
      </c>
      <c r="B1526" s="805"/>
      <c r="C1526" s="802"/>
      <c r="D1526" s="802"/>
      <c r="E1526" s="803"/>
      <c r="F1526" s="805">
        <v>12</v>
      </c>
      <c r="G1526" s="803"/>
      <c r="H1526" s="345">
        <v>499.5</v>
      </c>
      <c r="I1526" s="345">
        <v>0</v>
      </c>
      <c r="J1526" s="345">
        <v>6.5</v>
      </c>
      <c r="K1526" s="345">
        <v>465</v>
      </c>
      <c r="L1526" s="346"/>
      <c r="M1526" s="346"/>
      <c r="N1526" s="346"/>
      <c r="O1526" s="345"/>
      <c r="P1526" s="345"/>
      <c r="Q1526" s="345"/>
      <c r="R1526" s="345"/>
      <c r="S1526" s="345"/>
      <c r="T1526" s="345"/>
      <c r="U1526" s="345">
        <v>0</v>
      </c>
      <c r="V1526" s="345">
        <v>9.5</v>
      </c>
      <c r="W1526" s="345">
        <v>491</v>
      </c>
      <c r="X1526" s="345">
        <v>0</v>
      </c>
      <c r="Y1526" s="345">
        <v>8.5</v>
      </c>
      <c r="Z1526" s="345">
        <v>513</v>
      </c>
      <c r="AA1526">
        <f t="shared" si="23"/>
        <v>0</v>
      </c>
    </row>
    <row r="1527" spans="1:27" ht="28.8" x14ac:dyDescent="0.3">
      <c r="A1527" s="345" t="s">
        <v>3185</v>
      </c>
      <c r="B1527" s="805"/>
      <c r="C1527" s="802"/>
      <c r="D1527" s="802"/>
      <c r="E1527" s="803"/>
      <c r="F1527" s="805">
        <v>12</v>
      </c>
      <c r="G1527" s="803"/>
      <c r="H1527" s="345">
        <v>499.5</v>
      </c>
      <c r="I1527" s="345">
        <v>0</v>
      </c>
      <c r="J1527" s="345">
        <v>6.5</v>
      </c>
      <c r="K1527" s="345">
        <v>465</v>
      </c>
      <c r="L1527" s="346"/>
      <c r="M1527" s="346"/>
      <c r="N1527" s="346"/>
      <c r="O1527" s="345"/>
      <c r="P1527" s="345"/>
      <c r="Q1527" s="345"/>
      <c r="R1527" s="345">
        <v>0</v>
      </c>
      <c r="S1527" s="345">
        <v>0</v>
      </c>
      <c r="T1527" s="345">
        <v>0</v>
      </c>
      <c r="U1527" s="345">
        <v>0</v>
      </c>
      <c r="V1527" s="345">
        <v>9.5</v>
      </c>
      <c r="W1527" s="345">
        <v>491</v>
      </c>
      <c r="X1527" s="345">
        <v>0</v>
      </c>
      <c r="Y1527" s="345">
        <v>8.5</v>
      </c>
      <c r="Z1527" s="345">
        <v>513</v>
      </c>
      <c r="AA1527">
        <f t="shared" si="23"/>
        <v>0</v>
      </c>
    </row>
    <row r="1528" spans="1:27" ht="28.8" x14ac:dyDescent="0.3">
      <c r="A1528" s="345" t="s">
        <v>3186</v>
      </c>
      <c r="B1528" s="805"/>
      <c r="C1528" s="802"/>
      <c r="D1528" s="802"/>
      <c r="E1528" s="803"/>
      <c r="F1528" s="805">
        <v>15.5</v>
      </c>
      <c r="G1528" s="803"/>
      <c r="H1528" s="345">
        <v>503</v>
      </c>
      <c r="I1528" s="345">
        <v>3</v>
      </c>
      <c r="J1528" s="345">
        <v>9.5</v>
      </c>
      <c r="K1528" s="345">
        <v>468</v>
      </c>
      <c r="L1528" s="346"/>
      <c r="M1528" s="346"/>
      <c r="N1528" s="346"/>
      <c r="O1528" s="345"/>
      <c r="P1528" s="345"/>
      <c r="Q1528" s="345"/>
      <c r="R1528" s="345">
        <v>0</v>
      </c>
      <c r="S1528" s="345">
        <v>0</v>
      </c>
      <c r="T1528" s="345">
        <v>0</v>
      </c>
      <c r="U1528" s="345">
        <v>3.5</v>
      </c>
      <c r="V1528" s="345">
        <v>13</v>
      </c>
      <c r="W1528" s="345">
        <v>494.5</v>
      </c>
      <c r="X1528" s="345">
        <v>3.5</v>
      </c>
      <c r="Y1528" s="345">
        <v>12</v>
      </c>
      <c r="Z1528" s="345">
        <v>516.5</v>
      </c>
      <c r="AA1528">
        <f t="shared" si="23"/>
        <v>3</v>
      </c>
    </row>
    <row r="1529" spans="1:27" ht="28.8" x14ac:dyDescent="0.3">
      <c r="A1529" s="345" t="s">
        <v>3187</v>
      </c>
      <c r="B1529" s="805"/>
      <c r="C1529" s="802"/>
      <c r="D1529" s="802"/>
      <c r="E1529" s="803"/>
      <c r="F1529" s="805">
        <v>18</v>
      </c>
      <c r="G1529" s="803"/>
      <c r="H1529" s="345">
        <v>505.5</v>
      </c>
      <c r="I1529" s="345">
        <v>5</v>
      </c>
      <c r="J1529" s="345">
        <v>14.5</v>
      </c>
      <c r="K1529" s="345">
        <v>473</v>
      </c>
      <c r="L1529" s="346"/>
      <c r="M1529" s="346"/>
      <c r="N1529" s="346"/>
      <c r="O1529" s="345"/>
      <c r="P1529" s="345"/>
      <c r="Q1529" s="345"/>
      <c r="R1529" s="345">
        <v>0</v>
      </c>
      <c r="S1529" s="345">
        <v>0</v>
      </c>
      <c r="T1529" s="345">
        <v>0</v>
      </c>
      <c r="U1529" s="345">
        <v>5</v>
      </c>
      <c r="V1529" s="345">
        <v>18</v>
      </c>
      <c r="W1529" s="345">
        <v>499.5</v>
      </c>
      <c r="X1529" s="345">
        <v>2.5</v>
      </c>
      <c r="Y1529" s="345">
        <v>14.5</v>
      </c>
      <c r="Z1529" s="345">
        <v>519</v>
      </c>
      <c r="AA1529">
        <f t="shared" si="23"/>
        <v>5</v>
      </c>
    </row>
    <row r="1530" spans="1:27" ht="28.8" x14ac:dyDescent="0.3">
      <c r="A1530" s="345" t="s">
        <v>3188</v>
      </c>
      <c r="B1530" s="805"/>
      <c r="C1530" s="802"/>
      <c r="D1530" s="802"/>
      <c r="E1530" s="803"/>
      <c r="F1530" s="805">
        <v>18</v>
      </c>
      <c r="G1530" s="803"/>
      <c r="H1530" s="345">
        <v>505.5</v>
      </c>
      <c r="I1530" s="345">
        <v>0</v>
      </c>
      <c r="J1530" s="345">
        <v>14.5</v>
      </c>
      <c r="K1530" s="345">
        <v>473</v>
      </c>
      <c r="L1530" s="346"/>
      <c r="M1530" s="346"/>
      <c r="N1530" s="346"/>
      <c r="O1530" s="345"/>
      <c r="P1530" s="345"/>
      <c r="Q1530" s="345"/>
      <c r="R1530" s="345"/>
      <c r="S1530" s="345"/>
      <c r="T1530" s="345"/>
      <c r="U1530" s="345">
        <v>0</v>
      </c>
      <c r="V1530" s="345">
        <v>18</v>
      </c>
      <c r="W1530" s="345">
        <v>499.5</v>
      </c>
      <c r="X1530" s="345">
        <v>0</v>
      </c>
      <c r="Y1530" s="345">
        <v>14.5</v>
      </c>
      <c r="Z1530" s="345">
        <v>519</v>
      </c>
      <c r="AA1530">
        <f t="shared" si="23"/>
        <v>0</v>
      </c>
    </row>
    <row r="1531" spans="1:27" ht="28.8" x14ac:dyDescent="0.3">
      <c r="A1531" s="345" t="s">
        <v>3189</v>
      </c>
      <c r="B1531" s="805"/>
      <c r="C1531" s="802"/>
      <c r="D1531" s="802"/>
      <c r="E1531" s="803"/>
      <c r="F1531" s="805">
        <v>19</v>
      </c>
      <c r="G1531" s="803"/>
      <c r="H1531" s="345">
        <v>506.5</v>
      </c>
      <c r="I1531" s="345">
        <v>1</v>
      </c>
      <c r="J1531" s="345">
        <v>15.5</v>
      </c>
      <c r="K1531" s="345">
        <v>474</v>
      </c>
      <c r="L1531" s="346"/>
      <c r="M1531" s="346"/>
      <c r="N1531" s="346"/>
      <c r="O1531" s="345"/>
      <c r="P1531" s="345"/>
      <c r="Q1531" s="345"/>
      <c r="R1531" s="345"/>
      <c r="S1531" s="345"/>
      <c r="T1531" s="345"/>
      <c r="U1531" s="345">
        <v>1</v>
      </c>
      <c r="V1531" s="345">
        <v>19</v>
      </c>
      <c r="W1531" s="345">
        <v>500.5</v>
      </c>
      <c r="X1531" s="345">
        <v>1.5</v>
      </c>
      <c r="Y1531" s="345">
        <v>16</v>
      </c>
      <c r="Z1531" s="345">
        <v>520.5</v>
      </c>
      <c r="AA1531">
        <f t="shared" si="23"/>
        <v>1</v>
      </c>
    </row>
    <row r="1532" spans="1:27" ht="28.8" x14ac:dyDescent="0.3">
      <c r="A1532" s="345" t="s">
        <v>3190</v>
      </c>
      <c r="B1532" s="805"/>
      <c r="C1532" s="802"/>
      <c r="D1532" s="802"/>
      <c r="E1532" s="803"/>
      <c r="F1532" s="805">
        <v>19</v>
      </c>
      <c r="G1532" s="803"/>
      <c r="H1532" s="345">
        <v>506.5</v>
      </c>
      <c r="I1532" s="345">
        <v>0</v>
      </c>
      <c r="J1532" s="345">
        <v>15.5</v>
      </c>
      <c r="K1532" s="345">
        <v>474</v>
      </c>
      <c r="L1532" s="346"/>
      <c r="M1532" s="346"/>
      <c r="N1532" s="346"/>
      <c r="O1532" s="345"/>
      <c r="P1532" s="345"/>
      <c r="Q1532" s="345"/>
      <c r="R1532" s="345"/>
      <c r="S1532" s="345"/>
      <c r="T1532" s="345"/>
      <c r="U1532" s="345">
        <v>0.5</v>
      </c>
      <c r="V1532" s="345">
        <v>19.5</v>
      </c>
      <c r="W1532" s="345">
        <v>501</v>
      </c>
      <c r="X1532" s="345">
        <v>0</v>
      </c>
      <c r="Y1532" s="345">
        <v>16</v>
      </c>
      <c r="Z1532" s="345">
        <v>520.5</v>
      </c>
      <c r="AA1532">
        <f t="shared" si="23"/>
        <v>0</v>
      </c>
    </row>
    <row r="1533" spans="1:27" ht="28.8" x14ac:dyDescent="0.3">
      <c r="A1533" s="345" t="s">
        <v>3191</v>
      </c>
      <c r="B1533" s="805"/>
      <c r="C1533" s="802"/>
      <c r="D1533" s="802"/>
      <c r="E1533" s="803"/>
      <c r="F1533" s="805">
        <v>19</v>
      </c>
      <c r="G1533" s="803"/>
      <c r="H1533" s="345">
        <v>506.5</v>
      </c>
      <c r="I1533" s="345">
        <v>0</v>
      </c>
      <c r="J1533" s="345">
        <v>15.5</v>
      </c>
      <c r="K1533" s="345">
        <v>474</v>
      </c>
      <c r="L1533" s="346"/>
      <c r="M1533" s="346"/>
      <c r="N1533" s="346"/>
      <c r="O1533" s="345"/>
      <c r="P1533" s="345"/>
      <c r="Q1533" s="345"/>
      <c r="R1533" s="345"/>
      <c r="S1533" s="345"/>
      <c r="T1533" s="345"/>
      <c r="U1533" s="345">
        <v>0</v>
      </c>
      <c r="V1533" s="345">
        <v>19.5</v>
      </c>
      <c r="W1533" s="345">
        <v>501</v>
      </c>
      <c r="X1533" s="345">
        <v>0</v>
      </c>
      <c r="Y1533" s="345">
        <v>16</v>
      </c>
      <c r="Z1533" s="345">
        <v>520.5</v>
      </c>
      <c r="AA1533">
        <f t="shared" si="23"/>
        <v>0</v>
      </c>
    </row>
    <row r="1534" spans="1:27" ht="28.8" x14ac:dyDescent="0.3">
      <c r="A1534" s="345" t="s">
        <v>3192</v>
      </c>
      <c r="B1534" s="805"/>
      <c r="C1534" s="802"/>
      <c r="D1534" s="802"/>
      <c r="E1534" s="803"/>
      <c r="F1534" s="805">
        <v>19</v>
      </c>
      <c r="G1534" s="803"/>
      <c r="H1534" s="345">
        <v>506.5</v>
      </c>
      <c r="I1534" s="345">
        <v>0</v>
      </c>
      <c r="J1534" s="345">
        <v>15.5</v>
      </c>
      <c r="K1534" s="345">
        <v>474</v>
      </c>
      <c r="L1534" s="346"/>
      <c r="M1534" s="346"/>
      <c r="N1534" s="346"/>
      <c r="O1534" s="345"/>
      <c r="P1534" s="345"/>
      <c r="Q1534" s="345"/>
      <c r="R1534" s="345"/>
      <c r="S1534" s="345"/>
      <c r="T1534" s="345"/>
      <c r="U1534" s="345">
        <v>0</v>
      </c>
      <c r="V1534" s="345">
        <v>19.5</v>
      </c>
      <c r="W1534" s="345">
        <v>501</v>
      </c>
      <c r="X1534" s="345">
        <v>0</v>
      </c>
      <c r="Y1534" s="345">
        <v>16</v>
      </c>
      <c r="Z1534" s="345">
        <v>520.5</v>
      </c>
      <c r="AA1534">
        <f t="shared" si="23"/>
        <v>0</v>
      </c>
    </row>
    <row r="1535" spans="1:27" ht="28.8" x14ac:dyDescent="0.3">
      <c r="A1535" s="345" t="s">
        <v>3193</v>
      </c>
      <c r="B1535" s="805"/>
      <c r="C1535" s="802"/>
      <c r="D1535" s="802"/>
      <c r="E1535" s="803"/>
      <c r="F1535" s="805">
        <v>40</v>
      </c>
      <c r="G1535" s="803"/>
      <c r="H1535" s="345">
        <v>527.5</v>
      </c>
      <c r="I1535" s="345">
        <v>25.5</v>
      </c>
      <c r="J1535" s="345">
        <v>41</v>
      </c>
      <c r="K1535" s="345">
        <v>499.5</v>
      </c>
      <c r="L1535" s="346"/>
      <c r="M1535" s="346"/>
      <c r="N1535" s="346"/>
      <c r="O1535" s="345"/>
      <c r="P1535" s="345"/>
      <c r="Q1535" s="345"/>
      <c r="R1535" s="345"/>
      <c r="S1535" s="345"/>
      <c r="T1535" s="345"/>
      <c r="U1535" s="345">
        <v>16.5</v>
      </c>
      <c r="V1535" s="345">
        <v>36</v>
      </c>
      <c r="W1535" s="345">
        <v>517.5</v>
      </c>
      <c r="X1535" s="345">
        <v>15</v>
      </c>
      <c r="Y1535" s="345">
        <v>31</v>
      </c>
      <c r="Z1535" s="345">
        <v>535.5</v>
      </c>
      <c r="AA1535">
        <f t="shared" si="23"/>
        <v>25.5</v>
      </c>
    </row>
    <row r="1536" spans="1:27" ht="28.8" x14ac:dyDescent="0.3">
      <c r="A1536" s="345" t="s">
        <v>3194</v>
      </c>
      <c r="B1536" s="805"/>
      <c r="C1536" s="802"/>
      <c r="D1536" s="802"/>
      <c r="E1536" s="803"/>
      <c r="F1536" s="805">
        <v>46</v>
      </c>
      <c r="G1536" s="803"/>
      <c r="H1536" s="345">
        <v>533.5</v>
      </c>
      <c r="I1536" s="345">
        <v>5</v>
      </c>
      <c r="J1536" s="345">
        <v>46</v>
      </c>
      <c r="K1536" s="345">
        <v>504.5</v>
      </c>
      <c r="L1536" s="346"/>
      <c r="M1536" s="346"/>
      <c r="N1536" s="346"/>
      <c r="O1536" s="345"/>
      <c r="P1536" s="345"/>
      <c r="Q1536" s="345"/>
      <c r="R1536" s="345"/>
      <c r="S1536" s="345"/>
      <c r="T1536" s="345"/>
      <c r="U1536" s="345">
        <v>5.5</v>
      </c>
      <c r="V1536" s="345">
        <v>41.5</v>
      </c>
      <c r="W1536" s="345">
        <v>523</v>
      </c>
      <c r="X1536" s="345">
        <v>5.5</v>
      </c>
      <c r="Y1536" s="345">
        <v>36.5</v>
      </c>
      <c r="Z1536" s="345">
        <v>541</v>
      </c>
      <c r="AA1536">
        <f t="shared" si="23"/>
        <v>5</v>
      </c>
    </row>
    <row r="1537" spans="1:27" ht="28.8" x14ac:dyDescent="0.3">
      <c r="A1537" s="345" t="s">
        <v>3195</v>
      </c>
      <c r="B1537" s="805"/>
      <c r="C1537" s="802"/>
      <c r="D1537" s="802"/>
      <c r="E1537" s="803"/>
      <c r="F1537" s="805">
        <v>46</v>
      </c>
      <c r="G1537" s="803"/>
      <c r="H1537" s="345">
        <v>533.5</v>
      </c>
      <c r="I1537" s="345">
        <v>0</v>
      </c>
      <c r="J1537" s="345">
        <v>46</v>
      </c>
      <c r="K1537" s="345">
        <v>504.5</v>
      </c>
      <c r="L1537" s="346"/>
      <c r="M1537" s="346"/>
      <c r="N1537" s="346"/>
      <c r="O1537" s="345"/>
      <c r="P1537" s="345"/>
      <c r="Q1537" s="345"/>
      <c r="R1537" s="345"/>
      <c r="S1537" s="345"/>
      <c r="T1537" s="345"/>
      <c r="U1537" s="345">
        <v>0</v>
      </c>
      <c r="V1537" s="345">
        <v>41.5</v>
      </c>
      <c r="W1537" s="345">
        <v>523</v>
      </c>
      <c r="X1537" s="345">
        <v>0</v>
      </c>
      <c r="Y1537" s="345">
        <v>36.5</v>
      </c>
      <c r="Z1537" s="345">
        <v>541</v>
      </c>
      <c r="AA1537">
        <f t="shared" si="23"/>
        <v>0</v>
      </c>
    </row>
    <row r="1538" spans="1:27" ht="28.8" x14ac:dyDescent="0.3">
      <c r="A1538" s="345" t="s">
        <v>3196</v>
      </c>
      <c r="B1538" s="805"/>
      <c r="C1538" s="802"/>
      <c r="D1538" s="802"/>
      <c r="E1538" s="803"/>
      <c r="F1538" s="805">
        <v>53.5</v>
      </c>
      <c r="G1538" s="803"/>
      <c r="H1538" s="345">
        <v>541</v>
      </c>
      <c r="I1538" s="345">
        <v>5</v>
      </c>
      <c r="J1538" s="345">
        <v>51</v>
      </c>
      <c r="K1538" s="345">
        <v>509.5</v>
      </c>
      <c r="L1538" s="346"/>
      <c r="M1538" s="346"/>
      <c r="N1538" s="346"/>
      <c r="O1538" s="345"/>
      <c r="P1538" s="345"/>
      <c r="Q1538" s="345"/>
      <c r="R1538" s="345"/>
      <c r="S1538" s="345"/>
      <c r="T1538" s="345"/>
      <c r="U1538" s="345">
        <v>0.5</v>
      </c>
      <c r="V1538" s="345">
        <v>42</v>
      </c>
      <c r="W1538" s="345">
        <v>523.5</v>
      </c>
      <c r="X1538" s="345">
        <v>2</v>
      </c>
      <c r="Y1538" s="345">
        <v>38.5</v>
      </c>
      <c r="Z1538" s="345">
        <v>543</v>
      </c>
      <c r="AA1538">
        <f t="shared" si="23"/>
        <v>5</v>
      </c>
    </row>
    <row r="1539" spans="1:27" ht="28.8" x14ac:dyDescent="0.3">
      <c r="A1539" s="345" t="s">
        <v>3197</v>
      </c>
      <c r="B1539" s="805"/>
      <c r="C1539" s="802"/>
      <c r="D1539" s="802"/>
      <c r="E1539" s="803"/>
      <c r="F1539" s="805">
        <v>108.5</v>
      </c>
      <c r="G1539" s="803"/>
      <c r="H1539" s="345">
        <v>596</v>
      </c>
      <c r="I1539" s="345">
        <v>65</v>
      </c>
      <c r="J1539" s="345">
        <v>116</v>
      </c>
      <c r="K1539" s="345">
        <v>574.5</v>
      </c>
      <c r="L1539" s="346"/>
      <c r="M1539" s="346"/>
      <c r="N1539" s="346"/>
      <c r="O1539" s="345"/>
      <c r="P1539" s="345"/>
      <c r="Q1539" s="345"/>
      <c r="R1539" s="345"/>
      <c r="S1539" s="345"/>
      <c r="T1539" s="345"/>
      <c r="U1539" s="345">
        <v>46.5</v>
      </c>
      <c r="V1539" s="345">
        <v>88.5</v>
      </c>
      <c r="W1539" s="345">
        <v>570</v>
      </c>
      <c r="X1539" s="345">
        <v>30</v>
      </c>
      <c r="Y1539" s="345">
        <v>68.5</v>
      </c>
      <c r="Z1539" s="345">
        <v>573</v>
      </c>
      <c r="AA1539">
        <f t="shared" si="23"/>
        <v>65</v>
      </c>
    </row>
    <row r="1540" spans="1:27" ht="28.8" x14ac:dyDescent="0.3">
      <c r="A1540" s="345" t="s">
        <v>3198</v>
      </c>
      <c r="B1540" s="805"/>
      <c r="C1540" s="802"/>
      <c r="D1540" s="802"/>
      <c r="E1540" s="803"/>
      <c r="F1540" s="805">
        <v>108.5</v>
      </c>
      <c r="G1540" s="803"/>
      <c r="H1540" s="345">
        <v>596</v>
      </c>
      <c r="I1540" s="345">
        <v>0</v>
      </c>
      <c r="J1540" s="345">
        <v>116</v>
      </c>
      <c r="K1540" s="345">
        <v>574.5</v>
      </c>
      <c r="L1540" s="346"/>
      <c r="M1540" s="346"/>
      <c r="N1540" s="346"/>
      <c r="O1540" s="345"/>
      <c r="P1540" s="345"/>
      <c r="Q1540" s="345"/>
      <c r="R1540" s="345">
        <v>0</v>
      </c>
      <c r="S1540" s="345">
        <v>0</v>
      </c>
      <c r="T1540" s="345">
        <v>0</v>
      </c>
      <c r="U1540" s="345">
        <v>0</v>
      </c>
      <c r="V1540" s="345">
        <v>88.5</v>
      </c>
      <c r="W1540" s="345">
        <v>570</v>
      </c>
      <c r="X1540" s="345">
        <v>0</v>
      </c>
      <c r="Y1540" s="345">
        <v>68.5</v>
      </c>
      <c r="Z1540" s="345">
        <v>573</v>
      </c>
      <c r="AA1540">
        <f t="shared" si="23"/>
        <v>0</v>
      </c>
    </row>
    <row r="1541" spans="1:27" ht="28.8" x14ac:dyDescent="0.3">
      <c r="A1541" s="345" t="s">
        <v>3199</v>
      </c>
      <c r="B1541" s="805"/>
      <c r="C1541" s="802"/>
      <c r="D1541" s="802"/>
      <c r="E1541" s="803"/>
      <c r="F1541" s="805">
        <v>110.5</v>
      </c>
      <c r="G1541" s="803"/>
      <c r="H1541" s="345">
        <v>598</v>
      </c>
      <c r="I1541" s="345">
        <v>2</v>
      </c>
      <c r="J1541" s="345">
        <v>118</v>
      </c>
      <c r="K1541" s="345">
        <v>576.5</v>
      </c>
      <c r="L1541" s="346"/>
      <c r="M1541" s="346"/>
      <c r="N1541" s="346"/>
      <c r="O1541" s="345"/>
      <c r="P1541" s="345"/>
      <c r="Q1541" s="345"/>
      <c r="R1541" s="345">
        <v>0</v>
      </c>
      <c r="S1541" s="345">
        <v>0</v>
      </c>
      <c r="T1541" s="345">
        <v>0</v>
      </c>
      <c r="U1541" s="345">
        <v>3</v>
      </c>
      <c r="V1541" s="345">
        <v>91.5</v>
      </c>
      <c r="W1541" s="345">
        <v>573</v>
      </c>
      <c r="X1541" s="345">
        <v>2.5</v>
      </c>
      <c r="Y1541" s="345">
        <v>71</v>
      </c>
      <c r="Z1541" s="345">
        <v>575.5</v>
      </c>
      <c r="AA1541">
        <f t="shared" si="23"/>
        <v>2</v>
      </c>
    </row>
    <row r="1542" spans="1:27" ht="28.8" x14ac:dyDescent="0.3">
      <c r="A1542" s="345" t="s">
        <v>3200</v>
      </c>
      <c r="B1542" s="805"/>
      <c r="C1542" s="802"/>
      <c r="D1542" s="802"/>
      <c r="E1542" s="803"/>
      <c r="F1542" s="805">
        <v>117</v>
      </c>
      <c r="G1542" s="803"/>
      <c r="H1542" s="345">
        <v>604.5</v>
      </c>
      <c r="I1542" s="345">
        <v>7</v>
      </c>
      <c r="J1542" s="345">
        <v>125</v>
      </c>
      <c r="K1542" s="345">
        <v>583.5</v>
      </c>
      <c r="L1542" s="346"/>
      <c r="M1542" s="346"/>
      <c r="N1542" s="346"/>
      <c r="O1542" s="345"/>
      <c r="P1542" s="345"/>
      <c r="Q1542" s="345"/>
      <c r="R1542" s="345">
        <v>0</v>
      </c>
      <c r="S1542" s="345">
        <v>0</v>
      </c>
      <c r="T1542" s="345">
        <v>0</v>
      </c>
      <c r="U1542" s="345">
        <v>6</v>
      </c>
      <c r="V1542" s="345">
        <v>97.5</v>
      </c>
      <c r="W1542" s="345">
        <v>579</v>
      </c>
      <c r="X1542" s="345">
        <v>7.5</v>
      </c>
      <c r="Y1542" s="345">
        <v>78.5</v>
      </c>
      <c r="Z1542" s="345">
        <v>583</v>
      </c>
      <c r="AA1542">
        <f t="shared" si="23"/>
        <v>7</v>
      </c>
    </row>
    <row r="1543" spans="1:27" ht="28.8" x14ac:dyDescent="0.3">
      <c r="A1543" s="345" t="s">
        <v>3201</v>
      </c>
      <c r="B1543" s="805"/>
      <c r="C1543" s="802"/>
      <c r="D1543" s="802"/>
      <c r="E1543" s="803"/>
      <c r="F1543" s="805">
        <v>130</v>
      </c>
      <c r="G1543" s="803"/>
      <c r="H1543" s="345">
        <v>617.5</v>
      </c>
      <c r="I1543" s="345">
        <v>15</v>
      </c>
      <c r="J1543" s="345">
        <v>140</v>
      </c>
      <c r="K1543" s="345">
        <v>598.5</v>
      </c>
      <c r="L1543" s="346"/>
      <c r="M1543" s="346"/>
      <c r="N1543" s="346"/>
      <c r="O1543" s="345"/>
      <c r="P1543" s="345"/>
      <c r="Q1543" s="345"/>
      <c r="R1543" s="345">
        <v>0</v>
      </c>
      <c r="S1543" s="345">
        <v>0</v>
      </c>
      <c r="T1543" s="345">
        <v>0</v>
      </c>
      <c r="U1543" s="345">
        <v>15.5</v>
      </c>
      <c r="V1543" s="345">
        <v>113</v>
      </c>
      <c r="W1543" s="345">
        <v>594.5</v>
      </c>
      <c r="X1543" s="345">
        <v>11.5</v>
      </c>
      <c r="Y1543" s="345">
        <v>90</v>
      </c>
      <c r="Z1543" s="345">
        <v>594.5</v>
      </c>
      <c r="AA1543">
        <f t="shared" si="23"/>
        <v>15</v>
      </c>
    </row>
    <row r="1544" spans="1:27" ht="28.8" x14ac:dyDescent="0.3">
      <c r="A1544" s="345" t="s">
        <v>3202</v>
      </c>
      <c r="B1544" s="805"/>
      <c r="C1544" s="802"/>
      <c r="D1544" s="802"/>
      <c r="E1544" s="803"/>
      <c r="F1544" s="805">
        <v>145</v>
      </c>
      <c r="G1544" s="803"/>
      <c r="H1544" s="345">
        <v>632.5</v>
      </c>
      <c r="I1544" s="345">
        <v>19.5</v>
      </c>
      <c r="J1544" s="345">
        <v>159.5</v>
      </c>
      <c r="K1544" s="345">
        <v>618</v>
      </c>
      <c r="L1544" s="346"/>
      <c r="M1544" s="346"/>
      <c r="N1544" s="346"/>
      <c r="O1544" s="345"/>
      <c r="P1544" s="345"/>
      <c r="Q1544" s="345"/>
      <c r="R1544" s="345">
        <v>0</v>
      </c>
      <c r="S1544" s="345">
        <v>0</v>
      </c>
      <c r="T1544" s="345">
        <v>0</v>
      </c>
      <c r="U1544" s="345">
        <v>11.5</v>
      </c>
      <c r="V1544" s="345">
        <v>124.5</v>
      </c>
      <c r="W1544" s="345">
        <v>606</v>
      </c>
      <c r="X1544" s="345">
        <v>9</v>
      </c>
      <c r="Y1544" s="345">
        <v>99</v>
      </c>
      <c r="Z1544" s="345">
        <v>603.5</v>
      </c>
      <c r="AA1544">
        <f t="shared" si="23"/>
        <v>19.5</v>
      </c>
    </row>
    <row r="1545" spans="1:27" ht="28.8" x14ac:dyDescent="0.3">
      <c r="A1545" s="345" t="s">
        <v>3203</v>
      </c>
      <c r="B1545" s="805"/>
      <c r="C1545" s="802"/>
      <c r="D1545" s="802"/>
      <c r="E1545" s="803"/>
      <c r="F1545" s="805">
        <v>153.5</v>
      </c>
      <c r="G1545" s="803"/>
      <c r="H1545" s="345">
        <v>641</v>
      </c>
      <c r="I1545" s="345">
        <v>8</v>
      </c>
      <c r="J1545" s="345">
        <v>167.5</v>
      </c>
      <c r="K1545" s="345">
        <v>626</v>
      </c>
      <c r="L1545" s="346"/>
      <c r="M1545" s="346"/>
      <c r="N1545" s="346"/>
      <c r="O1545" s="345"/>
      <c r="P1545" s="345"/>
      <c r="Q1545" s="345"/>
      <c r="R1545" s="345">
        <v>0</v>
      </c>
      <c r="S1545" s="345">
        <v>0</v>
      </c>
      <c r="T1545" s="345">
        <v>0</v>
      </c>
      <c r="U1545" s="345">
        <v>8.5</v>
      </c>
      <c r="V1545" s="345">
        <v>133</v>
      </c>
      <c r="W1545" s="345">
        <v>614.5</v>
      </c>
      <c r="X1545" s="345">
        <v>9</v>
      </c>
      <c r="Y1545" s="345">
        <v>108</v>
      </c>
      <c r="Z1545" s="345">
        <v>612.5</v>
      </c>
      <c r="AA1545">
        <f t="shared" si="23"/>
        <v>8</v>
      </c>
    </row>
    <row r="1546" spans="1:27" ht="28.8" x14ac:dyDescent="0.3">
      <c r="A1546" s="345" t="s">
        <v>3204</v>
      </c>
      <c r="B1546" s="805"/>
      <c r="C1546" s="802"/>
      <c r="D1546" s="802"/>
      <c r="E1546" s="803"/>
      <c r="F1546" s="805">
        <v>154</v>
      </c>
      <c r="G1546" s="803"/>
      <c r="H1546" s="345">
        <v>641.5</v>
      </c>
      <c r="I1546" s="345">
        <v>0.5</v>
      </c>
      <c r="J1546" s="345">
        <v>168</v>
      </c>
      <c r="K1546" s="345">
        <v>626.5</v>
      </c>
      <c r="L1546" s="346"/>
      <c r="M1546" s="346"/>
      <c r="N1546" s="346"/>
      <c r="O1546" s="345"/>
      <c r="P1546" s="345"/>
      <c r="Q1546" s="345"/>
      <c r="R1546" s="345">
        <v>0</v>
      </c>
      <c r="S1546" s="345">
        <v>0</v>
      </c>
      <c r="T1546" s="345">
        <v>0</v>
      </c>
      <c r="U1546" s="345">
        <v>0.5</v>
      </c>
      <c r="V1546" s="345">
        <v>133.5</v>
      </c>
      <c r="W1546" s="345">
        <v>615</v>
      </c>
      <c r="X1546" s="345">
        <v>0.5</v>
      </c>
      <c r="Y1546" s="345">
        <v>108.5</v>
      </c>
      <c r="Z1546" s="345">
        <v>613</v>
      </c>
      <c r="AA1546">
        <f t="shared" si="23"/>
        <v>0.5</v>
      </c>
    </row>
    <row r="1547" spans="1:27" ht="28.8" x14ac:dyDescent="0.3">
      <c r="A1547" s="345" t="s">
        <v>3205</v>
      </c>
      <c r="B1547" s="805"/>
      <c r="C1547" s="802"/>
      <c r="D1547" s="802"/>
      <c r="E1547" s="803"/>
      <c r="F1547" s="805">
        <v>154</v>
      </c>
      <c r="G1547" s="803"/>
      <c r="H1547" s="345">
        <v>641.5</v>
      </c>
      <c r="I1547" s="345">
        <v>0</v>
      </c>
      <c r="J1547" s="345">
        <v>168</v>
      </c>
      <c r="K1547" s="345">
        <v>626.5</v>
      </c>
      <c r="L1547" s="346"/>
      <c r="M1547" s="346"/>
      <c r="N1547" s="346"/>
      <c r="O1547" s="345"/>
      <c r="P1547" s="345"/>
      <c r="Q1547" s="345"/>
      <c r="R1547" s="345">
        <v>0</v>
      </c>
      <c r="S1547" s="345">
        <v>0</v>
      </c>
      <c r="T1547" s="345">
        <v>0</v>
      </c>
      <c r="U1547" s="345">
        <v>0</v>
      </c>
      <c r="V1547" s="345">
        <v>133.5</v>
      </c>
      <c r="W1547" s="345">
        <v>615</v>
      </c>
      <c r="X1547" s="345">
        <v>0</v>
      </c>
      <c r="Y1547" s="345">
        <v>108.5</v>
      </c>
      <c r="Z1547" s="345">
        <v>613</v>
      </c>
      <c r="AA1547">
        <f t="shared" si="23"/>
        <v>0</v>
      </c>
    </row>
    <row r="1548" spans="1:27" ht="28.8" x14ac:dyDescent="0.3">
      <c r="A1548" s="345" t="s">
        <v>3206</v>
      </c>
      <c r="B1548" s="805"/>
      <c r="C1548" s="802"/>
      <c r="D1548" s="802"/>
      <c r="E1548" s="803"/>
      <c r="F1548" s="805">
        <v>154</v>
      </c>
      <c r="G1548" s="803"/>
      <c r="H1548" s="345">
        <v>641.5</v>
      </c>
      <c r="I1548" s="345">
        <v>0</v>
      </c>
      <c r="J1548" s="345">
        <v>168</v>
      </c>
      <c r="K1548" s="345">
        <v>626.5</v>
      </c>
      <c r="L1548" s="346"/>
      <c r="M1548" s="346"/>
      <c r="N1548" s="346"/>
      <c r="O1548" s="345"/>
      <c r="P1548" s="345"/>
      <c r="Q1548" s="345"/>
      <c r="R1548" s="345">
        <v>0</v>
      </c>
      <c r="S1548" s="345">
        <v>0</v>
      </c>
      <c r="T1548" s="345">
        <v>0</v>
      </c>
      <c r="U1548" s="345">
        <v>0</v>
      </c>
      <c r="V1548" s="345">
        <v>133.5</v>
      </c>
      <c r="W1548" s="345">
        <v>615</v>
      </c>
      <c r="X1548" s="345">
        <v>0</v>
      </c>
      <c r="Y1548" s="345">
        <v>108.5</v>
      </c>
      <c r="Z1548" s="345">
        <v>613</v>
      </c>
      <c r="AA1548">
        <f t="shared" si="23"/>
        <v>0</v>
      </c>
    </row>
    <row r="1549" spans="1:27" ht="28.8" x14ac:dyDescent="0.3">
      <c r="A1549" s="345" t="s">
        <v>3207</v>
      </c>
      <c r="B1549" s="805"/>
      <c r="C1549" s="802"/>
      <c r="D1549" s="802"/>
      <c r="E1549" s="803"/>
      <c r="F1549" s="805">
        <v>187</v>
      </c>
      <c r="G1549" s="803"/>
      <c r="H1549" s="345">
        <v>674.5</v>
      </c>
      <c r="I1549" s="345">
        <v>36</v>
      </c>
      <c r="J1549" s="345">
        <v>204</v>
      </c>
      <c r="K1549" s="345">
        <v>662.5</v>
      </c>
      <c r="L1549" s="346"/>
      <c r="M1549" s="346"/>
      <c r="N1549" s="346"/>
      <c r="O1549" s="345"/>
      <c r="P1549" s="345"/>
      <c r="Q1549" s="345"/>
      <c r="R1549" s="345"/>
      <c r="S1549" s="345"/>
      <c r="T1549" s="345"/>
      <c r="U1549" s="345">
        <v>30</v>
      </c>
      <c r="V1549" s="345">
        <v>163.5</v>
      </c>
      <c r="W1549" s="345">
        <v>645</v>
      </c>
      <c r="X1549" s="345">
        <v>19.5</v>
      </c>
      <c r="Y1549" s="345">
        <v>128</v>
      </c>
      <c r="Z1549" s="345">
        <v>632.5</v>
      </c>
      <c r="AA1549">
        <f t="shared" si="23"/>
        <v>36</v>
      </c>
    </row>
    <row r="1550" spans="1:27" ht="28.8" x14ac:dyDescent="0.3">
      <c r="A1550" s="345" t="s">
        <v>3208</v>
      </c>
      <c r="B1550" s="805"/>
      <c r="C1550" s="802"/>
      <c r="D1550" s="802"/>
      <c r="E1550" s="803"/>
      <c r="F1550" s="805">
        <v>231.5</v>
      </c>
      <c r="G1550" s="803"/>
      <c r="H1550" s="345">
        <v>719</v>
      </c>
      <c r="I1550" s="345">
        <v>33</v>
      </c>
      <c r="J1550" s="345">
        <v>237</v>
      </c>
      <c r="K1550" s="345">
        <v>695.5</v>
      </c>
      <c r="L1550" s="346"/>
      <c r="M1550" s="346"/>
      <c r="N1550" s="346"/>
      <c r="O1550" s="345"/>
      <c r="P1550" s="345"/>
      <c r="Q1550" s="345"/>
      <c r="R1550" s="345"/>
      <c r="S1550" s="345"/>
      <c r="T1550" s="345"/>
      <c r="U1550" s="345">
        <v>46</v>
      </c>
      <c r="V1550" s="345">
        <v>209.5</v>
      </c>
      <c r="W1550" s="345">
        <v>691</v>
      </c>
      <c r="X1550" s="345">
        <v>50</v>
      </c>
      <c r="Y1550" s="345">
        <v>178</v>
      </c>
      <c r="Z1550" s="345">
        <v>682.5</v>
      </c>
      <c r="AA1550">
        <f t="shared" si="23"/>
        <v>33</v>
      </c>
    </row>
    <row r="1551" spans="1:27" ht="28.8" x14ac:dyDescent="0.3">
      <c r="A1551" s="345" t="s">
        <v>3209</v>
      </c>
      <c r="B1551" s="805"/>
      <c r="C1551" s="802"/>
      <c r="D1551" s="802"/>
      <c r="E1551" s="803"/>
      <c r="F1551" s="805">
        <v>262.5</v>
      </c>
      <c r="G1551" s="803"/>
      <c r="H1551" s="345">
        <v>750</v>
      </c>
      <c r="I1551" s="345">
        <v>31.5</v>
      </c>
      <c r="J1551" s="345">
        <v>268.5</v>
      </c>
      <c r="K1551" s="345">
        <v>727</v>
      </c>
      <c r="L1551" s="346"/>
      <c r="M1551" s="346"/>
      <c r="N1551" s="346"/>
      <c r="O1551" s="345"/>
      <c r="P1551" s="345"/>
      <c r="Q1551" s="345"/>
      <c r="R1551" s="345"/>
      <c r="S1551" s="345"/>
      <c r="T1551" s="345"/>
      <c r="U1551" s="345">
        <v>35</v>
      </c>
      <c r="V1551" s="345">
        <v>244.5</v>
      </c>
      <c r="W1551" s="345">
        <v>726</v>
      </c>
      <c r="X1551" s="345">
        <v>32</v>
      </c>
      <c r="Y1551" s="345">
        <v>210</v>
      </c>
      <c r="Z1551" s="345">
        <v>714.5</v>
      </c>
      <c r="AA1551">
        <f t="shared" si="23"/>
        <v>31.5</v>
      </c>
    </row>
    <row r="1552" spans="1:27" ht="28.8" x14ac:dyDescent="0.3">
      <c r="A1552" s="345" t="s">
        <v>3210</v>
      </c>
      <c r="B1552" s="805"/>
      <c r="C1552" s="802"/>
      <c r="D1552" s="802"/>
      <c r="E1552" s="803"/>
      <c r="F1552" s="805">
        <v>264.5</v>
      </c>
      <c r="G1552" s="803"/>
      <c r="H1552" s="345">
        <v>752</v>
      </c>
      <c r="I1552" s="345">
        <v>2.5</v>
      </c>
      <c r="J1552" s="345">
        <v>271</v>
      </c>
      <c r="K1552" s="345">
        <v>729.5</v>
      </c>
      <c r="L1552" s="346"/>
      <c r="M1552" s="346"/>
      <c r="N1552" s="346"/>
      <c r="O1552" s="345"/>
      <c r="P1552" s="345"/>
      <c r="Q1552" s="345"/>
      <c r="R1552" s="345"/>
      <c r="S1552" s="345"/>
      <c r="T1552" s="345"/>
      <c r="U1552" s="345">
        <v>2</v>
      </c>
      <c r="V1552" s="345">
        <v>246.5</v>
      </c>
      <c r="W1552" s="345">
        <v>728</v>
      </c>
      <c r="X1552" s="345">
        <v>2</v>
      </c>
      <c r="Y1552" s="345">
        <v>212</v>
      </c>
      <c r="Z1552" s="345">
        <v>716.5</v>
      </c>
      <c r="AA1552">
        <f t="shared" si="23"/>
        <v>2.5</v>
      </c>
    </row>
    <row r="1553" spans="1:27" s="362" customFormat="1" ht="28.8" x14ac:dyDescent="0.3">
      <c r="A1553" s="359" t="s">
        <v>3211</v>
      </c>
      <c r="B1553" s="811"/>
      <c r="C1553" s="812"/>
      <c r="D1553" s="812"/>
      <c r="E1553" s="813"/>
      <c r="F1553" s="811">
        <v>264.5</v>
      </c>
      <c r="G1553" s="813"/>
      <c r="H1553" s="359">
        <v>752</v>
      </c>
      <c r="I1553" s="359">
        <v>0</v>
      </c>
      <c r="J1553" s="359">
        <v>271</v>
      </c>
      <c r="K1553" s="359">
        <v>729.5</v>
      </c>
      <c r="L1553" s="359"/>
      <c r="M1553" s="359"/>
      <c r="N1553" s="359"/>
      <c r="O1553" s="359"/>
      <c r="P1553" s="359"/>
      <c r="Q1553" s="359"/>
      <c r="R1553" s="359">
        <v>0</v>
      </c>
      <c r="S1553" s="359">
        <v>0</v>
      </c>
      <c r="T1553" s="359">
        <v>0</v>
      </c>
      <c r="U1553" s="359">
        <v>0</v>
      </c>
      <c r="V1553" s="359">
        <v>246.5</v>
      </c>
      <c r="W1553" s="359">
        <v>728</v>
      </c>
      <c r="X1553" s="359">
        <v>0</v>
      </c>
      <c r="Y1553" s="359">
        <v>212</v>
      </c>
      <c r="Z1553" s="359">
        <v>716.5</v>
      </c>
      <c r="AA1553" s="362">
        <f t="shared" si="23"/>
        <v>0</v>
      </c>
    </row>
    <row r="1554" spans="1:27" ht="28.8" x14ac:dyDescent="0.3">
      <c r="A1554" s="345" t="s">
        <v>3212</v>
      </c>
      <c r="B1554" s="805"/>
      <c r="C1554" s="802"/>
      <c r="D1554" s="802"/>
      <c r="E1554" s="803"/>
      <c r="F1554" s="805">
        <v>0</v>
      </c>
      <c r="G1554" s="803"/>
      <c r="H1554" s="345">
        <v>752</v>
      </c>
      <c r="I1554" s="345">
        <v>0</v>
      </c>
      <c r="J1554" s="345">
        <v>0</v>
      </c>
      <c r="K1554" s="345">
        <v>729.5</v>
      </c>
      <c r="L1554" s="346"/>
      <c r="M1554" s="346"/>
      <c r="N1554" s="346"/>
      <c r="O1554" s="345"/>
      <c r="P1554" s="345"/>
      <c r="Q1554" s="345"/>
      <c r="R1554" s="345">
        <v>0</v>
      </c>
      <c r="S1554" s="345">
        <v>0</v>
      </c>
      <c r="T1554" s="345">
        <v>0</v>
      </c>
      <c r="U1554" s="345">
        <v>0</v>
      </c>
      <c r="V1554" s="345">
        <v>0</v>
      </c>
      <c r="W1554" s="345">
        <v>728</v>
      </c>
      <c r="X1554" s="345">
        <v>0</v>
      </c>
      <c r="Y1554" s="345">
        <v>0</v>
      </c>
      <c r="Z1554" s="345">
        <v>716.5</v>
      </c>
      <c r="AA1554">
        <f t="shared" si="23"/>
        <v>0</v>
      </c>
    </row>
    <row r="1555" spans="1:27" ht="28.8" x14ac:dyDescent="0.3">
      <c r="A1555" s="345" t="s">
        <v>3213</v>
      </c>
      <c r="B1555" s="805"/>
      <c r="C1555" s="802"/>
      <c r="D1555" s="802"/>
      <c r="E1555" s="803"/>
      <c r="F1555" s="805">
        <v>31</v>
      </c>
      <c r="G1555" s="803"/>
      <c r="H1555" s="345">
        <v>783</v>
      </c>
      <c r="I1555" s="345">
        <v>26.5</v>
      </c>
      <c r="J1555" s="345">
        <v>26.5</v>
      </c>
      <c r="K1555" s="345">
        <v>756</v>
      </c>
      <c r="L1555" s="346"/>
      <c r="M1555" s="346"/>
      <c r="N1555" s="346"/>
      <c r="O1555" s="345"/>
      <c r="P1555" s="345"/>
      <c r="Q1555" s="345"/>
      <c r="R1555" s="345">
        <v>0</v>
      </c>
      <c r="S1555" s="345">
        <v>0</v>
      </c>
      <c r="T1555" s="345">
        <v>0</v>
      </c>
      <c r="U1555" s="345">
        <v>20</v>
      </c>
      <c r="V1555" s="345">
        <v>20</v>
      </c>
      <c r="W1555" s="345">
        <v>748</v>
      </c>
      <c r="X1555" s="345">
        <v>25</v>
      </c>
      <c r="Y1555" s="345">
        <v>25</v>
      </c>
      <c r="Z1555" s="345">
        <v>741.5</v>
      </c>
      <c r="AA1555">
        <f t="shared" si="23"/>
        <v>26.5</v>
      </c>
    </row>
    <row r="1556" spans="1:27" ht="28.8" x14ac:dyDescent="0.3">
      <c r="A1556" s="345" t="s">
        <v>3214</v>
      </c>
      <c r="B1556" s="805"/>
      <c r="C1556" s="802"/>
      <c r="D1556" s="802"/>
      <c r="E1556" s="803"/>
      <c r="F1556" s="805">
        <v>77</v>
      </c>
      <c r="G1556" s="803"/>
      <c r="H1556" s="345">
        <v>829</v>
      </c>
      <c r="I1556" s="345">
        <v>38.5</v>
      </c>
      <c r="J1556" s="345">
        <v>65</v>
      </c>
      <c r="K1556" s="345">
        <v>794.5</v>
      </c>
      <c r="L1556" s="346"/>
      <c r="M1556" s="346"/>
      <c r="N1556" s="346"/>
      <c r="O1556" s="345"/>
      <c r="P1556" s="345"/>
      <c r="Q1556" s="345"/>
      <c r="R1556" s="345">
        <v>0</v>
      </c>
      <c r="S1556" s="345">
        <v>0</v>
      </c>
      <c r="T1556" s="345">
        <v>0</v>
      </c>
      <c r="U1556" s="345">
        <v>31</v>
      </c>
      <c r="V1556" s="345">
        <v>51</v>
      </c>
      <c r="W1556" s="345">
        <v>779</v>
      </c>
      <c r="X1556" s="345">
        <v>42.5</v>
      </c>
      <c r="Y1556" s="345">
        <v>67.5</v>
      </c>
      <c r="Z1556" s="345">
        <v>784</v>
      </c>
      <c r="AA1556">
        <f t="shared" si="23"/>
        <v>38.5</v>
      </c>
    </row>
    <row r="1557" spans="1:27" ht="28.8" x14ac:dyDescent="0.3">
      <c r="A1557" s="345" t="s">
        <v>3215</v>
      </c>
      <c r="B1557" s="805"/>
      <c r="C1557" s="802"/>
      <c r="D1557" s="802"/>
      <c r="E1557" s="803"/>
      <c r="F1557" s="805">
        <v>80.5</v>
      </c>
      <c r="G1557" s="803"/>
      <c r="H1557" s="345">
        <v>832.5</v>
      </c>
      <c r="I1557" s="345">
        <v>2</v>
      </c>
      <c r="J1557" s="345">
        <v>67</v>
      </c>
      <c r="K1557" s="345">
        <v>796.5</v>
      </c>
      <c r="L1557" s="346"/>
      <c r="M1557" s="346"/>
      <c r="N1557" s="346"/>
      <c r="O1557" s="345"/>
      <c r="P1557" s="345"/>
      <c r="Q1557" s="345"/>
      <c r="R1557" s="345">
        <v>0</v>
      </c>
      <c r="S1557" s="345">
        <v>0</v>
      </c>
      <c r="T1557" s="345">
        <v>0</v>
      </c>
      <c r="U1557" s="345">
        <v>2.5</v>
      </c>
      <c r="V1557" s="345">
        <v>53.5</v>
      </c>
      <c r="W1557" s="345">
        <v>781.5</v>
      </c>
      <c r="X1557" s="345">
        <v>3</v>
      </c>
      <c r="Y1557" s="345">
        <v>70.5</v>
      </c>
      <c r="Z1557" s="345">
        <v>787</v>
      </c>
      <c r="AA1557">
        <f t="shared" ref="AA1557:AA1614" si="24">MAX(B1557+I1557+L1557+O1557)</f>
        <v>2</v>
      </c>
    </row>
    <row r="1558" spans="1:27" ht="28.8" x14ac:dyDescent="0.3">
      <c r="A1558" s="345" t="s">
        <v>3216</v>
      </c>
      <c r="B1558" s="805"/>
      <c r="C1558" s="802"/>
      <c r="D1558" s="802"/>
      <c r="E1558" s="803"/>
      <c r="F1558" s="805">
        <v>112</v>
      </c>
      <c r="G1558" s="803"/>
      <c r="H1558" s="345">
        <v>864</v>
      </c>
      <c r="I1558" s="345">
        <v>27.5</v>
      </c>
      <c r="J1558" s="345">
        <v>94.5</v>
      </c>
      <c r="K1558" s="345">
        <v>824</v>
      </c>
      <c r="L1558" s="346"/>
      <c r="M1558" s="346"/>
      <c r="N1558" s="346"/>
      <c r="O1558" s="345"/>
      <c r="P1558" s="345"/>
      <c r="Q1558" s="345"/>
      <c r="R1558" s="345">
        <v>0</v>
      </c>
      <c r="S1558" s="345">
        <v>0</v>
      </c>
      <c r="T1558" s="345">
        <v>0</v>
      </c>
      <c r="U1558" s="345">
        <v>24</v>
      </c>
      <c r="V1558" s="345">
        <v>77.5</v>
      </c>
      <c r="W1558" s="345">
        <v>805.5</v>
      </c>
      <c r="X1558" s="345">
        <v>25</v>
      </c>
      <c r="Y1558" s="345">
        <v>95.5</v>
      </c>
      <c r="Z1558" s="345">
        <v>812</v>
      </c>
      <c r="AA1558">
        <f t="shared" si="24"/>
        <v>27.5</v>
      </c>
    </row>
    <row r="1559" spans="1:27" ht="28.8" x14ac:dyDescent="0.3">
      <c r="A1559" s="345" t="s">
        <v>3217</v>
      </c>
      <c r="B1559" s="805"/>
      <c r="C1559" s="802"/>
      <c r="D1559" s="802"/>
      <c r="E1559" s="803"/>
      <c r="F1559" s="805">
        <v>113</v>
      </c>
      <c r="G1559" s="803"/>
      <c r="H1559" s="345">
        <v>865</v>
      </c>
      <c r="I1559" s="345">
        <v>1.5</v>
      </c>
      <c r="J1559" s="345">
        <v>96</v>
      </c>
      <c r="K1559" s="345">
        <v>825.5</v>
      </c>
      <c r="L1559" s="346"/>
      <c r="M1559" s="346"/>
      <c r="N1559" s="346"/>
      <c r="O1559" s="345"/>
      <c r="P1559" s="345"/>
      <c r="Q1559" s="345"/>
      <c r="R1559" s="345">
        <v>0</v>
      </c>
      <c r="S1559" s="345">
        <v>0</v>
      </c>
      <c r="T1559" s="345">
        <v>0</v>
      </c>
      <c r="U1559" s="345">
        <v>1</v>
      </c>
      <c r="V1559" s="345">
        <v>78.5</v>
      </c>
      <c r="W1559" s="345">
        <v>806.5</v>
      </c>
      <c r="X1559" s="345">
        <v>1</v>
      </c>
      <c r="Y1559" s="345">
        <v>96.5</v>
      </c>
      <c r="Z1559" s="345">
        <v>813</v>
      </c>
      <c r="AA1559">
        <f t="shared" si="24"/>
        <v>1.5</v>
      </c>
    </row>
    <row r="1560" spans="1:27" ht="28.8" x14ac:dyDescent="0.3">
      <c r="A1560" s="345" t="s">
        <v>3218</v>
      </c>
      <c r="B1560" s="805"/>
      <c r="C1560" s="802"/>
      <c r="D1560" s="802"/>
      <c r="E1560" s="803"/>
      <c r="F1560" s="805">
        <v>113</v>
      </c>
      <c r="G1560" s="803"/>
      <c r="H1560" s="345">
        <v>865</v>
      </c>
      <c r="I1560" s="345">
        <v>0</v>
      </c>
      <c r="J1560" s="345">
        <v>96</v>
      </c>
      <c r="K1560" s="345">
        <v>825.5</v>
      </c>
      <c r="L1560" s="346"/>
      <c r="M1560" s="346"/>
      <c r="N1560" s="346"/>
      <c r="O1560" s="345"/>
      <c r="P1560" s="345"/>
      <c r="Q1560" s="345"/>
      <c r="R1560" s="345">
        <v>0</v>
      </c>
      <c r="S1560" s="345">
        <v>0</v>
      </c>
      <c r="T1560" s="345">
        <v>0</v>
      </c>
      <c r="U1560" s="345">
        <v>0</v>
      </c>
      <c r="V1560" s="345">
        <v>78.5</v>
      </c>
      <c r="W1560" s="345">
        <v>806.5</v>
      </c>
      <c r="X1560" s="345">
        <v>0</v>
      </c>
      <c r="Y1560" s="345">
        <v>96.5</v>
      </c>
      <c r="Z1560" s="345">
        <v>813</v>
      </c>
      <c r="AA1560">
        <f t="shared" si="24"/>
        <v>0</v>
      </c>
    </row>
    <row r="1561" spans="1:27" ht="28.8" x14ac:dyDescent="0.3">
      <c r="A1561" s="345" t="s">
        <v>3219</v>
      </c>
      <c r="B1561" s="805"/>
      <c r="C1561" s="802"/>
      <c r="D1561" s="802"/>
      <c r="E1561" s="803"/>
      <c r="F1561" s="805">
        <v>114.5</v>
      </c>
      <c r="G1561" s="803"/>
      <c r="H1561" s="345">
        <v>866.5</v>
      </c>
      <c r="I1561" s="345">
        <v>0.5</v>
      </c>
      <c r="J1561" s="345">
        <v>96.5</v>
      </c>
      <c r="K1561" s="345">
        <v>826</v>
      </c>
      <c r="L1561" s="346"/>
      <c r="M1561" s="346"/>
      <c r="N1561" s="346"/>
      <c r="O1561" s="345"/>
      <c r="P1561" s="345"/>
      <c r="Q1561" s="345"/>
      <c r="R1561" s="345">
        <v>0</v>
      </c>
      <c r="S1561" s="345">
        <v>0</v>
      </c>
      <c r="T1561" s="345">
        <v>0</v>
      </c>
      <c r="U1561" s="345">
        <v>1</v>
      </c>
      <c r="V1561" s="345">
        <v>79.5</v>
      </c>
      <c r="W1561" s="345">
        <v>807.5</v>
      </c>
      <c r="X1561" s="345">
        <v>1</v>
      </c>
      <c r="Y1561" s="345">
        <v>97.5</v>
      </c>
      <c r="Z1561" s="345">
        <v>814</v>
      </c>
      <c r="AA1561">
        <f t="shared" si="24"/>
        <v>0.5</v>
      </c>
    </row>
    <row r="1562" spans="1:27" ht="28.8" x14ac:dyDescent="0.3">
      <c r="A1562" s="345" t="s">
        <v>3220</v>
      </c>
      <c r="B1562" s="805"/>
      <c r="C1562" s="802"/>
      <c r="D1562" s="802"/>
      <c r="E1562" s="803"/>
      <c r="F1562" s="805">
        <v>115.5</v>
      </c>
      <c r="G1562" s="803"/>
      <c r="H1562" s="345">
        <v>867.5</v>
      </c>
      <c r="I1562" s="345">
        <v>1</v>
      </c>
      <c r="J1562" s="345">
        <v>97.5</v>
      </c>
      <c r="K1562" s="345">
        <v>827</v>
      </c>
      <c r="L1562" s="346"/>
      <c r="M1562" s="346"/>
      <c r="N1562" s="346"/>
      <c r="O1562" s="345"/>
      <c r="P1562" s="345"/>
      <c r="Q1562" s="345"/>
      <c r="R1562" s="345">
        <v>0</v>
      </c>
      <c r="S1562" s="345">
        <v>0</v>
      </c>
      <c r="T1562" s="345">
        <v>0</v>
      </c>
      <c r="U1562" s="345">
        <v>1</v>
      </c>
      <c r="V1562" s="345">
        <v>80.5</v>
      </c>
      <c r="W1562" s="345">
        <v>808.5</v>
      </c>
      <c r="X1562" s="345">
        <v>1</v>
      </c>
      <c r="Y1562" s="345">
        <v>98.5</v>
      </c>
      <c r="Z1562" s="345">
        <v>815</v>
      </c>
      <c r="AA1562">
        <f t="shared" si="24"/>
        <v>1</v>
      </c>
    </row>
    <row r="1563" spans="1:27" ht="28.8" x14ac:dyDescent="0.3">
      <c r="A1563" s="345" t="s">
        <v>3221</v>
      </c>
      <c r="B1563" s="805"/>
      <c r="C1563" s="802"/>
      <c r="D1563" s="802"/>
      <c r="E1563" s="803"/>
      <c r="F1563" s="805">
        <v>115.5</v>
      </c>
      <c r="G1563" s="803"/>
      <c r="H1563" s="345">
        <v>867.5</v>
      </c>
      <c r="I1563" s="345">
        <v>0</v>
      </c>
      <c r="J1563" s="345">
        <v>97.5</v>
      </c>
      <c r="K1563" s="345">
        <v>827</v>
      </c>
      <c r="L1563" s="346"/>
      <c r="M1563" s="346"/>
      <c r="N1563" s="346"/>
      <c r="O1563" s="345"/>
      <c r="P1563" s="345"/>
      <c r="Q1563" s="345"/>
      <c r="R1563" s="345"/>
      <c r="S1563" s="345"/>
      <c r="T1563" s="345"/>
      <c r="U1563" s="345">
        <v>0</v>
      </c>
      <c r="V1563" s="345">
        <v>80.5</v>
      </c>
      <c r="W1563" s="345">
        <v>808.5</v>
      </c>
      <c r="X1563" s="345">
        <v>0</v>
      </c>
      <c r="Y1563" s="345">
        <v>98.5</v>
      </c>
      <c r="Z1563" s="345">
        <v>815</v>
      </c>
      <c r="AA1563">
        <f t="shared" si="24"/>
        <v>0</v>
      </c>
    </row>
    <row r="1564" spans="1:27" ht="28.8" x14ac:dyDescent="0.3">
      <c r="A1564" s="345" t="s">
        <v>3222</v>
      </c>
      <c r="B1564" s="805"/>
      <c r="C1564" s="802"/>
      <c r="D1564" s="802"/>
      <c r="E1564" s="803"/>
      <c r="F1564" s="805">
        <v>125.5</v>
      </c>
      <c r="G1564" s="803"/>
      <c r="H1564" s="345">
        <v>877.5</v>
      </c>
      <c r="I1564" s="345">
        <v>16</v>
      </c>
      <c r="J1564" s="345">
        <v>113.5</v>
      </c>
      <c r="K1564" s="345">
        <v>843</v>
      </c>
      <c r="L1564" s="346"/>
      <c r="M1564" s="346"/>
      <c r="N1564" s="346"/>
      <c r="O1564" s="345"/>
      <c r="P1564" s="345"/>
      <c r="Q1564" s="345"/>
      <c r="R1564" s="345"/>
      <c r="S1564" s="345"/>
      <c r="T1564" s="345"/>
      <c r="U1564" s="345">
        <v>5.5</v>
      </c>
      <c r="V1564" s="345">
        <v>86</v>
      </c>
      <c r="W1564" s="345">
        <v>814</v>
      </c>
      <c r="X1564" s="345">
        <v>4</v>
      </c>
      <c r="Y1564" s="345">
        <v>102.5</v>
      </c>
      <c r="Z1564" s="345">
        <v>819</v>
      </c>
      <c r="AA1564">
        <f t="shared" si="24"/>
        <v>16</v>
      </c>
    </row>
    <row r="1565" spans="1:27" ht="28.8" x14ac:dyDescent="0.3">
      <c r="A1565" s="345" t="s">
        <v>3223</v>
      </c>
      <c r="B1565" s="805"/>
      <c r="C1565" s="802"/>
      <c r="D1565" s="802"/>
      <c r="E1565" s="803"/>
      <c r="F1565" s="805">
        <v>125.5</v>
      </c>
      <c r="G1565" s="803"/>
      <c r="H1565" s="345">
        <v>877.5</v>
      </c>
      <c r="I1565" s="345">
        <v>0</v>
      </c>
      <c r="J1565" s="345">
        <v>113.5</v>
      </c>
      <c r="K1565" s="345">
        <v>843</v>
      </c>
      <c r="L1565" s="346"/>
      <c r="M1565" s="346"/>
      <c r="N1565" s="346"/>
      <c r="O1565" s="345"/>
      <c r="P1565" s="345"/>
      <c r="Q1565" s="345"/>
      <c r="R1565" s="345"/>
      <c r="S1565" s="345"/>
      <c r="T1565" s="345"/>
      <c r="U1565" s="345">
        <v>0</v>
      </c>
      <c r="V1565" s="345">
        <v>86</v>
      </c>
      <c r="W1565" s="345">
        <v>814</v>
      </c>
      <c r="X1565" s="345">
        <v>0</v>
      </c>
      <c r="Y1565" s="345">
        <v>102.5</v>
      </c>
      <c r="Z1565" s="345">
        <v>819</v>
      </c>
      <c r="AA1565">
        <f t="shared" si="24"/>
        <v>0</v>
      </c>
    </row>
    <row r="1566" spans="1:27" ht="28.8" x14ac:dyDescent="0.3">
      <c r="A1566" s="345" t="s">
        <v>3224</v>
      </c>
      <c r="B1566" s="805"/>
      <c r="C1566" s="802"/>
      <c r="D1566" s="802"/>
      <c r="E1566" s="803"/>
      <c r="F1566" s="805">
        <v>133</v>
      </c>
      <c r="G1566" s="803"/>
      <c r="H1566" s="345">
        <v>885</v>
      </c>
      <c r="I1566" s="345">
        <v>8.5</v>
      </c>
      <c r="J1566" s="345">
        <v>122</v>
      </c>
      <c r="K1566" s="345">
        <v>851.5</v>
      </c>
      <c r="L1566" s="346"/>
      <c r="M1566" s="346"/>
      <c r="N1566" s="346"/>
      <c r="O1566" s="345"/>
      <c r="P1566" s="345"/>
      <c r="Q1566" s="345"/>
      <c r="R1566" s="345"/>
      <c r="S1566" s="345"/>
      <c r="T1566" s="345"/>
      <c r="U1566" s="345">
        <v>2</v>
      </c>
      <c r="V1566" s="345">
        <v>88</v>
      </c>
      <c r="W1566" s="345">
        <v>816</v>
      </c>
      <c r="X1566" s="345">
        <v>2.5</v>
      </c>
      <c r="Y1566" s="345">
        <v>105</v>
      </c>
      <c r="Z1566" s="345">
        <v>821.5</v>
      </c>
      <c r="AA1566">
        <f t="shared" si="24"/>
        <v>8.5</v>
      </c>
    </row>
    <row r="1567" spans="1:27" ht="28.8" x14ac:dyDescent="0.3">
      <c r="A1567" s="345" t="s">
        <v>3225</v>
      </c>
      <c r="B1567" s="805"/>
      <c r="C1567" s="802"/>
      <c r="D1567" s="802"/>
      <c r="E1567" s="803"/>
      <c r="F1567" s="805">
        <v>133</v>
      </c>
      <c r="G1567" s="803"/>
      <c r="H1567" s="345">
        <v>885</v>
      </c>
      <c r="I1567" s="345">
        <v>0</v>
      </c>
      <c r="J1567" s="345">
        <v>122</v>
      </c>
      <c r="K1567" s="345">
        <v>851.5</v>
      </c>
      <c r="L1567" s="346"/>
      <c r="M1567" s="346"/>
      <c r="N1567" s="346"/>
      <c r="O1567" s="345"/>
      <c r="P1567" s="345"/>
      <c r="Q1567" s="345"/>
      <c r="R1567" s="345">
        <v>0</v>
      </c>
      <c r="S1567" s="345">
        <v>0</v>
      </c>
      <c r="T1567" s="345">
        <v>0</v>
      </c>
      <c r="U1567" s="345">
        <v>0</v>
      </c>
      <c r="V1567" s="345">
        <v>88</v>
      </c>
      <c r="W1567" s="345">
        <v>816</v>
      </c>
      <c r="X1567" s="345">
        <v>0</v>
      </c>
      <c r="Y1567" s="345">
        <v>105</v>
      </c>
      <c r="Z1567" s="345">
        <v>821.5</v>
      </c>
      <c r="AA1567">
        <f t="shared" si="24"/>
        <v>0</v>
      </c>
    </row>
    <row r="1568" spans="1:27" ht="28.8" x14ac:dyDescent="0.3">
      <c r="A1568" s="345" t="s">
        <v>3226</v>
      </c>
      <c r="B1568" s="805"/>
      <c r="C1568" s="802"/>
      <c r="D1568" s="802"/>
      <c r="E1568" s="803"/>
      <c r="F1568" s="805">
        <v>138</v>
      </c>
      <c r="G1568" s="803"/>
      <c r="H1568" s="345">
        <v>890</v>
      </c>
      <c r="I1568" s="345">
        <v>4.5</v>
      </c>
      <c r="J1568" s="345">
        <v>126.5</v>
      </c>
      <c r="K1568" s="345">
        <v>856</v>
      </c>
      <c r="L1568" s="346"/>
      <c r="M1568" s="346"/>
      <c r="N1568" s="346"/>
      <c r="O1568" s="345"/>
      <c r="P1568" s="345"/>
      <c r="Q1568" s="345"/>
      <c r="R1568" s="345">
        <v>0</v>
      </c>
      <c r="S1568" s="345">
        <v>0</v>
      </c>
      <c r="T1568" s="345">
        <v>0</v>
      </c>
      <c r="U1568" s="345">
        <v>5</v>
      </c>
      <c r="V1568" s="345">
        <v>93</v>
      </c>
      <c r="W1568" s="345">
        <v>821</v>
      </c>
      <c r="X1568" s="345">
        <v>5</v>
      </c>
      <c r="Y1568" s="345">
        <v>110</v>
      </c>
      <c r="Z1568" s="345">
        <v>826.5</v>
      </c>
      <c r="AA1568">
        <f t="shared" si="24"/>
        <v>4.5</v>
      </c>
    </row>
    <row r="1569" spans="1:27" ht="28.8" x14ac:dyDescent="0.3">
      <c r="A1569" s="345" t="s">
        <v>3227</v>
      </c>
      <c r="B1569" s="805"/>
      <c r="C1569" s="802"/>
      <c r="D1569" s="802"/>
      <c r="E1569" s="803"/>
      <c r="F1569" s="805">
        <v>186</v>
      </c>
      <c r="G1569" s="803"/>
      <c r="H1569" s="345">
        <v>938</v>
      </c>
      <c r="I1569" s="345">
        <v>33</v>
      </c>
      <c r="J1569" s="345">
        <v>159.5</v>
      </c>
      <c r="K1569" s="345">
        <v>889</v>
      </c>
      <c r="L1569" s="346"/>
      <c r="M1569" s="346"/>
      <c r="N1569" s="346"/>
      <c r="O1569" s="345"/>
      <c r="P1569" s="345"/>
      <c r="Q1569" s="345"/>
      <c r="R1569" s="345">
        <v>0</v>
      </c>
      <c r="S1569" s="345">
        <v>0</v>
      </c>
      <c r="T1569" s="345">
        <v>0</v>
      </c>
      <c r="U1569" s="345">
        <v>13.5</v>
      </c>
      <c r="V1569" s="345">
        <v>106.5</v>
      </c>
      <c r="W1569" s="345">
        <v>834.5</v>
      </c>
      <c r="X1569" s="345">
        <v>18</v>
      </c>
      <c r="Y1569" s="345">
        <v>128</v>
      </c>
      <c r="Z1569" s="345">
        <v>844.5</v>
      </c>
      <c r="AA1569">
        <f t="shared" si="24"/>
        <v>33</v>
      </c>
    </row>
    <row r="1570" spans="1:27" ht="28.8" x14ac:dyDescent="0.3">
      <c r="A1570" s="345" t="s">
        <v>3228</v>
      </c>
      <c r="B1570" s="805"/>
      <c r="C1570" s="802"/>
      <c r="D1570" s="802"/>
      <c r="E1570" s="803"/>
      <c r="F1570" s="805">
        <v>187.5</v>
      </c>
      <c r="G1570" s="803"/>
      <c r="H1570" s="345">
        <v>939.5</v>
      </c>
      <c r="I1570" s="345">
        <v>2.5</v>
      </c>
      <c r="J1570" s="345">
        <v>162</v>
      </c>
      <c r="K1570" s="345">
        <v>891.5</v>
      </c>
      <c r="L1570" s="346"/>
      <c r="M1570" s="346"/>
      <c r="N1570" s="346"/>
      <c r="O1570" s="345"/>
      <c r="P1570" s="345"/>
      <c r="Q1570" s="345"/>
      <c r="R1570" s="345">
        <v>0</v>
      </c>
      <c r="S1570" s="345">
        <v>0</v>
      </c>
      <c r="T1570" s="345">
        <v>0</v>
      </c>
      <c r="U1570" s="345">
        <v>1.5</v>
      </c>
      <c r="V1570" s="345">
        <v>108</v>
      </c>
      <c r="W1570" s="345">
        <v>836</v>
      </c>
      <c r="X1570" s="345">
        <v>2</v>
      </c>
      <c r="Y1570" s="345">
        <v>130</v>
      </c>
      <c r="Z1570" s="345">
        <v>846.5</v>
      </c>
      <c r="AA1570">
        <f t="shared" si="24"/>
        <v>2.5</v>
      </c>
    </row>
    <row r="1571" spans="1:27" ht="28.8" x14ac:dyDescent="0.3">
      <c r="A1571" s="345" t="s">
        <v>3229</v>
      </c>
      <c r="B1571" s="805"/>
      <c r="C1571" s="802"/>
      <c r="D1571" s="802"/>
      <c r="E1571" s="803"/>
      <c r="F1571" s="805">
        <v>187.5</v>
      </c>
      <c r="G1571" s="803"/>
      <c r="H1571" s="345">
        <v>939.5</v>
      </c>
      <c r="I1571" s="345">
        <v>0</v>
      </c>
      <c r="J1571" s="345">
        <v>162</v>
      </c>
      <c r="K1571" s="345">
        <v>891.5</v>
      </c>
      <c r="L1571" s="346"/>
      <c r="M1571" s="346"/>
      <c r="N1571" s="346"/>
      <c r="O1571" s="345"/>
      <c r="P1571" s="345"/>
      <c r="Q1571" s="345"/>
      <c r="R1571" s="345">
        <v>0</v>
      </c>
      <c r="S1571" s="345">
        <v>0</v>
      </c>
      <c r="T1571" s="345">
        <v>0</v>
      </c>
      <c r="U1571" s="345">
        <v>0</v>
      </c>
      <c r="V1571" s="345">
        <v>108</v>
      </c>
      <c r="W1571" s="345">
        <v>836</v>
      </c>
      <c r="X1571" s="345">
        <v>0</v>
      </c>
      <c r="Y1571" s="345">
        <v>130</v>
      </c>
      <c r="Z1571" s="345">
        <v>846.5</v>
      </c>
      <c r="AA1571">
        <f t="shared" si="24"/>
        <v>0</v>
      </c>
    </row>
    <row r="1572" spans="1:27" ht="28.8" x14ac:dyDescent="0.3">
      <c r="A1572" s="345" t="s">
        <v>3230</v>
      </c>
      <c r="B1572" s="805"/>
      <c r="C1572" s="802"/>
      <c r="D1572" s="802"/>
      <c r="E1572" s="803"/>
      <c r="F1572" s="805">
        <v>187.5</v>
      </c>
      <c r="G1572" s="803"/>
      <c r="H1572" s="345">
        <v>939.5</v>
      </c>
      <c r="I1572" s="345">
        <v>0</v>
      </c>
      <c r="J1572" s="345">
        <v>162</v>
      </c>
      <c r="K1572" s="345">
        <v>891.5</v>
      </c>
      <c r="L1572" s="346"/>
      <c r="M1572" s="346"/>
      <c r="N1572" s="346"/>
      <c r="O1572" s="345"/>
      <c r="P1572" s="345"/>
      <c r="Q1572" s="345"/>
      <c r="R1572" s="345">
        <v>0</v>
      </c>
      <c r="S1572" s="345">
        <v>0</v>
      </c>
      <c r="T1572" s="345">
        <v>0</v>
      </c>
      <c r="U1572" s="345">
        <v>0</v>
      </c>
      <c r="V1572" s="345">
        <v>108</v>
      </c>
      <c r="W1572" s="345">
        <v>836</v>
      </c>
      <c r="X1572" s="345">
        <v>0</v>
      </c>
      <c r="Y1572" s="345">
        <v>130</v>
      </c>
      <c r="Z1572" s="345">
        <v>846.5</v>
      </c>
      <c r="AA1572">
        <f t="shared" si="24"/>
        <v>0</v>
      </c>
    </row>
    <row r="1573" spans="1:27" ht="28.8" x14ac:dyDescent="0.3">
      <c r="A1573" s="345" t="s">
        <v>3231</v>
      </c>
      <c r="B1573" s="805"/>
      <c r="C1573" s="802"/>
      <c r="D1573" s="802"/>
      <c r="E1573" s="803"/>
      <c r="F1573" s="805">
        <v>188.5</v>
      </c>
      <c r="G1573" s="803"/>
      <c r="H1573" s="345">
        <v>940.5</v>
      </c>
      <c r="I1573" s="345">
        <v>1.5</v>
      </c>
      <c r="J1573" s="345">
        <v>163.5</v>
      </c>
      <c r="K1573" s="345">
        <v>893</v>
      </c>
      <c r="L1573" s="346"/>
      <c r="M1573" s="346"/>
      <c r="N1573" s="346"/>
      <c r="O1573" s="345"/>
      <c r="P1573" s="345"/>
      <c r="Q1573" s="345"/>
      <c r="R1573" s="345">
        <v>0</v>
      </c>
      <c r="S1573" s="345">
        <v>0</v>
      </c>
      <c r="T1573" s="345">
        <v>0</v>
      </c>
      <c r="U1573" s="345">
        <v>1</v>
      </c>
      <c r="V1573" s="345">
        <v>109</v>
      </c>
      <c r="W1573" s="345">
        <v>837</v>
      </c>
      <c r="X1573" s="345">
        <v>1</v>
      </c>
      <c r="Y1573" s="345">
        <v>131</v>
      </c>
      <c r="Z1573" s="345">
        <v>847.5</v>
      </c>
      <c r="AA1573">
        <f t="shared" si="24"/>
        <v>1.5</v>
      </c>
    </row>
    <row r="1574" spans="1:27" ht="28.8" x14ac:dyDescent="0.3">
      <c r="A1574" s="345" t="s">
        <v>3232</v>
      </c>
      <c r="B1574" s="805"/>
      <c r="C1574" s="802"/>
      <c r="D1574" s="802"/>
      <c r="E1574" s="803"/>
      <c r="F1574" s="805">
        <v>227</v>
      </c>
      <c r="G1574" s="803"/>
      <c r="H1574" s="345">
        <v>979</v>
      </c>
      <c r="I1574" s="345">
        <v>53</v>
      </c>
      <c r="J1574" s="345">
        <v>216.5</v>
      </c>
      <c r="K1574" s="345">
        <v>946</v>
      </c>
      <c r="L1574" s="346"/>
      <c r="M1574" s="346"/>
      <c r="N1574" s="346"/>
      <c r="O1574" s="345"/>
      <c r="P1574" s="345"/>
      <c r="Q1574" s="345"/>
      <c r="R1574" s="345">
        <v>0</v>
      </c>
      <c r="S1574" s="345">
        <v>0</v>
      </c>
      <c r="T1574" s="345">
        <v>0</v>
      </c>
      <c r="U1574" s="345">
        <v>50</v>
      </c>
      <c r="V1574" s="345">
        <v>159</v>
      </c>
      <c r="W1574" s="345">
        <v>887</v>
      </c>
      <c r="X1574" s="345">
        <v>38</v>
      </c>
      <c r="Y1574" s="345">
        <v>169</v>
      </c>
      <c r="Z1574" s="345">
        <v>885.5</v>
      </c>
      <c r="AA1574">
        <f t="shared" si="24"/>
        <v>53</v>
      </c>
    </row>
    <row r="1575" spans="1:27" ht="28.8" x14ac:dyDescent="0.3">
      <c r="A1575" s="345" t="s">
        <v>3233</v>
      </c>
      <c r="B1575" s="805"/>
      <c r="C1575" s="802"/>
      <c r="D1575" s="802"/>
      <c r="E1575" s="803"/>
      <c r="F1575" s="805">
        <v>268.5</v>
      </c>
      <c r="G1575" s="803"/>
      <c r="H1575" s="345">
        <v>1020.5</v>
      </c>
      <c r="I1575" s="345">
        <v>51</v>
      </c>
      <c r="J1575" s="345">
        <v>267.5</v>
      </c>
      <c r="K1575" s="345">
        <v>997</v>
      </c>
      <c r="L1575" s="346"/>
      <c r="M1575" s="346"/>
      <c r="N1575" s="346"/>
      <c r="O1575" s="345"/>
      <c r="P1575" s="345"/>
      <c r="Q1575" s="345"/>
      <c r="R1575" s="345">
        <v>0</v>
      </c>
      <c r="S1575" s="345">
        <v>0</v>
      </c>
      <c r="T1575" s="345">
        <v>0</v>
      </c>
      <c r="U1575" s="345">
        <v>33</v>
      </c>
      <c r="V1575" s="345">
        <v>192</v>
      </c>
      <c r="W1575" s="345">
        <v>920</v>
      </c>
      <c r="X1575" s="345">
        <v>24</v>
      </c>
      <c r="Y1575" s="345">
        <v>193</v>
      </c>
      <c r="Z1575" s="345">
        <v>909.5</v>
      </c>
      <c r="AA1575">
        <f t="shared" si="24"/>
        <v>51</v>
      </c>
    </row>
    <row r="1576" spans="1:27" ht="28.8" x14ac:dyDescent="0.3">
      <c r="A1576" s="345" t="s">
        <v>3234</v>
      </c>
      <c r="B1576" s="805"/>
      <c r="C1576" s="802"/>
      <c r="D1576" s="802"/>
      <c r="E1576" s="803"/>
      <c r="F1576" s="805">
        <v>269.5</v>
      </c>
      <c r="G1576" s="803"/>
      <c r="H1576" s="345">
        <v>1021.5</v>
      </c>
      <c r="I1576" s="345">
        <v>1</v>
      </c>
      <c r="J1576" s="345">
        <v>268.5</v>
      </c>
      <c r="K1576" s="345">
        <v>998</v>
      </c>
      <c r="L1576" s="346"/>
      <c r="M1576" s="346"/>
      <c r="N1576" s="346"/>
      <c r="O1576" s="345"/>
      <c r="P1576" s="345"/>
      <c r="Q1576" s="345"/>
      <c r="R1576" s="345">
        <v>0</v>
      </c>
      <c r="S1576" s="345">
        <v>0</v>
      </c>
      <c r="T1576" s="345">
        <v>0</v>
      </c>
      <c r="U1576" s="345">
        <v>0.5</v>
      </c>
      <c r="V1576" s="345">
        <v>192.5</v>
      </c>
      <c r="W1576" s="345">
        <v>920.5</v>
      </c>
      <c r="X1576" s="345">
        <v>0.5</v>
      </c>
      <c r="Y1576" s="345">
        <v>193.5</v>
      </c>
      <c r="Z1576" s="345">
        <v>910</v>
      </c>
      <c r="AA1576">
        <f t="shared" si="24"/>
        <v>1</v>
      </c>
    </row>
    <row r="1577" spans="1:27" ht="28.8" x14ac:dyDescent="0.3">
      <c r="A1577" s="345" t="s">
        <v>3235</v>
      </c>
      <c r="B1577" s="805"/>
      <c r="C1577" s="802"/>
      <c r="D1577" s="802"/>
      <c r="E1577" s="803"/>
      <c r="F1577" s="805">
        <v>328.5</v>
      </c>
      <c r="G1577" s="803"/>
      <c r="H1577" s="345">
        <v>1080.5</v>
      </c>
      <c r="I1577" s="345">
        <v>57</v>
      </c>
      <c r="J1577" s="345">
        <v>325.5</v>
      </c>
      <c r="K1577" s="345">
        <v>1055</v>
      </c>
      <c r="L1577" s="346"/>
      <c r="M1577" s="346"/>
      <c r="N1577" s="346"/>
      <c r="O1577" s="345"/>
      <c r="P1577" s="345"/>
      <c r="Q1577" s="345"/>
      <c r="R1577" s="345"/>
      <c r="S1577" s="345"/>
      <c r="T1577" s="345"/>
      <c r="U1577" s="345">
        <v>78.5</v>
      </c>
      <c r="V1577" s="345">
        <v>271</v>
      </c>
      <c r="W1577" s="345">
        <v>999</v>
      </c>
      <c r="X1577" s="345">
        <v>53.5</v>
      </c>
      <c r="Y1577" s="345">
        <v>247</v>
      </c>
      <c r="Z1577" s="345">
        <v>963.5</v>
      </c>
      <c r="AA1577">
        <f t="shared" si="24"/>
        <v>57</v>
      </c>
    </row>
    <row r="1578" spans="1:27" ht="28.8" x14ac:dyDescent="0.3">
      <c r="A1578" s="345" t="s">
        <v>3236</v>
      </c>
      <c r="B1578" s="805"/>
      <c r="C1578" s="802"/>
      <c r="D1578" s="802"/>
      <c r="E1578" s="803"/>
      <c r="F1578" s="805">
        <v>328.5</v>
      </c>
      <c r="G1578" s="803"/>
      <c r="H1578" s="345">
        <v>1080.5</v>
      </c>
      <c r="I1578" s="345">
        <v>0.5</v>
      </c>
      <c r="J1578" s="345">
        <v>326</v>
      </c>
      <c r="K1578" s="345">
        <v>1055.5</v>
      </c>
      <c r="L1578" s="346"/>
      <c r="M1578" s="346"/>
      <c r="N1578" s="346"/>
      <c r="O1578" s="345"/>
      <c r="P1578" s="345"/>
      <c r="Q1578" s="345"/>
      <c r="R1578" s="345"/>
      <c r="S1578" s="345"/>
      <c r="T1578" s="345"/>
      <c r="U1578" s="345">
        <v>0</v>
      </c>
      <c r="V1578" s="345">
        <v>271</v>
      </c>
      <c r="W1578" s="345">
        <v>999</v>
      </c>
      <c r="X1578" s="345">
        <v>0</v>
      </c>
      <c r="Y1578" s="345">
        <v>247</v>
      </c>
      <c r="Z1578" s="345">
        <v>963.5</v>
      </c>
      <c r="AA1578">
        <f t="shared" si="24"/>
        <v>0.5</v>
      </c>
    </row>
    <row r="1579" spans="1:27" ht="28.8" x14ac:dyDescent="0.3">
      <c r="A1579" s="345" t="s">
        <v>3237</v>
      </c>
      <c r="B1579" s="805"/>
      <c r="C1579" s="802"/>
      <c r="D1579" s="802"/>
      <c r="E1579" s="803"/>
      <c r="F1579" s="805">
        <v>377.5</v>
      </c>
      <c r="G1579" s="803"/>
      <c r="H1579" s="345">
        <v>1129.5</v>
      </c>
      <c r="I1579" s="345">
        <v>62</v>
      </c>
      <c r="J1579" s="345">
        <v>388</v>
      </c>
      <c r="K1579" s="345">
        <v>1117.5</v>
      </c>
      <c r="L1579" s="346"/>
      <c r="M1579" s="346"/>
      <c r="N1579" s="346"/>
      <c r="O1579" s="345"/>
      <c r="P1579" s="345"/>
      <c r="Q1579" s="345"/>
      <c r="R1579" s="345"/>
      <c r="S1579" s="345"/>
      <c r="T1579" s="345"/>
      <c r="U1579" s="345">
        <v>61.5</v>
      </c>
      <c r="V1579" s="345">
        <v>332.5</v>
      </c>
      <c r="W1579" s="345">
        <v>1060.5</v>
      </c>
      <c r="X1579" s="345">
        <v>36</v>
      </c>
      <c r="Y1579" s="345">
        <v>283</v>
      </c>
      <c r="Z1579" s="345">
        <v>999.5</v>
      </c>
      <c r="AA1579">
        <f t="shared" si="24"/>
        <v>62</v>
      </c>
    </row>
    <row r="1580" spans="1:27" ht="28.8" x14ac:dyDescent="0.3">
      <c r="A1580" s="345" t="s">
        <v>3238</v>
      </c>
      <c r="B1580" s="805"/>
      <c r="C1580" s="802"/>
      <c r="D1580" s="802"/>
      <c r="E1580" s="803"/>
      <c r="F1580" s="805">
        <v>380</v>
      </c>
      <c r="G1580" s="803"/>
      <c r="H1580" s="345">
        <v>1132</v>
      </c>
      <c r="I1580" s="345">
        <v>3.5</v>
      </c>
      <c r="J1580" s="345">
        <v>391.5</v>
      </c>
      <c r="K1580" s="345">
        <v>1121</v>
      </c>
      <c r="L1580" s="346"/>
      <c r="M1580" s="346"/>
      <c r="N1580" s="346"/>
      <c r="O1580" s="345"/>
      <c r="P1580" s="345"/>
      <c r="Q1580" s="345"/>
      <c r="R1580" s="345"/>
      <c r="S1580" s="345"/>
      <c r="T1580" s="345"/>
      <c r="U1580" s="345">
        <v>2.5</v>
      </c>
      <c r="V1580" s="345">
        <v>335</v>
      </c>
      <c r="W1580" s="345">
        <v>1063</v>
      </c>
      <c r="X1580" s="345">
        <v>2.5</v>
      </c>
      <c r="Y1580" s="345">
        <v>285.5</v>
      </c>
      <c r="Z1580" s="345">
        <v>1002</v>
      </c>
      <c r="AA1580">
        <f t="shared" si="24"/>
        <v>3.5</v>
      </c>
    </row>
    <row r="1581" spans="1:27" ht="28.8" x14ac:dyDescent="0.3">
      <c r="A1581" s="345" t="s">
        <v>3239</v>
      </c>
      <c r="B1581" s="805"/>
      <c r="C1581" s="802"/>
      <c r="D1581" s="802"/>
      <c r="E1581" s="803"/>
      <c r="F1581" s="805">
        <v>380</v>
      </c>
      <c r="G1581" s="803"/>
      <c r="H1581" s="345">
        <v>1132</v>
      </c>
      <c r="I1581" s="345">
        <v>0</v>
      </c>
      <c r="J1581" s="345">
        <v>391.5</v>
      </c>
      <c r="K1581" s="345">
        <v>1121</v>
      </c>
      <c r="L1581" s="346"/>
      <c r="M1581" s="346"/>
      <c r="N1581" s="346"/>
      <c r="O1581" s="345"/>
      <c r="P1581" s="345"/>
      <c r="Q1581" s="345"/>
      <c r="R1581" s="345"/>
      <c r="S1581" s="345"/>
      <c r="T1581" s="345"/>
      <c r="U1581" s="345">
        <v>0</v>
      </c>
      <c r="V1581" s="345">
        <v>335</v>
      </c>
      <c r="W1581" s="345">
        <v>1063</v>
      </c>
      <c r="X1581" s="345">
        <v>0</v>
      </c>
      <c r="Y1581" s="345">
        <v>285.5</v>
      </c>
      <c r="Z1581" s="345">
        <v>1002</v>
      </c>
      <c r="AA1581">
        <f t="shared" si="24"/>
        <v>0</v>
      </c>
    </row>
    <row r="1582" spans="1:27" ht="28.8" x14ac:dyDescent="0.3">
      <c r="A1582" s="345" t="s">
        <v>3240</v>
      </c>
      <c r="B1582" s="805"/>
      <c r="C1582" s="802"/>
      <c r="D1582" s="802"/>
      <c r="E1582" s="803"/>
      <c r="F1582" s="805">
        <v>381</v>
      </c>
      <c r="G1582" s="803"/>
      <c r="H1582" s="345">
        <v>1133</v>
      </c>
      <c r="I1582" s="345">
        <v>1</v>
      </c>
      <c r="J1582" s="345">
        <v>392.5</v>
      </c>
      <c r="K1582" s="345">
        <v>1122</v>
      </c>
      <c r="L1582" s="346"/>
      <c r="M1582" s="346"/>
      <c r="N1582" s="346"/>
      <c r="O1582" s="345"/>
      <c r="P1582" s="345"/>
      <c r="Q1582" s="345"/>
      <c r="R1582" s="345"/>
      <c r="S1582" s="345"/>
      <c r="T1582" s="345"/>
      <c r="U1582" s="345">
        <v>0.5</v>
      </c>
      <c r="V1582" s="345">
        <v>335.5</v>
      </c>
      <c r="W1582" s="345">
        <v>1063.5</v>
      </c>
      <c r="X1582" s="345">
        <v>0.5</v>
      </c>
      <c r="Y1582" s="345">
        <v>286</v>
      </c>
      <c r="Z1582" s="345">
        <v>1002.5</v>
      </c>
      <c r="AA1582">
        <f t="shared" si="24"/>
        <v>1</v>
      </c>
    </row>
    <row r="1583" spans="1:27" s="362" customFormat="1" ht="28.8" x14ac:dyDescent="0.3">
      <c r="A1583" s="359" t="s">
        <v>3241</v>
      </c>
      <c r="B1583" s="811"/>
      <c r="C1583" s="812"/>
      <c r="D1583" s="812"/>
      <c r="E1583" s="813"/>
      <c r="F1583" s="811">
        <v>390.5</v>
      </c>
      <c r="G1583" s="813"/>
      <c r="H1583" s="359">
        <v>1142.5</v>
      </c>
      <c r="I1583" s="359">
        <v>8</v>
      </c>
      <c r="J1583" s="359">
        <v>400.5</v>
      </c>
      <c r="K1583" s="359">
        <v>1130</v>
      </c>
      <c r="L1583" s="359"/>
      <c r="M1583" s="359"/>
      <c r="N1583" s="359"/>
      <c r="O1583" s="359"/>
      <c r="P1583" s="359"/>
      <c r="Q1583" s="359"/>
      <c r="R1583" s="359">
        <v>0</v>
      </c>
      <c r="S1583" s="359">
        <v>0</v>
      </c>
      <c r="T1583" s="359">
        <v>0</v>
      </c>
      <c r="U1583" s="359">
        <v>9</v>
      </c>
      <c r="V1583" s="359">
        <v>344.5</v>
      </c>
      <c r="W1583" s="359">
        <v>1072.5</v>
      </c>
      <c r="X1583" s="359">
        <v>9</v>
      </c>
      <c r="Y1583" s="359">
        <v>295</v>
      </c>
      <c r="Z1583" s="359">
        <v>1011.5</v>
      </c>
      <c r="AA1583" s="362">
        <f t="shared" si="24"/>
        <v>8</v>
      </c>
    </row>
    <row r="1584" spans="1:27" ht="28.8" x14ac:dyDescent="0.3">
      <c r="A1584" s="345" t="s">
        <v>3242</v>
      </c>
      <c r="B1584" s="805"/>
      <c r="C1584" s="802"/>
      <c r="D1584" s="802"/>
      <c r="E1584" s="803"/>
      <c r="F1584" s="805">
        <v>0</v>
      </c>
      <c r="G1584" s="803"/>
      <c r="H1584" s="345">
        <v>1142.5</v>
      </c>
      <c r="I1584" s="345">
        <v>0</v>
      </c>
      <c r="J1584" s="345">
        <v>0</v>
      </c>
      <c r="K1584" s="345">
        <v>1130</v>
      </c>
      <c r="L1584" s="346"/>
      <c r="M1584" s="346"/>
      <c r="N1584" s="346"/>
      <c r="O1584" s="345"/>
      <c r="P1584" s="345"/>
      <c r="Q1584" s="345"/>
      <c r="R1584" s="345">
        <v>0</v>
      </c>
      <c r="S1584" s="345">
        <v>0</v>
      </c>
      <c r="T1584" s="345">
        <v>0</v>
      </c>
      <c r="U1584" s="345">
        <v>0</v>
      </c>
      <c r="V1584" s="345">
        <v>0</v>
      </c>
      <c r="W1584" s="345">
        <v>1072.5</v>
      </c>
      <c r="X1584" s="345">
        <v>0</v>
      </c>
      <c r="Y1584" s="345">
        <v>0</v>
      </c>
      <c r="Z1584" s="345">
        <v>1011.5</v>
      </c>
      <c r="AA1584">
        <f t="shared" si="24"/>
        <v>0</v>
      </c>
    </row>
    <row r="1585" spans="1:27" ht="28.8" x14ac:dyDescent="0.3">
      <c r="A1585" s="345" t="s">
        <v>3243</v>
      </c>
      <c r="B1585" s="805"/>
      <c r="C1585" s="802"/>
      <c r="D1585" s="802"/>
      <c r="E1585" s="803"/>
      <c r="F1585" s="805">
        <v>0</v>
      </c>
      <c r="G1585" s="803"/>
      <c r="H1585" s="345">
        <v>1142.5</v>
      </c>
      <c r="I1585" s="345">
        <v>0</v>
      </c>
      <c r="J1585" s="345">
        <v>0</v>
      </c>
      <c r="K1585" s="345">
        <v>1130</v>
      </c>
      <c r="L1585" s="346"/>
      <c r="M1585" s="346"/>
      <c r="N1585" s="346"/>
      <c r="O1585" s="345"/>
      <c r="P1585" s="345"/>
      <c r="Q1585" s="345"/>
      <c r="R1585" s="345">
        <v>0</v>
      </c>
      <c r="S1585" s="345">
        <v>0</v>
      </c>
      <c r="T1585" s="345">
        <v>0</v>
      </c>
      <c r="U1585" s="345">
        <v>0</v>
      </c>
      <c r="V1585" s="345">
        <v>0</v>
      </c>
      <c r="W1585" s="345">
        <v>1072.5</v>
      </c>
      <c r="X1585" s="345">
        <v>0</v>
      </c>
      <c r="Y1585" s="345">
        <v>0</v>
      </c>
      <c r="Z1585" s="345">
        <v>1011.5</v>
      </c>
      <c r="AA1585">
        <f t="shared" si="24"/>
        <v>0</v>
      </c>
    </row>
    <row r="1586" spans="1:27" ht="28.8" x14ac:dyDescent="0.3">
      <c r="A1586" s="345" t="s">
        <v>3244</v>
      </c>
      <c r="B1586" s="805"/>
      <c r="C1586" s="802"/>
      <c r="D1586" s="802"/>
      <c r="E1586" s="803"/>
      <c r="F1586" s="805">
        <v>0</v>
      </c>
      <c r="G1586" s="803"/>
      <c r="H1586" s="345">
        <v>1142.5</v>
      </c>
      <c r="I1586" s="345">
        <v>0</v>
      </c>
      <c r="J1586" s="345">
        <v>0</v>
      </c>
      <c r="K1586" s="345">
        <v>1130</v>
      </c>
      <c r="L1586" s="346"/>
      <c r="M1586" s="346"/>
      <c r="N1586" s="346"/>
      <c r="O1586" s="345"/>
      <c r="P1586" s="345"/>
      <c r="Q1586" s="345"/>
      <c r="R1586" s="345">
        <v>0</v>
      </c>
      <c r="S1586" s="345">
        <v>0</v>
      </c>
      <c r="T1586" s="345">
        <v>0</v>
      </c>
      <c r="U1586" s="345">
        <v>0</v>
      </c>
      <c r="V1586" s="345">
        <v>0</v>
      </c>
      <c r="W1586" s="345">
        <v>1072.5</v>
      </c>
      <c r="X1586" s="345">
        <v>0</v>
      </c>
      <c r="Y1586" s="345">
        <v>0</v>
      </c>
      <c r="Z1586" s="345">
        <v>1011.5</v>
      </c>
      <c r="AA1586">
        <f t="shared" si="24"/>
        <v>0</v>
      </c>
    </row>
    <row r="1587" spans="1:27" ht="28.8" x14ac:dyDescent="0.3">
      <c r="A1587" s="345" t="s">
        <v>3245</v>
      </c>
      <c r="B1587" s="805"/>
      <c r="C1587" s="802"/>
      <c r="D1587" s="802"/>
      <c r="E1587" s="803"/>
      <c r="F1587" s="805">
        <v>1</v>
      </c>
      <c r="G1587" s="803"/>
      <c r="H1587" s="345">
        <v>1143.5</v>
      </c>
      <c r="I1587" s="345">
        <v>1.5</v>
      </c>
      <c r="J1587" s="345">
        <v>1.5</v>
      </c>
      <c r="K1587" s="345">
        <v>1131.5</v>
      </c>
      <c r="L1587" s="346"/>
      <c r="M1587" s="346"/>
      <c r="N1587" s="346"/>
      <c r="O1587" s="345"/>
      <c r="P1587" s="345"/>
      <c r="Q1587" s="345"/>
      <c r="R1587" s="345">
        <v>0</v>
      </c>
      <c r="S1587" s="345">
        <v>0</v>
      </c>
      <c r="T1587" s="345">
        <v>0</v>
      </c>
      <c r="U1587" s="345">
        <v>0.5</v>
      </c>
      <c r="V1587" s="345">
        <v>0.5</v>
      </c>
      <c r="W1587" s="345">
        <v>1073</v>
      </c>
      <c r="X1587" s="345">
        <v>1</v>
      </c>
      <c r="Y1587" s="345">
        <v>1</v>
      </c>
      <c r="Z1587" s="345">
        <v>1012.5</v>
      </c>
      <c r="AA1587">
        <f t="shared" si="24"/>
        <v>1.5</v>
      </c>
    </row>
    <row r="1588" spans="1:27" ht="28.8" x14ac:dyDescent="0.3">
      <c r="A1588" s="345" t="s">
        <v>3246</v>
      </c>
      <c r="B1588" s="805"/>
      <c r="C1588" s="802"/>
      <c r="D1588" s="802"/>
      <c r="E1588" s="803"/>
      <c r="F1588" s="805">
        <v>7</v>
      </c>
      <c r="G1588" s="803"/>
      <c r="H1588" s="345">
        <v>1149.5</v>
      </c>
      <c r="I1588" s="345">
        <v>6.5</v>
      </c>
      <c r="J1588" s="345">
        <v>8</v>
      </c>
      <c r="K1588" s="345">
        <v>1138</v>
      </c>
      <c r="L1588" s="346"/>
      <c r="M1588" s="346"/>
      <c r="N1588" s="346"/>
      <c r="O1588" s="345"/>
      <c r="P1588" s="345"/>
      <c r="Q1588" s="345"/>
      <c r="R1588" s="345">
        <v>0</v>
      </c>
      <c r="S1588" s="345">
        <v>0</v>
      </c>
      <c r="T1588" s="345">
        <v>0</v>
      </c>
      <c r="U1588" s="345">
        <v>6.5</v>
      </c>
      <c r="V1588" s="345">
        <v>7</v>
      </c>
      <c r="W1588" s="345">
        <v>1079.5</v>
      </c>
      <c r="X1588" s="345">
        <v>6</v>
      </c>
      <c r="Y1588" s="345">
        <v>7</v>
      </c>
      <c r="Z1588" s="345">
        <v>1018.5</v>
      </c>
      <c r="AA1588">
        <f t="shared" si="24"/>
        <v>6.5</v>
      </c>
    </row>
    <row r="1589" spans="1:27" ht="28.8" x14ac:dyDescent="0.3">
      <c r="A1589" s="345" t="s">
        <v>3247</v>
      </c>
      <c r="B1589" s="805"/>
      <c r="C1589" s="802"/>
      <c r="D1589" s="802"/>
      <c r="E1589" s="803"/>
      <c r="F1589" s="805">
        <v>43</v>
      </c>
      <c r="G1589" s="803"/>
      <c r="H1589" s="345">
        <v>1185.5</v>
      </c>
      <c r="I1589" s="345">
        <v>26</v>
      </c>
      <c r="J1589" s="345">
        <v>34</v>
      </c>
      <c r="K1589" s="345">
        <v>1164</v>
      </c>
      <c r="L1589" s="346"/>
      <c r="M1589" s="346"/>
      <c r="N1589" s="346"/>
      <c r="O1589" s="345"/>
      <c r="P1589" s="345"/>
      <c r="Q1589" s="345"/>
      <c r="R1589" s="345">
        <v>0</v>
      </c>
      <c r="S1589" s="345">
        <v>0</v>
      </c>
      <c r="T1589" s="345">
        <v>0</v>
      </c>
      <c r="U1589" s="345">
        <v>28.5</v>
      </c>
      <c r="V1589" s="345">
        <v>35.5</v>
      </c>
      <c r="W1589" s="345">
        <v>1108</v>
      </c>
      <c r="X1589" s="345">
        <v>29</v>
      </c>
      <c r="Y1589" s="345">
        <v>36</v>
      </c>
      <c r="Z1589" s="345">
        <v>1047.5</v>
      </c>
      <c r="AA1589">
        <f t="shared" si="24"/>
        <v>26</v>
      </c>
    </row>
    <row r="1590" spans="1:27" ht="28.8" x14ac:dyDescent="0.3">
      <c r="A1590" s="345" t="s">
        <v>3248</v>
      </c>
      <c r="B1590" s="805"/>
      <c r="C1590" s="802"/>
      <c r="D1590" s="802"/>
      <c r="E1590" s="803"/>
      <c r="F1590" s="805">
        <v>48.5</v>
      </c>
      <c r="G1590" s="803"/>
      <c r="H1590" s="345">
        <v>1191</v>
      </c>
      <c r="I1590" s="345">
        <v>3.5</v>
      </c>
      <c r="J1590" s="345">
        <v>37.5</v>
      </c>
      <c r="K1590" s="345">
        <v>1167.5</v>
      </c>
      <c r="L1590" s="346"/>
      <c r="M1590" s="346"/>
      <c r="N1590" s="346"/>
      <c r="O1590" s="345"/>
      <c r="P1590" s="345"/>
      <c r="Q1590" s="345"/>
      <c r="R1590" s="345">
        <v>0</v>
      </c>
      <c r="S1590" s="345">
        <v>0</v>
      </c>
      <c r="T1590" s="345">
        <v>0</v>
      </c>
      <c r="U1590" s="345">
        <v>5</v>
      </c>
      <c r="V1590" s="345">
        <v>40.5</v>
      </c>
      <c r="W1590" s="345">
        <v>1113</v>
      </c>
      <c r="X1590" s="345">
        <v>5</v>
      </c>
      <c r="Y1590" s="345">
        <v>41</v>
      </c>
      <c r="Z1590" s="345">
        <v>1052.5</v>
      </c>
      <c r="AA1590">
        <f t="shared" si="24"/>
        <v>3.5</v>
      </c>
    </row>
    <row r="1591" spans="1:27" ht="28.8" x14ac:dyDescent="0.3">
      <c r="A1591" s="345" t="s">
        <v>3249</v>
      </c>
      <c r="B1591" s="805"/>
      <c r="C1591" s="802"/>
      <c r="D1591" s="802"/>
      <c r="E1591" s="803"/>
      <c r="F1591" s="805">
        <v>51.5</v>
      </c>
      <c r="G1591" s="803"/>
      <c r="H1591" s="345">
        <v>1194</v>
      </c>
      <c r="I1591" s="345">
        <v>2.5</v>
      </c>
      <c r="J1591" s="345">
        <v>40</v>
      </c>
      <c r="K1591" s="345">
        <v>1170</v>
      </c>
      <c r="L1591" s="346"/>
      <c r="M1591" s="346"/>
      <c r="N1591" s="346"/>
      <c r="O1591" s="345"/>
      <c r="P1591" s="345"/>
      <c r="Q1591" s="345"/>
      <c r="R1591" s="345">
        <v>0</v>
      </c>
      <c r="S1591" s="345">
        <v>0</v>
      </c>
      <c r="T1591" s="345">
        <v>0</v>
      </c>
      <c r="U1591" s="345">
        <v>3.5</v>
      </c>
      <c r="V1591" s="345">
        <v>44</v>
      </c>
      <c r="W1591" s="345">
        <v>1116.5</v>
      </c>
      <c r="X1591" s="345">
        <v>3</v>
      </c>
      <c r="Y1591" s="345">
        <v>44</v>
      </c>
      <c r="Z1591" s="345">
        <v>1055.5</v>
      </c>
      <c r="AA1591">
        <f t="shared" si="24"/>
        <v>2.5</v>
      </c>
    </row>
    <row r="1592" spans="1:27" ht="28.8" x14ac:dyDescent="0.3">
      <c r="A1592" s="345" t="s">
        <v>3250</v>
      </c>
      <c r="B1592" s="805"/>
      <c r="C1592" s="802"/>
      <c r="D1592" s="802"/>
      <c r="E1592" s="803"/>
      <c r="F1592" s="805">
        <v>63</v>
      </c>
      <c r="G1592" s="803"/>
      <c r="H1592" s="345">
        <v>1205.5</v>
      </c>
      <c r="I1592" s="345">
        <v>9.5</v>
      </c>
      <c r="J1592" s="345">
        <v>49.5</v>
      </c>
      <c r="K1592" s="345">
        <v>1179.5</v>
      </c>
      <c r="L1592" s="346"/>
      <c r="M1592" s="346"/>
      <c r="N1592" s="346"/>
      <c r="O1592" s="345"/>
      <c r="P1592" s="345"/>
      <c r="Q1592" s="345"/>
      <c r="R1592" s="345">
        <v>0</v>
      </c>
      <c r="S1592" s="345">
        <v>0</v>
      </c>
      <c r="T1592" s="345">
        <v>0</v>
      </c>
      <c r="U1592" s="345">
        <v>11</v>
      </c>
      <c r="V1592" s="345">
        <v>55</v>
      </c>
      <c r="W1592" s="345">
        <v>1127.5</v>
      </c>
      <c r="X1592" s="345">
        <v>10</v>
      </c>
      <c r="Y1592" s="345">
        <v>54</v>
      </c>
      <c r="Z1592" s="345">
        <v>1065.5</v>
      </c>
      <c r="AA1592">
        <f t="shared" si="24"/>
        <v>9.5</v>
      </c>
    </row>
    <row r="1593" spans="1:27" ht="28.8" x14ac:dyDescent="0.3">
      <c r="A1593" s="345" t="s">
        <v>3251</v>
      </c>
      <c r="B1593" s="805"/>
      <c r="C1593" s="802"/>
      <c r="D1593" s="802"/>
      <c r="E1593" s="803"/>
      <c r="F1593" s="805">
        <v>66</v>
      </c>
      <c r="G1593" s="803"/>
      <c r="H1593" s="345">
        <v>1208.5</v>
      </c>
      <c r="I1593" s="345">
        <v>3.5</v>
      </c>
      <c r="J1593" s="345">
        <v>53</v>
      </c>
      <c r="K1593" s="345">
        <v>1183</v>
      </c>
      <c r="L1593" s="346"/>
      <c r="M1593" s="346"/>
      <c r="N1593" s="346"/>
      <c r="O1593" s="345"/>
      <c r="P1593" s="345"/>
      <c r="Q1593" s="345"/>
      <c r="R1593" s="345"/>
      <c r="S1593" s="345"/>
      <c r="T1593" s="345"/>
      <c r="U1593" s="345">
        <v>3.5</v>
      </c>
      <c r="V1593" s="345">
        <v>58.5</v>
      </c>
      <c r="W1593" s="345">
        <v>1131</v>
      </c>
      <c r="X1593" s="345">
        <v>4</v>
      </c>
      <c r="Y1593" s="345">
        <v>58</v>
      </c>
      <c r="Z1593" s="345">
        <v>1069.5</v>
      </c>
      <c r="AA1593">
        <f t="shared" si="24"/>
        <v>3.5</v>
      </c>
    </row>
    <row r="1594" spans="1:27" ht="28.8" x14ac:dyDescent="0.3">
      <c r="A1594" s="345" t="s">
        <v>3252</v>
      </c>
      <c r="B1594" s="805"/>
      <c r="C1594" s="802"/>
      <c r="D1594" s="802"/>
      <c r="E1594" s="803"/>
      <c r="F1594" s="805">
        <v>68</v>
      </c>
      <c r="G1594" s="803"/>
      <c r="H1594" s="345">
        <v>1210.5</v>
      </c>
      <c r="I1594" s="345">
        <v>2</v>
      </c>
      <c r="J1594" s="345">
        <v>55</v>
      </c>
      <c r="K1594" s="345">
        <v>1185</v>
      </c>
      <c r="L1594" s="346"/>
      <c r="M1594" s="346"/>
      <c r="N1594" s="346"/>
      <c r="O1594" s="345"/>
      <c r="P1594" s="345"/>
      <c r="Q1594" s="345"/>
      <c r="R1594" s="345"/>
      <c r="S1594" s="345"/>
      <c r="T1594" s="345"/>
      <c r="U1594" s="345">
        <v>2</v>
      </c>
      <c r="V1594" s="345">
        <v>60.5</v>
      </c>
      <c r="W1594" s="345">
        <v>1133</v>
      </c>
      <c r="X1594" s="345">
        <v>2.5</v>
      </c>
      <c r="Y1594" s="345">
        <v>60.5</v>
      </c>
      <c r="Z1594" s="345">
        <v>1072</v>
      </c>
      <c r="AA1594">
        <f t="shared" si="24"/>
        <v>2</v>
      </c>
    </row>
    <row r="1595" spans="1:27" ht="28.8" x14ac:dyDescent="0.3">
      <c r="A1595" s="345" t="s">
        <v>3253</v>
      </c>
      <c r="B1595" s="805"/>
      <c r="C1595" s="802"/>
      <c r="D1595" s="802"/>
      <c r="E1595" s="803"/>
      <c r="F1595" s="805">
        <v>70</v>
      </c>
      <c r="G1595" s="803"/>
      <c r="H1595" s="345">
        <v>1212.5</v>
      </c>
      <c r="I1595" s="345">
        <v>2</v>
      </c>
      <c r="J1595" s="345">
        <v>57</v>
      </c>
      <c r="K1595" s="345">
        <v>1187</v>
      </c>
      <c r="L1595" s="346"/>
      <c r="M1595" s="346"/>
      <c r="N1595" s="346"/>
      <c r="O1595" s="345"/>
      <c r="P1595" s="345"/>
      <c r="Q1595" s="345"/>
      <c r="R1595" s="345"/>
      <c r="S1595" s="345"/>
      <c r="T1595" s="345"/>
      <c r="U1595" s="345">
        <v>0.5</v>
      </c>
      <c r="V1595" s="345">
        <v>61</v>
      </c>
      <c r="W1595" s="345">
        <v>1133.5</v>
      </c>
      <c r="X1595" s="345">
        <v>1</v>
      </c>
      <c r="Y1595" s="345">
        <v>61.5</v>
      </c>
      <c r="Z1595" s="345">
        <v>1073</v>
      </c>
      <c r="AA1595">
        <f t="shared" si="24"/>
        <v>2</v>
      </c>
    </row>
    <row r="1596" spans="1:27" ht="28.8" x14ac:dyDescent="0.3">
      <c r="A1596" s="345" t="s">
        <v>3254</v>
      </c>
      <c r="B1596" s="805"/>
      <c r="C1596" s="802"/>
      <c r="D1596" s="802"/>
      <c r="E1596" s="803"/>
      <c r="F1596" s="805">
        <v>72</v>
      </c>
      <c r="G1596" s="803"/>
      <c r="H1596" s="345">
        <v>1214.5</v>
      </c>
      <c r="I1596" s="345">
        <v>2</v>
      </c>
      <c r="J1596" s="345">
        <v>59</v>
      </c>
      <c r="K1596" s="345">
        <v>1189</v>
      </c>
      <c r="L1596" s="346"/>
      <c r="M1596" s="346"/>
      <c r="N1596" s="346"/>
      <c r="O1596" s="345"/>
      <c r="P1596" s="345"/>
      <c r="Q1596" s="345"/>
      <c r="R1596" s="345"/>
      <c r="S1596" s="345"/>
      <c r="T1596" s="345"/>
      <c r="U1596" s="345">
        <v>2</v>
      </c>
      <c r="V1596" s="345">
        <v>63</v>
      </c>
      <c r="W1596" s="345">
        <v>1135.5</v>
      </c>
      <c r="X1596" s="345">
        <v>2</v>
      </c>
      <c r="Y1596" s="345">
        <v>63.5</v>
      </c>
      <c r="Z1596" s="345">
        <v>1075</v>
      </c>
      <c r="AA1596">
        <f t="shared" si="24"/>
        <v>2</v>
      </c>
    </row>
    <row r="1597" spans="1:27" ht="28.8" x14ac:dyDescent="0.3">
      <c r="A1597" s="345" t="s">
        <v>3255</v>
      </c>
      <c r="B1597" s="805"/>
      <c r="C1597" s="802"/>
      <c r="D1597" s="802"/>
      <c r="E1597" s="803"/>
      <c r="F1597" s="805">
        <v>90.5</v>
      </c>
      <c r="G1597" s="803"/>
      <c r="H1597" s="345">
        <v>1233</v>
      </c>
      <c r="I1597" s="345">
        <v>27</v>
      </c>
      <c r="J1597" s="345">
        <v>86</v>
      </c>
      <c r="K1597" s="345">
        <v>1216</v>
      </c>
      <c r="L1597" s="346"/>
      <c r="M1597" s="346"/>
      <c r="N1597" s="346"/>
      <c r="O1597" s="345"/>
      <c r="P1597" s="345"/>
      <c r="Q1597" s="345"/>
      <c r="R1597" s="345">
        <v>0</v>
      </c>
      <c r="S1597" s="345">
        <v>0</v>
      </c>
      <c r="T1597" s="345">
        <v>0</v>
      </c>
      <c r="U1597" s="345">
        <v>18</v>
      </c>
      <c r="V1597" s="345">
        <v>81</v>
      </c>
      <c r="W1597" s="345">
        <v>1153.5</v>
      </c>
      <c r="X1597" s="345">
        <v>17</v>
      </c>
      <c r="Y1597" s="345">
        <v>80.5</v>
      </c>
      <c r="Z1597" s="345">
        <v>1092</v>
      </c>
      <c r="AA1597">
        <f t="shared" si="24"/>
        <v>27</v>
      </c>
    </row>
    <row r="1598" spans="1:27" ht="28.8" x14ac:dyDescent="0.3">
      <c r="A1598" s="345" t="s">
        <v>3256</v>
      </c>
      <c r="B1598" s="805"/>
      <c r="C1598" s="802"/>
      <c r="D1598" s="802"/>
      <c r="E1598" s="803"/>
      <c r="F1598" s="805">
        <v>92.5</v>
      </c>
      <c r="G1598" s="803"/>
      <c r="H1598" s="345">
        <v>1235</v>
      </c>
      <c r="I1598" s="345">
        <v>1.5</v>
      </c>
      <c r="J1598" s="345">
        <v>87.5</v>
      </c>
      <c r="K1598" s="345">
        <v>1217.5</v>
      </c>
      <c r="L1598" s="346"/>
      <c r="M1598" s="346"/>
      <c r="N1598" s="346"/>
      <c r="O1598" s="345"/>
      <c r="P1598" s="345"/>
      <c r="Q1598" s="345"/>
      <c r="R1598" s="345">
        <v>0</v>
      </c>
      <c r="S1598" s="345">
        <v>0</v>
      </c>
      <c r="T1598" s="345">
        <v>0</v>
      </c>
      <c r="U1598" s="345">
        <v>1.5</v>
      </c>
      <c r="V1598" s="345">
        <v>82.5</v>
      </c>
      <c r="W1598" s="345">
        <v>1155</v>
      </c>
      <c r="X1598" s="345">
        <v>1.5</v>
      </c>
      <c r="Y1598" s="345">
        <v>82</v>
      </c>
      <c r="Z1598" s="345">
        <v>1093.5</v>
      </c>
      <c r="AA1598">
        <f t="shared" si="24"/>
        <v>1.5</v>
      </c>
    </row>
    <row r="1599" spans="1:27" ht="28.8" x14ac:dyDescent="0.3">
      <c r="A1599" s="345" t="s">
        <v>3257</v>
      </c>
      <c r="B1599" s="805"/>
      <c r="C1599" s="802"/>
      <c r="D1599" s="802"/>
      <c r="E1599" s="803"/>
      <c r="F1599" s="805">
        <v>92.5</v>
      </c>
      <c r="G1599" s="803"/>
      <c r="H1599" s="345">
        <v>1235</v>
      </c>
      <c r="I1599" s="345">
        <v>0</v>
      </c>
      <c r="J1599" s="345">
        <v>87.5</v>
      </c>
      <c r="K1599" s="345">
        <v>1217.5</v>
      </c>
      <c r="L1599" s="346"/>
      <c r="M1599" s="346"/>
      <c r="N1599" s="346"/>
      <c r="O1599" s="345"/>
      <c r="P1599" s="345"/>
      <c r="Q1599" s="345"/>
      <c r="R1599" s="345">
        <v>0</v>
      </c>
      <c r="S1599" s="345">
        <v>0</v>
      </c>
      <c r="T1599" s="345">
        <v>0</v>
      </c>
      <c r="U1599" s="345">
        <v>0</v>
      </c>
      <c r="V1599" s="345">
        <v>82.5</v>
      </c>
      <c r="W1599" s="345">
        <v>1155</v>
      </c>
      <c r="X1599" s="345">
        <v>0</v>
      </c>
      <c r="Y1599" s="345">
        <v>82</v>
      </c>
      <c r="Z1599" s="345">
        <v>1093.5</v>
      </c>
      <c r="AA1599">
        <f t="shared" si="24"/>
        <v>0</v>
      </c>
    </row>
    <row r="1600" spans="1:27" ht="28.8" x14ac:dyDescent="0.3">
      <c r="A1600" s="345" t="s">
        <v>3258</v>
      </c>
      <c r="B1600" s="805"/>
      <c r="C1600" s="802"/>
      <c r="D1600" s="802"/>
      <c r="E1600" s="803"/>
      <c r="F1600" s="805">
        <v>92.5</v>
      </c>
      <c r="G1600" s="803"/>
      <c r="H1600" s="345">
        <v>1235</v>
      </c>
      <c r="I1600" s="345">
        <v>0</v>
      </c>
      <c r="J1600" s="345">
        <v>87.5</v>
      </c>
      <c r="K1600" s="345">
        <v>1217.5</v>
      </c>
      <c r="L1600" s="346"/>
      <c r="M1600" s="346"/>
      <c r="N1600" s="346"/>
      <c r="O1600" s="345"/>
      <c r="P1600" s="345"/>
      <c r="Q1600" s="345"/>
      <c r="R1600" s="345">
        <v>0</v>
      </c>
      <c r="S1600" s="345">
        <v>0</v>
      </c>
      <c r="T1600" s="345">
        <v>0</v>
      </c>
      <c r="U1600" s="345">
        <v>0</v>
      </c>
      <c r="V1600" s="345">
        <v>82.5</v>
      </c>
      <c r="W1600" s="345">
        <v>1155</v>
      </c>
      <c r="X1600" s="345">
        <v>0</v>
      </c>
      <c r="Y1600" s="345">
        <v>82</v>
      </c>
      <c r="Z1600" s="345">
        <v>1093.5</v>
      </c>
      <c r="AA1600">
        <f t="shared" si="24"/>
        <v>0</v>
      </c>
    </row>
    <row r="1601" spans="1:27" ht="28.8" x14ac:dyDescent="0.3">
      <c r="A1601" s="345" t="s">
        <v>3259</v>
      </c>
      <c r="B1601" s="805"/>
      <c r="C1601" s="802"/>
      <c r="D1601" s="802"/>
      <c r="E1601" s="803"/>
      <c r="F1601" s="805">
        <v>164.5</v>
      </c>
      <c r="G1601" s="803"/>
      <c r="H1601" s="345">
        <v>1307</v>
      </c>
      <c r="I1601" s="345">
        <v>74</v>
      </c>
      <c r="J1601" s="345">
        <v>161.5</v>
      </c>
      <c r="K1601" s="345">
        <v>1291.5</v>
      </c>
      <c r="L1601" s="346"/>
      <c r="M1601" s="346"/>
      <c r="N1601" s="346"/>
      <c r="O1601" s="345"/>
      <c r="P1601" s="345"/>
      <c r="Q1601" s="345"/>
      <c r="R1601" s="345">
        <v>0</v>
      </c>
      <c r="S1601" s="345">
        <v>0</v>
      </c>
      <c r="T1601" s="345">
        <v>0</v>
      </c>
      <c r="U1601" s="345">
        <v>55</v>
      </c>
      <c r="V1601" s="345">
        <v>137.5</v>
      </c>
      <c r="W1601" s="345">
        <v>1210</v>
      </c>
      <c r="X1601" s="345">
        <v>50</v>
      </c>
      <c r="Y1601" s="345">
        <v>132</v>
      </c>
      <c r="Z1601" s="345">
        <v>1143.5</v>
      </c>
      <c r="AA1601">
        <f t="shared" si="24"/>
        <v>74</v>
      </c>
    </row>
    <row r="1602" spans="1:27" ht="28.8" x14ac:dyDescent="0.3">
      <c r="A1602" s="345" t="s">
        <v>3260</v>
      </c>
      <c r="B1602" s="805"/>
      <c r="C1602" s="802"/>
      <c r="D1602" s="802"/>
      <c r="E1602" s="803"/>
      <c r="F1602" s="805">
        <v>164.5</v>
      </c>
      <c r="G1602" s="803"/>
      <c r="H1602" s="345">
        <v>1307</v>
      </c>
      <c r="I1602" s="345">
        <v>0</v>
      </c>
      <c r="J1602" s="345">
        <v>161.5</v>
      </c>
      <c r="K1602" s="345">
        <v>1291.5</v>
      </c>
      <c r="L1602" s="346"/>
      <c r="M1602" s="346"/>
      <c r="N1602" s="346"/>
      <c r="O1602" s="345"/>
      <c r="P1602" s="345"/>
      <c r="Q1602" s="345"/>
      <c r="R1602" s="345">
        <v>0</v>
      </c>
      <c r="S1602" s="345">
        <v>0</v>
      </c>
      <c r="T1602" s="345">
        <v>0</v>
      </c>
      <c r="U1602" s="345">
        <v>0</v>
      </c>
      <c r="V1602" s="345">
        <v>137.5</v>
      </c>
      <c r="W1602" s="345">
        <v>1210</v>
      </c>
      <c r="X1602" s="345">
        <v>0</v>
      </c>
      <c r="Y1602" s="345">
        <v>132</v>
      </c>
      <c r="Z1602" s="345">
        <v>1143.5</v>
      </c>
      <c r="AA1602">
        <f t="shared" si="24"/>
        <v>0</v>
      </c>
    </row>
    <row r="1603" spans="1:27" ht="28.8" x14ac:dyDescent="0.3">
      <c r="A1603" s="345" t="s">
        <v>3261</v>
      </c>
      <c r="B1603" s="805"/>
      <c r="C1603" s="802"/>
      <c r="D1603" s="802"/>
      <c r="E1603" s="803"/>
      <c r="F1603" s="805">
        <v>166</v>
      </c>
      <c r="G1603" s="803"/>
      <c r="H1603" s="345">
        <v>1308.5</v>
      </c>
      <c r="I1603" s="345">
        <v>1.5</v>
      </c>
      <c r="J1603" s="345">
        <v>163</v>
      </c>
      <c r="K1603" s="345">
        <v>1293</v>
      </c>
      <c r="L1603" s="346"/>
      <c r="M1603" s="346"/>
      <c r="N1603" s="346"/>
      <c r="O1603" s="345"/>
      <c r="P1603" s="345"/>
      <c r="Q1603" s="345"/>
      <c r="R1603" s="345">
        <v>0</v>
      </c>
      <c r="S1603" s="345">
        <v>0</v>
      </c>
      <c r="T1603" s="345">
        <v>0</v>
      </c>
      <c r="U1603" s="345">
        <v>0.5</v>
      </c>
      <c r="V1603" s="345">
        <v>138</v>
      </c>
      <c r="W1603" s="345">
        <v>1210.5</v>
      </c>
      <c r="X1603" s="345">
        <v>1</v>
      </c>
      <c r="Y1603" s="345">
        <v>133</v>
      </c>
      <c r="Z1603" s="345">
        <v>1144.5</v>
      </c>
      <c r="AA1603">
        <f t="shared" si="24"/>
        <v>1.5</v>
      </c>
    </row>
    <row r="1604" spans="1:27" ht="28.8" x14ac:dyDescent="0.3">
      <c r="A1604" s="345" t="s">
        <v>3262</v>
      </c>
      <c r="B1604" s="805"/>
      <c r="C1604" s="802"/>
      <c r="D1604" s="802"/>
      <c r="E1604" s="803"/>
      <c r="F1604" s="805">
        <v>175</v>
      </c>
      <c r="G1604" s="803"/>
      <c r="H1604" s="345">
        <v>1317.5</v>
      </c>
      <c r="I1604" s="345">
        <v>6.5</v>
      </c>
      <c r="J1604" s="345">
        <v>169.5</v>
      </c>
      <c r="K1604" s="345">
        <v>1299.5</v>
      </c>
      <c r="L1604" s="346"/>
      <c r="M1604" s="346"/>
      <c r="N1604" s="346"/>
      <c r="O1604" s="345"/>
      <c r="P1604" s="345"/>
      <c r="Q1604" s="345"/>
      <c r="R1604" s="345">
        <v>0</v>
      </c>
      <c r="S1604" s="345">
        <v>0</v>
      </c>
      <c r="T1604" s="345">
        <v>0</v>
      </c>
      <c r="U1604" s="345">
        <v>7</v>
      </c>
      <c r="V1604" s="345">
        <v>145</v>
      </c>
      <c r="W1604" s="345">
        <v>1217.5</v>
      </c>
      <c r="X1604" s="345">
        <v>6.5</v>
      </c>
      <c r="Y1604" s="345">
        <v>139.5</v>
      </c>
      <c r="Z1604" s="345">
        <v>1151</v>
      </c>
      <c r="AA1604">
        <f t="shared" si="24"/>
        <v>6.5</v>
      </c>
    </row>
    <row r="1605" spans="1:27" ht="28.8" x14ac:dyDescent="0.3">
      <c r="A1605" s="345" t="s">
        <v>3263</v>
      </c>
      <c r="B1605" s="805"/>
      <c r="C1605" s="802"/>
      <c r="D1605" s="802"/>
      <c r="E1605" s="803"/>
      <c r="F1605" s="805">
        <v>217</v>
      </c>
      <c r="G1605" s="803"/>
      <c r="H1605" s="345">
        <v>1359.5</v>
      </c>
      <c r="I1605" s="345">
        <v>36.5</v>
      </c>
      <c r="J1605" s="345">
        <v>206</v>
      </c>
      <c r="K1605" s="345">
        <v>1336</v>
      </c>
      <c r="L1605" s="346"/>
      <c r="M1605" s="346"/>
      <c r="N1605" s="346"/>
      <c r="O1605" s="345"/>
      <c r="P1605" s="345"/>
      <c r="Q1605" s="345"/>
      <c r="R1605" s="345">
        <v>0</v>
      </c>
      <c r="S1605" s="345">
        <v>0</v>
      </c>
      <c r="T1605" s="345">
        <v>0</v>
      </c>
      <c r="U1605" s="345">
        <v>43</v>
      </c>
      <c r="V1605" s="345">
        <v>188</v>
      </c>
      <c r="W1605" s="345">
        <v>1260.5</v>
      </c>
      <c r="X1605" s="345">
        <v>46.5</v>
      </c>
      <c r="Y1605" s="345">
        <v>186</v>
      </c>
      <c r="Z1605" s="345">
        <v>1197.5</v>
      </c>
      <c r="AA1605">
        <f t="shared" si="24"/>
        <v>36.5</v>
      </c>
    </row>
    <row r="1606" spans="1:27" ht="28.8" x14ac:dyDescent="0.3">
      <c r="A1606" s="345" t="s">
        <v>3264</v>
      </c>
      <c r="B1606" s="805"/>
      <c r="C1606" s="802"/>
      <c r="D1606" s="802"/>
      <c r="E1606" s="803"/>
      <c r="F1606" s="805">
        <v>221.5</v>
      </c>
      <c r="G1606" s="803"/>
      <c r="H1606" s="345">
        <v>1364</v>
      </c>
      <c r="I1606" s="345">
        <v>10.5</v>
      </c>
      <c r="J1606" s="345">
        <v>216.5</v>
      </c>
      <c r="K1606" s="345">
        <v>1346.5</v>
      </c>
      <c r="L1606" s="346"/>
      <c r="M1606" s="346"/>
      <c r="N1606" s="346"/>
      <c r="O1606" s="345"/>
      <c r="P1606" s="345"/>
      <c r="Q1606" s="345"/>
      <c r="R1606" s="345"/>
      <c r="S1606" s="345"/>
      <c r="T1606" s="345"/>
      <c r="U1606" s="345">
        <v>2.5</v>
      </c>
      <c r="V1606" s="345">
        <v>190.5</v>
      </c>
      <c r="W1606" s="345">
        <v>1263</v>
      </c>
      <c r="X1606" s="345">
        <v>3</v>
      </c>
      <c r="Y1606" s="345">
        <v>189</v>
      </c>
      <c r="Z1606" s="345">
        <v>1200.5</v>
      </c>
      <c r="AA1606">
        <f t="shared" si="24"/>
        <v>10.5</v>
      </c>
    </row>
    <row r="1607" spans="1:27" ht="28.8" x14ac:dyDescent="0.3">
      <c r="A1607" s="345" t="s">
        <v>3265</v>
      </c>
      <c r="B1607" s="805"/>
      <c r="C1607" s="802"/>
      <c r="D1607" s="802"/>
      <c r="E1607" s="803"/>
      <c r="F1607" s="805">
        <v>256.5</v>
      </c>
      <c r="G1607" s="803"/>
      <c r="H1607" s="345">
        <v>1399</v>
      </c>
      <c r="I1607" s="345">
        <v>35</v>
      </c>
      <c r="J1607" s="345">
        <v>251.5</v>
      </c>
      <c r="K1607" s="345">
        <v>1381.5</v>
      </c>
      <c r="L1607" s="346"/>
      <c r="M1607" s="346"/>
      <c r="N1607" s="346"/>
      <c r="O1607" s="345"/>
      <c r="P1607" s="345"/>
      <c r="Q1607" s="345"/>
      <c r="R1607" s="345"/>
      <c r="S1607" s="345"/>
      <c r="T1607" s="345"/>
      <c r="U1607" s="345">
        <v>38</v>
      </c>
      <c r="V1607" s="345">
        <v>228.5</v>
      </c>
      <c r="W1607" s="345">
        <v>1301</v>
      </c>
      <c r="X1607" s="345">
        <v>35.5</v>
      </c>
      <c r="Y1607" s="345">
        <v>224.5</v>
      </c>
      <c r="Z1607" s="345">
        <v>1236</v>
      </c>
      <c r="AA1607">
        <f t="shared" si="24"/>
        <v>35</v>
      </c>
    </row>
    <row r="1608" spans="1:27" ht="28.8" x14ac:dyDescent="0.3">
      <c r="A1608" s="345" t="s">
        <v>3266</v>
      </c>
      <c r="B1608" s="805"/>
      <c r="C1608" s="802"/>
      <c r="D1608" s="802"/>
      <c r="E1608" s="803"/>
      <c r="F1608" s="805">
        <v>257.5</v>
      </c>
      <c r="G1608" s="803"/>
      <c r="H1608" s="345">
        <v>1400</v>
      </c>
      <c r="I1608" s="345">
        <v>1</v>
      </c>
      <c r="J1608" s="345">
        <v>252.5</v>
      </c>
      <c r="K1608" s="345">
        <v>1382.5</v>
      </c>
      <c r="L1608" s="346"/>
      <c r="M1608" s="346"/>
      <c r="N1608" s="346"/>
      <c r="O1608" s="345"/>
      <c r="P1608" s="345"/>
      <c r="Q1608" s="345"/>
      <c r="R1608" s="345"/>
      <c r="S1608" s="345"/>
      <c r="T1608" s="345"/>
      <c r="U1608" s="345">
        <v>1</v>
      </c>
      <c r="V1608" s="345">
        <v>229.5</v>
      </c>
      <c r="W1608" s="345">
        <v>1302</v>
      </c>
      <c r="X1608" s="345">
        <v>0.5</v>
      </c>
      <c r="Y1608" s="345">
        <v>225</v>
      </c>
      <c r="Z1608" s="345">
        <v>1236.5</v>
      </c>
      <c r="AA1608">
        <f t="shared" si="24"/>
        <v>1</v>
      </c>
    </row>
    <row r="1609" spans="1:27" ht="28.8" x14ac:dyDescent="0.3">
      <c r="A1609" s="345" t="s">
        <v>3267</v>
      </c>
      <c r="B1609" s="805"/>
      <c r="C1609" s="802"/>
      <c r="D1609" s="802"/>
      <c r="E1609" s="803"/>
      <c r="F1609" s="805">
        <v>260</v>
      </c>
      <c r="G1609" s="803"/>
      <c r="H1609" s="345">
        <v>1402.5</v>
      </c>
      <c r="I1609" s="345">
        <v>2.5</v>
      </c>
      <c r="J1609" s="345">
        <v>255</v>
      </c>
      <c r="K1609" s="345">
        <v>1385</v>
      </c>
      <c r="L1609" s="346"/>
      <c r="M1609" s="346"/>
      <c r="N1609" s="346"/>
      <c r="O1609" s="345"/>
      <c r="P1609" s="345"/>
      <c r="Q1609" s="345"/>
      <c r="R1609" s="345"/>
      <c r="S1609" s="345"/>
      <c r="T1609" s="345"/>
      <c r="U1609" s="345">
        <v>2</v>
      </c>
      <c r="V1609" s="345">
        <v>231.5</v>
      </c>
      <c r="W1609" s="345">
        <v>1304</v>
      </c>
      <c r="X1609" s="345">
        <v>1.5</v>
      </c>
      <c r="Y1609" s="345">
        <v>226.5</v>
      </c>
      <c r="Z1609" s="345">
        <v>1238</v>
      </c>
      <c r="AA1609">
        <f t="shared" si="24"/>
        <v>2.5</v>
      </c>
    </row>
    <row r="1610" spans="1:27" ht="28.8" x14ac:dyDescent="0.3">
      <c r="A1610" s="345" t="s">
        <v>3268</v>
      </c>
      <c r="B1610" s="805"/>
      <c r="C1610" s="802"/>
      <c r="D1610" s="802"/>
      <c r="E1610" s="803"/>
      <c r="F1610" s="805">
        <v>285</v>
      </c>
      <c r="G1610" s="803"/>
      <c r="H1610" s="345">
        <v>1427.5</v>
      </c>
      <c r="I1610" s="345">
        <v>25</v>
      </c>
      <c r="J1610" s="345">
        <v>280</v>
      </c>
      <c r="K1610" s="345">
        <v>1410</v>
      </c>
      <c r="L1610" s="346"/>
      <c r="M1610" s="346"/>
      <c r="N1610" s="346"/>
      <c r="O1610" s="345"/>
      <c r="P1610" s="345"/>
      <c r="Q1610" s="345"/>
      <c r="R1610" s="345"/>
      <c r="S1610" s="345"/>
      <c r="T1610" s="345"/>
      <c r="U1610" s="345">
        <v>25</v>
      </c>
      <c r="V1610" s="345">
        <v>256.5</v>
      </c>
      <c r="W1610" s="345">
        <v>1329</v>
      </c>
      <c r="X1610" s="345">
        <v>25</v>
      </c>
      <c r="Y1610" s="345">
        <v>251.5</v>
      </c>
      <c r="Z1610" s="345">
        <v>1263</v>
      </c>
      <c r="AA1610">
        <f t="shared" si="24"/>
        <v>25</v>
      </c>
    </row>
    <row r="1611" spans="1:27" ht="28.8" x14ac:dyDescent="0.3">
      <c r="A1611" s="345" t="s">
        <v>3269</v>
      </c>
      <c r="B1611" s="805"/>
      <c r="C1611" s="802"/>
      <c r="D1611" s="802"/>
      <c r="E1611" s="803"/>
      <c r="F1611" s="805">
        <v>285.5</v>
      </c>
      <c r="G1611" s="803"/>
      <c r="H1611" s="345">
        <v>1428</v>
      </c>
      <c r="I1611" s="345">
        <v>0.5</v>
      </c>
      <c r="J1611" s="345">
        <v>280.5</v>
      </c>
      <c r="K1611" s="345">
        <v>1410.5</v>
      </c>
      <c r="L1611" s="346"/>
      <c r="M1611" s="346"/>
      <c r="N1611" s="346"/>
      <c r="O1611" s="345"/>
      <c r="P1611" s="345"/>
      <c r="Q1611" s="345"/>
      <c r="R1611" s="345"/>
      <c r="S1611" s="345"/>
      <c r="T1611" s="345"/>
      <c r="U1611" s="345">
        <v>0.5</v>
      </c>
      <c r="V1611" s="345">
        <v>257</v>
      </c>
      <c r="W1611" s="345">
        <v>1329.5</v>
      </c>
      <c r="X1611" s="345">
        <v>0.5</v>
      </c>
      <c r="Y1611" s="345">
        <v>252</v>
      </c>
      <c r="Z1611" s="345">
        <v>1263.5</v>
      </c>
      <c r="AA1611">
        <f t="shared" si="24"/>
        <v>0.5</v>
      </c>
    </row>
    <row r="1612" spans="1:27" ht="28.8" x14ac:dyDescent="0.3">
      <c r="A1612" s="345" t="s">
        <v>3270</v>
      </c>
      <c r="B1612" s="805"/>
      <c r="C1612" s="802"/>
      <c r="D1612" s="802"/>
      <c r="E1612" s="803"/>
      <c r="F1612" s="805">
        <v>288</v>
      </c>
      <c r="G1612" s="803"/>
      <c r="H1612" s="345">
        <v>1430.5</v>
      </c>
      <c r="I1612" s="345">
        <v>2</v>
      </c>
      <c r="J1612" s="345">
        <v>282.5</v>
      </c>
      <c r="K1612" s="345">
        <v>1412.5</v>
      </c>
      <c r="L1612" s="346"/>
      <c r="M1612" s="346"/>
      <c r="N1612" s="346"/>
      <c r="O1612" s="345"/>
      <c r="P1612" s="345"/>
      <c r="Q1612" s="345"/>
      <c r="R1612" s="345"/>
      <c r="S1612" s="345"/>
      <c r="T1612" s="345"/>
      <c r="U1612" s="345">
        <v>1</v>
      </c>
      <c r="V1612" s="345">
        <v>258</v>
      </c>
      <c r="W1612" s="345">
        <v>1330.5</v>
      </c>
      <c r="X1612" s="345">
        <v>2.5</v>
      </c>
      <c r="Y1612" s="345">
        <v>254.5</v>
      </c>
      <c r="Z1612" s="345">
        <v>1266</v>
      </c>
      <c r="AA1612">
        <f t="shared" si="24"/>
        <v>2</v>
      </c>
    </row>
    <row r="1613" spans="1:27" ht="28.8" x14ac:dyDescent="0.3">
      <c r="A1613" s="345" t="s">
        <v>3271</v>
      </c>
      <c r="B1613" s="805"/>
      <c r="C1613" s="802"/>
      <c r="D1613" s="802"/>
      <c r="E1613" s="803"/>
      <c r="F1613" s="805">
        <v>288</v>
      </c>
      <c r="G1613" s="803"/>
      <c r="H1613" s="345">
        <v>1430.5</v>
      </c>
      <c r="I1613" s="345">
        <v>0</v>
      </c>
      <c r="J1613" s="345">
        <v>282.5</v>
      </c>
      <c r="K1613" s="345">
        <v>1412.5</v>
      </c>
      <c r="L1613" s="346"/>
      <c r="M1613" s="346"/>
      <c r="N1613" s="346"/>
      <c r="O1613" s="345"/>
      <c r="P1613" s="345"/>
      <c r="Q1613" s="345"/>
      <c r="R1613" s="345">
        <v>0</v>
      </c>
      <c r="S1613" s="345">
        <v>0</v>
      </c>
      <c r="T1613" s="345">
        <v>0</v>
      </c>
      <c r="U1613" s="345">
        <v>0</v>
      </c>
      <c r="V1613" s="345">
        <v>258</v>
      </c>
      <c r="W1613" s="345">
        <v>1330.5</v>
      </c>
      <c r="X1613" s="345">
        <v>0</v>
      </c>
      <c r="Y1613" s="345">
        <v>254.5</v>
      </c>
      <c r="Z1613" s="345">
        <v>1266</v>
      </c>
      <c r="AA1613">
        <f t="shared" si="24"/>
        <v>0</v>
      </c>
    </row>
    <row r="1614" spans="1:27" s="362" customFormat="1" ht="28.8" x14ac:dyDescent="0.3">
      <c r="A1614" s="359" t="s">
        <v>3272</v>
      </c>
      <c r="B1614" s="811"/>
      <c r="C1614" s="812"/>
      <c r="D1614" s="812"/>
      <c r="E1614" s="813"/>
      <c r="F1614" s="811">
        <v>288</v>
      </c>
      <c r="G1614" s="813"/>
      <c r="H1614" s="359">
        <v>1430.5</v>
      </c>
      <c r="I1614" s="359">
        <v>0</v>
      </c>
      <c r="J1614" s="359">
        <v>282.5</v>
      </c>
      <c r="K1614" s="359">
        <v>1412.5</v>
      </c>
      <c r="L1614" s="359"/>
      <c r="M1614" s="359"/>
      <c r="N1614" s="359"/>
      <c r="O1614" s="359"/>
      <c r="P1614" s="359"/>
      <c r="Q1614" s="359"/>
      <c r="R1614" s="359">
        <v>0</v>
      </c>
      <c r="S1614" s="359">
        <v>0</v>
      </c>
      <c r="T1614" s="359">
        <v>0</v>
      </c>
      <c r="U1614" s="359">
        <v>0</v>
      </c>
      <c r="V1614" s="359">
        <v>258</v>
      </c>
      <c r="W1614" s="359">
        <v>1330.5</v>
      </c>
      <c r="X1614" s="359">
        <v>0</v>
      </c>
      <c r="Y1614" s="359">
        <v>254.5</v>
      </c>
      <c r="Z1614" s="359">
        <v>1266</v>
      </c>
      <c r="AA1614" s="362">
        <f t="shared" si="24"/>
        <v>0</v>
      </c>
    </row>
    <row r="1616" spans="1:27" x14ac:dyDescent="0.3">
      <c r="I1616">
        <f>MAX(I3:I1614)</f>
        <v>110.5</v>
      </c>
    </row>
  </sheetData>
  <mergeCells count="3202">
    <mergeCell ref="B1602:E1602"/>
    <mergeCell ref="F1602:G1602"/>
    <mergeCell ref="B1603:E1603"/>
    <mergeCell ref="F1603:G1603"/>
    <mergeCell ref="B1604:E1604"/>
    <mergeCell ref="F1604:G1604"/>
    <mergeCell ref="B1599:E1599"/>
    <mergeCell ref="F1599:G1599"/>
    <mergeCell ref="B1600:E1600"/>
    <mergeCell ref="F1600:G1600"/>
    <mergeCell ref="B1614:E1614"/>
    <mergeCell ref="F1614:G1614"/>
    <mergeCell ref="B1611:E1611"/>
    <mergeCell ref="F1611:G1611"/>
    <mergeCell ref="B1612:E1612"/>
    <mergeCell ref="F1612:G1612"/>
    <mergeCell ref="B1613:E1613"/>
    <mergeCell ref="F1613:G1613"/>
    <mergeCell ref="B1608:E1608"/>
    <mergeCell ref="F1608:G1608"/>
    <mergeCell ref="B1609:E1609"/>
    <mergeCell ref="F1609:G1609"/>
    <mergeCell ref="B1610:E1610"/>
    <mergeCell ref="F1610:G1610"/>
    <mergeCell ref="B1605:E1605"/>
    <mergeCell ref="F1605:G1605"/>
    <mergeCell ref="B1606:E1606"/>
    <mergeCell ref="F1606:G1606"/>
    <mergeCell ref="B1607:E1607"/>
    <mergeCell ref="F1607:G1607"/>
    <mergeCell ref="B1601:E1601"/>
    <mergeCell ref="F1601:G1601"/>
    <mergeCell ref="B1596:E1596"/>
    <mergeCell ref="F1596:G1596"/>
    <mergeCell ref="B1597:E1597"/>
    <mergeCell ref="F1597:G1597"/>
    <mergeCell ref="B1598:E1598"/>
    <mergeCell ref="F1598:G1598"/>
    <mergeCell ref="B1593:E1593"/>
    <mergeCell ref="F1593:G1593"/>
    <mergeCell ref="B1594:E1594"/>
    <mergeCell ref="F1594:G1594"/>
    <mergeCell ref="B1595:E1595"/>
    <mergeCell ref="F1595:G1595"/>
    <mergeCell ref="B1590:E1590"/>
    <mergeCell ref="F1590:G1590"/>
    <mergeCell ref="B1591:E1591"/>
    <mergeCell ref="F1591:G1591"/>
    <mergeCell ref="B1592:E1592"/>
    <mergeCell ref="F1592:G1592"/>
    <mergeCell ref="B1587:E1587"/>
    <mergeCell ref="F1587:G1587"/>
    <mergeCell ref="B1588:E1588"/>
    <mergeCell ref="F1588:G1588"/>
    <mergeCell ref="B1589:E1589"/>
    <mergeCell ref="F1589:G1589"/>
    <mergeCell ref="B1584:E1584"/>
    <mergeCell ref="F1584:G1584"/>
    <mergeCell ref="B1585:E1585"/>
    <mergeCell ref="F1585:G1585"/>
    <mergeCell ref="B1586:E1586"/>
    <mergeCell ref="F1586:G1586"/>
    <mergeCell ref="B1581:E1581"/>
    <mergeCell ref="F1581:G1581"/>
    <mergeCell ref="B1582:E1582"/>
    <mergeCell ref="F1582:G1582"/>
    <mergeCell ref="B1583:E1583"/>
    <mergeCell ref="F1583:G1583"/>
    <mergeCell ref="B1578:E1578"/>
    <mergeCell ref="F1578:G1578"/>
    <mergeCell ref="B1579:E1579"/>
    <mergeCell ref="F1579:G1579"/>
    <mergeCell ref="B1580:E1580"/>
    <mergeCell ref="F1580:G1580"/>
    <mergeCell ref="B1575:E1575"/>
    <mergeCell ref="F1575:G1575"/>
    <mergeCell ref="B1576:E1576"/>
    <mergeCell ref="F1576:G1576"/>
    <mergeCell ref="B1577:E1577"/>
    <mergeCell ref="F1577:G1577"/>
    <mergeCell ref="B1572:E1572"/>
    <mergeCell ref="F1572:G1572"/>
    <mergeCell ref="B1573:E1573"/>
    <mergeCell ref="F1573:G1573"/>
    <mergeCell ref="B1574:E1574"/>
    <mergeCell ref="F1574:G1574"/>
    <mergeCell ref="B1569:E1569"/>
    <mergeCell ref="F1569:G1569"/>
    <mergeCell ref="B1570:E1570"/>
    <mergeCell ref="F1570:G1570"/>
    <mergeCell ref="B1571:E1571"/>
    <mergeCell ref="F1571:G1571"/>
    <mergeCell ref="B1566:E1566"/>
    <mergeCell ref="F1566:G1566"/>
    <mergeCell ref="B1567:E1567"/>
    <mergeCell ref="F1567:G1567"/>
    <mergeCell ref="B1568:E1568"/>
    <mergeCell ref="F1568:G1568"/>
    <mergeCell ref="B1563:E1563"/>
    <mergeCell ref="F1563:G1563"/>
    <mergeCell ref="B1564:E1564"/>
    <mergeCell ref="F1564:G1564"/>
    <mergeCell ref="B1565:E1565"/>
    <mergeCell ref="F1565:G1565"/>
    <mergeCell ref="B1560:E1560"/>
    <mergeCell ref="F1560:G1560"/>
    <mergeCell ref="B1561:E1561"/>
    <mergeCell ref="F1561:G1561"/>
    <mergeCell ref="B1562:E1562"/>
    <mergeCell ref="F1562:G1562"/>
    <mergeCell ref="B1557:E1557"/>
    <mergeCell ref="F1557:G1557"/>
    <mergeCell ref="B1558:E1558"/>
    <mergeCell ref="F1558:G1558"/>
    <mergeCell ref="B1559:E1559"/>
    <mergeCell ref="F1559:G1559"/>
    <mergeCell ref="B1554:E1554"/>
    <mergeCell ref="F1554:G1554"/>
    <mergeCell ref="B1555:E1555"/>
    <mergeCell ref="F1555:G1555"/>
    <mergeCell ref="B1556:E1556"/>
    <mergeCell ref="F1556:G1556"/>
    <mergeCell ref="B1551:E1551"/>
    <mergeCell ref="F1551:G1551"/>
    <mergeCell ref="B1552:E1552"/>
    <mergeCell ref="F1552:G1552"/>
    <mergeCell ref="B1553:E1553"/>
    <mergeCell ref="F1553:G1553"/>
    <mergeCell ref="B1548:E1548"/>
    <mergeCell ref="F1548:G1548"/>
    <mergeCell ref="B1549:E1549"/>
    <mergeCell ref="F1549:G1549"/>
    <mergeCell ref="B1550:E1550"/>
    <mergeCell ref="F1550:G1550"/>
    <mergeCell ref="B1545:E1545"/>
    <mergeCell ref="F1545:G1545"/>
    <mergeCell ref="B1546:E1546"/>
    <mergeCell ref="F1546:G1546"/>
    <mergeCell ref="B1547:E1547"/>
    <mergeCell ref="F1547:G1547"/>
    <mergeCell ref="B1542:E1542"/>
    <mergeCell ref="F1542:G1542"/>
    <mergeCell ref="B1543:E1543"/>
    <mergeCell ref="F1543:G1543"/>
    <mergeCell ref="B1544:E1544"/>
    <mergeCell ref="F1544:G1544"/>
    <mergeCell ref="B1539:E1539"/>
    <mergeCell ref="F1539:G1539"/>
    <mergeCell ref="B1540:E1540"/>
    <mergeCell ref="F1540:G1540"/>
    <mergeCell ref="B1541:E1541"/>
    <mergeCell ref="F1541:G1541"/>
    <mergeCell ref="B1536:E1536"/>
    <mergeCell ref="F1536:G1536"/>
    <mergeCell ref="B1537:E1537"/>
    <mergeCell ref="F1537:G1537"/>
    <mergeCell ref="B1538:E1538"/>
    <mergeCell ref="F1538:G1538"/>
    <mergeCell ref="B1533:E1533"/>
    <mergeCell ref="F1533:G1533"/>
    <mergeCell ref="B1534:E1534"/>
    <mergeCell ref="F1534:G1534"/>
    <mergeCell ref="B1535:E1535"/>
    <mergeCell ref="F1535:G1535"/>
    <mergeCell ref="B1530:E1530"/>
    <mergeCell ref="F1530:G1530"/>
    <mergeCell ref="B1531:E1531"/>
    <mergeCell ref="F1531:G1531"/>
    <mergeCell ref="B1532:E1532"/>
    <mergeCell ref="F1532:G1532"/>
    <mergeCell ref="B1527:E1527"/>
    <mergeCell ref="F1527:G1527"/>
    <mergeCell ref="B1528:E1528"/>
    <mergeCell ref="F1528:G1528"/>
    <mergeCell ref="B1529:E1529"/>
    <mergeCell ref="F1529:G1529"/>
    <mergeCell ref="B1524:E1524"/>
    <mergeCell ref="F1524:G1524"/>
    <mergeCell ref="B1525:E1525"/>
    <mergeCell ref="F1525:G1525"/>
    <mergeCell ref="B1526:E1526"/>
    <mergeCell ref="F1526:G1526"/>
    <mergeCell ref="B1521:E1521"/>
    <mergeCell ref="F1521:G1521"/>
    <mergeCell ref="B1522:E1522"/>
    <mergeCell ref="F1522:G1522"/>
    <mergeCell ref="B1523:E1523"/>
    <mergeCell ref="F1523:G1523"/>
    <mergeCell ref="B1518:E1518"/>
    <mergeCell ref="F1518:G1518"/>
    <mergeCell ref="B1519:E1519"/>
    <mergeCell ref="F1519:G1519"/>
    <mergeCell ref="B1520:E1520"/>
    <mergeCell ref="F1520:G1520"/>
    <mergeCell ref="B1515:E1515"/>
    <mergeCell ref="F1515:G1515"/>
    <mergeCell ref="B1516:E1516"/>
    <mergeCell ref="F1516:G1516"/>
    <mergeCell ref="B1517:E1517"/>
    <mergeCell ref="F1517:G1517"/>
    <mergeCell ref="B1512:E1512"/>
    <mergeCell ref="F1512:G1512"/>
    <mergeCell ref="B1513:E1513"/>
    <mergeCell ref="F1513:G1513"/>
    <mergeCell ref="B1514:E1514"/>
    <mergeCell ref="F1514:G1514"/>
    <mergeCell ref="B1509:E1509"/>
    <mergeCell ref="F1509:G1509"/>
    <mergeCell ref="B1510:E1510"/>
    <mergeCell ref="F1510:G1510"/>
    <mergeCell ref="B1511:E1511"/>
    <mergeCell ref="F1511:G1511"/>
    <mergeCell ref="B1506:E1506"/>
    <mergeCell ref="F1506:G1506"/>
    <mergeCell ref="B1507:E1507"/>
    <mergeCell ref="F1507:G1507"/>
    <mergeCell ref="B1508:E1508"/>
    <mergeCell ref="F1508:G1508"/>
    <mergeCell ref="B1503:E1503"/>
    <mergeCell ref="F1503:G1503"/>
    <mergeCell ref="B1504:E1504"/>
    <mergeCell ref="F1504:G1504"/>
    <mergeCell ref="B1505:E1505"/>
    <mergeCell ref="F1505:G1505"/>
    <mergeCell ref="B1500:E1500"/>
    <mergeCell ref="F1500:G1500"/>
    <mergeCell ref="B1501:E1501"/>
    <mergeCell ref="F1501:G1501"/>
    <mergeCell ref="B1502:E1502"/>
    <mergeCell ref="F1502:G1502"/>
    <mergeCell ref="B1497:E1497"/>
    <mergeCell ref="F1497:G1497"/>
    <mergeCell ref="B1498:E1498"/>
    <mergeCell ref="F1498:G1498"/>
    <mergeCell ref="B1499:E1499"/>
    <mergeCell ref="F1499:G1499"/>
    <mergeCell ref="B1494:E1494"/>
    <mergeCell ref="F1494:G1494"/>
    <mergeCell ref="B1495:E1495"/>
    <mergeCell ref="F1495:G1495"/>
    <mergeCell ref="B1496:E1496"/>
    <mergeCell ref="F1496:G1496"/>
    <mergeCell ref="B1491:E1491"/>
    <mergeCell ref="F1491:G1491"/>
    <mergeCell ref="B1492:E1492"/>
    <mergeCell ref="F1492:G1492"/>
    <mergeCell ref="B1493:E1493"/>
    <mergeCell ref="F1493:G1493"/>
    <mergeCell ref="B1488:E1488"/>
    <mergeCell ref="F1488:G1488"/>
    <mergeCell ref="B1489:E1489"/>
    <mergeCell ref="F1489:G1489"/>
    <mergeCell ref="B1490:E1490"/>
    <mergeCell ref="F1490:G1490"/>
    <mergeCell ref="B1485:E1485"/>
    <mergeCell ref="F1485:G1485"/>
    <mergeCell ref="B1486:E1486"/>
    <mergeCell ref="F1486:G1486"/>
    <mergeCell ref="B1487:E1487"/>
    <mergeCell ref="F1487:G1487"/>
    <mergeCell ref="B1482:E1482"/>
    <mergeCell ref="F1482:G1482"/>
    <mergeCell ref="B1483:E1483"/>
    <mergeCell ref="F1483:G1483"/>
    <mergeCell ref="B1484:E1484"/>
    <mergeCell ref="F1484:G1484"/>
    <mergeCell ref="B1479:E1479"/>
    <mergeCell ref="F1479:G1479"/>
    <mergeCell ref="B1480:E1480"/>
    <mergeCell ref="F1480:G1480"/>
    <mergeCell ref="B1481:E1481"/>
    <mergeCell ref="F1481:G1481"/>
    <mergeCell ref="B1475:E1475"/>
    <mergeCell ref="F1475:G1475"/>
    <mergeCell ref="B1476:E1476"/>
    <mergeCell ref="F1476:G1476"/>
    <mergeCell ref="B1477:E1477"/>
    <mergeCell ref="F1477:G1477"/>
    <mergeCell ref="B1472:E1472"/>
    <mergeCell ref="F1472:G1472"/>
    <mergeCell ref="B1473:E1473"/>
    <mergeCell ref="F1473:G1473"/>
    <mergeCell ref="B1474:E1474"/>
    <mergeCell ref="F1474:G1474"/>
    <mergeCell ref="B1469:E1469"/>
    <mergeCell ref="F1469:G1469"/>
    <mergeCell ref="B1470:E1470"/>
    <mergeCell ref="F1470:G1470"/>
    <mergeCell ref="B1471:E1471"/>
    <mergeCell ref="F1471:G1471"/>
    <mergeCell ref="B1466:E1466"/>
    <mergeCell ref="F1466:G1466"/>
    <mergeCell ref="B1467:E1467"/>
    <mergeCell ref="F1467:G1467"/>
    <mergeCell ref="B1468:E1468"/>
    <mergeCell ref="F1468:G1468"/>
    <mergeCell ref="B1463:E1463"/>
    <mergeCell ref="F1463:G1463"/>
    <mergeCell ref="B1464:E1464"/>
    <mergeCell ref="F1464:G1464"/>
    <mergeCell ref="B1465:E1465"/>
    <mergeCell ref="F1465:G1465"/>
    <mergeCell ref="B1460:E1460"/>
    <mergeCell ref="F1460:G1460"/>
    <mergeCell ref="B1461:E1461"/>
    <mergeCell ref="F1461:G1461"/>
    <mergeCell ref="B1462:E1462"/>
    <mergeCell ref="F1462:G1462"/>
    <mergeCell ref="B1457:E1457"/>
    <mergeCell ref="F1457:G1457"/>
    <mergeCell ref="B1458:E1458"/>
    <mergeCell ref="F1458:G1458"/>
    <mergeCell ref="B1459:E1459"/>
    <mergeCell ref="F1459:G1459"/>
    <mergeCell ref="B1454:E1454"/>
    <mergeCell ref="F1454:G1454"/>
    <mergeCell ref="B1455:E1455"/>
    <mergeCell ref="F1455:G1455"/>
    <mergeCell ref="B1456:E1456"/>
    <mergeCell ref="F1456:G1456"/>
    <mergeCell ref="B1451:E1451"/>
    <mergeCell ref="F1451:G1451"/>
    <mergeCell ref="B1452:E1452"/>
    <mergeCell ref="F1452:G1452"/>
    <mergeCell ref="B1453:E1453"/>
    <mergeCell ref="F1453:G1453"/>
    <mergeCell ref="B1448:E1448"/>
    <mergeCell ref="F1448:G1448"/>
    <mergeCell ref="B1449:E1449"/>
    <mergeCell ref="F1449:G1449"/>
    <mergeCell ref="B1450:E1450"/>
    <mergeCell ref="F1450:G1450"/>
    <mergeCell ref="B1445:E1445"/>
    <mergeCell ref="F1445:G1445"/>
    <mergeCell ref="B1446:E1446"/>
    <mergeCell ref="F1446:G1446"/>
    <mergeCell ref="B1447:E1447"/>
    <mergeCell ref="F1447:G1447"/>
    <mergeCell ref="B1441:E1441"/>
    <mergeCell ref="F1441:G1441"/>
    <mergeCell ref="B1443:E1443"/>
    <mergeCell ref="F1443:G1443"/>
    <mergeCell ref="B1444:E1444"/>
    <mergeCell ref="F1444:G1444"/>
    <mergeCell ref="B1438:E1438"/>
    <mergeCell ref="F1438:G1438"/>
    <mergeCell ref="B1439:E1439"/>
    <mergeCell ref="F1439:G1439"/>
    <mergeCell ref="B1440:E1440"/>
    <mergeCell ref="F1440:G1440"/>
    <mergeCell ref="B1435:E1435"/>
    <mergeCell ref="F1435:G1435"/>
    <mergeCell ref="B1436:E1436"/>
    <mergeCell ref="F1436:G1436"/>
    <mergeCell ref="B1437:E1437"/>
    <mergeCell ref="F1437:G1437"/>
    <mergeCell ref="B1432:E1432"/>
    <mergeCell ref="F1432:G1432"/>
    <mergeCell ref="B1433:E1433"/>
    <mergeCell ref="F1433:G1433"/>
    <mergeCell ref="B1434:E1434"/>
    <mergeCell ref="F1434:G1434"/>
    <mergeCell ref="B1428:E1428"/>
    <mergeCell ref="F1428:G1428"/>
    <mergeCell ref="B1430:E1430"/>
    <mergeCell ref="F1430:G1430"/>
    <mergeCell ref="B1431:E1431"/>
    <mergeCell ref="F1431:G1431"/>
    <mergeCell ref="B1425:E1425"/>
    <mergeCell ref="F1425:G1425"/>
    <mergeCell ref="B1426:E1426"/>
    <mergeCell ref="F1426:G1426"/>
    <mergeCell ref="B1427:E1427"/>
    <mergeCell ref="F1427:G1427"/>
    <mergeCell ref="B1422:E1422"/>
    <mergeCell ref="F1422:G1422"/>
    <mergeCell ref="B1423:E1423"/>
    <mergeCell ref="F1423:G1423"/>
    <mergeCell ref="B1424:E1424"/>
    <mergeCell ref="F1424:G1424"/>
    <mergeCell ref="B1419:E1419"/>
    <mergeCell ref="F1419:G1419"/>
    <mergeCell ref="B1420:E1420"/>
    <mergeCell ref="F1420:G1420"/>
    <mergeCell ref="B1421:E1421"/>
    <mergeCell ref="F1421:G1421"/>
    <mergeCell ref="B1416:E1416"/>
    <mergeCell ref="F1416:G1416"/>
    <mergeCell ref="B1417:E1417"/>
    <mergeCell ref="F1417:G1417"/>
    <mergeCell ref="B1418:E1418"/>
    <mergeCell ref="F1418:G1418"/>
    <mergeCell ref="B1413:E1413"/>
    <mergeCell ref="F1413:G1413"/>
    <mergeCell ref="B1414:E1414"/>
    <mergeCell ref="F1414:G1414"/>
    <mergeCell ref="B1415:E1415"/>
    <mergeCell ref="F1415:G1415"/>
    <mergeCell ref="B1410:E1410"/>
    <mergeCell ref="F1410:G1410"/>
    <mergeCell ref="B1411:E1411"/>
    <mergeCell ref="F1411:G1411"/>
    <mergeCell ref="B1412:E1412"/>
    <mergeCell ref="F1412:G1412"/>
    <mergeCell ref="B1407:E1407"/>
    <mergeCell ref="F1407:G1407"/>
    <mergeCell ref="B1408:E1408"/>
    <mergeCell ref="F1408:G1408"/>
    <mergeCell ref="B1409:E1409"/>
    <mergeCell ref="F1409:G1409"/>
    <mergeCell ref="B1404:E1404"/>
    <mergeCell ref="F1404:G1404"/>
    <mergeCell ref="B1405:E1405"/>
    <mergeCell ref="F1405:G1405"/>
    <mergeCell ref="B1406:E1406"/>
    <mergeCell ref="F1406:G1406"/>
    <mergeCell ref="B1401:E1401"/>
    <mergeCell ref="F1401:G1401"/>
    <mergeCell ref="B1402:E1402"/>
    <mergeCell ref="F1402:G1402"/>
    <mergeCell ref="B1403:E1403"/>
    <mergeCell ref="F1403:G1403"/>
    <mergeCell ref="B1398:E1398"/>
    <mergeCell ref="F1398:G1398"/>
    <mergeCell ref="B1399:E1399"/>
    <mergeCell ref="F1399:G1399"/>
    <mergeCell ref="B1400:E1400"/>
    <mergeCell ref="F1400:G1400"/>
    <mergeCell ref="B1395:E1395"/>
    <mergeCell ref="F1395:G1395"/>
    <mergeCell ref="B1396:E1396"/>
    <mergeCell ref="F1396:G1396"/>
    <mergeCell ref="B1397:E1397"/>
    <mergeCell ref="F1397:G1397"/>
    <mergeCell ref="B1392:E1392"/>
    <mergeCell ref="F1392:G1392"/>
    <mergeCell ref="B1393:E1393"/>
    <mergeCell ref="F1393:G1393"/>
    <mergeCell ref="B1394:E1394"/>
    <mergeCell ref="F1394:G1394"/>
    <mergeCell ref="B1389:E1389"/>
    <mergeCell ref="F1389:G1389"/>
    <mergeCell ref="B1390:E1390"/>
    <mergeCell ref="F1390:G1390"/>
    <mergeCell ref="B1391:E1391"/>
    <mergeCell ref="F1391:G1391"/>
    <mergeCell ref="B1386:E1386"/>
    <mergeCell ref="F1386:G1386"/>
    <mergeCell ref="B1387:E1387"/>
    <mergeCell ref="F1387:G1387"/>
    <mergeCell ref="B1388:E1388"/>
    <mergeCell ref="F1388:G1388"/>
    <mergeCell ref="B1383:E1383"/>
    <mergeCell ref="F1383:G1383"/>
    <mergeCell ref="B1384:E1384"/>
    <mergeCell ref="F1384:G1384"/>
    <mergeCell ref="B1385:E1385"/>
    <mergeCell ref="F1385:G1385"/>
    <mergeCell ref="B1380:E1380"/>
    <mergeCell ref="F1380:G1380"/>
    <mergeCell ref="B1381:E1381"/>
    <mergeCell ref="F1381:G1381"/>
    <mergeCell ref="B1382:E1382"/>
    <mergeCell ref="F1382:G1382"/>
    <mergeCell ref="B1377:E1377"/>
    <mergeCell ref="F1377:G1377"/>
    <mergeCell ref="B1378:E1378"/>
    <mergeCell ref="F1378:G1378"/>
    <mergeCell ref="B1379:E1379"/>
    <mergeCell ref="F1379:G1379"/>
    <mergeCell ref="B1374:E1374"/>
    <mergeCell ref="F1374:G1374"/>
    <mergeCell ref="B1375:E1375"/>
    <mergeCell ref="F1375:G1375"/>
    <mergeCell ref="B1376:E1376"/>
    <mergeCell ref="F1376:G1376"/>
    <mergeCell ref="B1371:E1371"/>
    <mergeCell ref="F1371:G1371"/>
    <mergeCell ref="B1372:E1372"/>
    <mergeCell ref="F1372:G1372"/>
    <mergeCell ref="B1373:E1373"/>
    <mergeCell ref="F1373:G1373"/>
    <mergeCell ref="B1368:E1368"/>
    <mergeCell ref="F1368:G1368"/>
    <mergeCell ref="B1369:E1369"/>
    <mergeCell ref="F1369:G1369"/>
    <mergeCell ref="B1370:E1370"/>
    <mergeCell ref="F1370:G1370"/>
    <mergeCell ref="B1365:E1365"/>
    <mergeCell ref="F1365:G1365"/>
    <mergeCell ref="B1366:E1366"/>
    <mergeCell ref="F1366:G1366"/>
    <mergeCell ref="B1367:E1367"/>
    <mergeCell ref="F1367:G1367"/>
    <mergeCell ref="B1362:E1362"/>
    <mergeCell ref="F1362:G1362"/>
    <mergeCell ref="B1363:E1363"/>
    <mergeCell ref="F1363:G1363"/>
    <mergeCell ref="B1364:E1364"/>
    <mergeCell ref="F1364:G1364"/>
    <mergeCell ref="B1359:E1359"/>
    <mergeCell ref="F1359:G1359"/>
    <mergeCell ref="B1360:E1360"/>
    <mergeCell ref="F1360:G1360"/>
    <mergeCell ref="B1361:E1361"/>
    <mergeCell ref="F1361:G1361"/>
    <mergeCell ref="B1356:E1356"/>
    <mergeCell ref="F1356:G1356"/>
    <mergeCell ref="B1357:E1357"/>
    <mergeCell ref="F1357:G1357"/>
    <mergeCell ref="B1358:E1358"/>
    <mergeCell ref="F1358:G1358"/>
    <mergeCell ref="B1353:E1353"/>
    <mergeCell ref="F1353:G1353"/>
    <mergeCell ref="B1354:E1354"/>
    <mergeCell ref="F1354:G1354"/>
    <mergeCell ref="B1355:E1355"/>
    <mergeCell ref="F1355:G1355"/>
    <mergeCell ref="B1350:E1350"/>
    <mergeCell ref="F1350:G1350"/>
    <mergeCell ref="B1351:E1351"/>
    <mergeCell ref="F1351:G1351"/>
    <mergeCell ref="B1352:E1352"/>
    <mergeCell ref="F1352:G1352"/>
    <mergeCell ref="B1347:E1347"/>
    <mergeCell ref="F1347:G1347"/>
    <mergeCell ref="B1348:E1348"/>
    <mergeCell ref="F1348:G1348"/>
    <mergeCell ref="B1349:E1349"/>
    <mergeCell ref="F1349:G1349"/>
    <mergeCell ref="B1344:E1344"/>
    <mergeCell ref="F1344:G1344"/>
    <mergeCell ref="B1345:E1345"/>
    <mergeCell ref="F1345:G1345"/>
    <mergeCell ref="B1346:E1346"/>
    <mergeCell ref="F1346:G1346"/>
    <mergeCell ref="B1341:E1341"/>
    <mergeCell ref="F1341:G1341"/>
    <mergeCell ref="B1342:E1342"/>
    <mergeCell ref="F1342:G1342"/>
    <mergeCell ref="B1343:E1343"/>
    <mergeCell ref="F1343:G1343"/>
    <mergeCell ref="B1338:E1338"/>
    <mergeCell ref="F1338:G1338"/>
    <mergeCell ref="B1339:E1339"/>
    <mergeCell ref="F1339:G1339"/>
    <mergeCell ref="B1340:E1340"/>
    <mergeCell ref="F1340:G1340"/>
    <mergeCell ref="B1335:E1335"/>
    <mergeCell ref="F1335:G1335"/>
    <mergeCell ref="B1336:E1336"/>
    <mergeCell ref="F1336:G1336"/>
    <mergeCell ref="B1337:E1337"/>
    <mergeCell ref="F1337:G1337"/>
    <mergeCell ref="B1332:E1332"/>
    <mergeCell ref="F1332:G1332"/>
    <mergeCell ref="B1333:E1333"/>
    <mergeCell ref="F1333:G1333"/>
    <mergeCell ref="B1334:E1334"/>
    <mergeCell ref="F1334:G1334"/>
    <mergeCell ref="B1329:E1329"/>
    <mergeCell ref="F1329:G1329"/>
    <mergeCell ref="B1330:E1330"/>
    <mergeCell ref="F1330:G1330"/>
    <mergeCell ref="B1331:E1331"/>
    <mergeCell ref="F1331:G1331"/>
    <mergeCell ref="B1326:E1326"/>
    <mergeCell ref="F1326:G1326"/>
    <mergeCell ref="B1327:E1327"/>
    <mergeCell ref="F1327:G1327"/>
    <mergeCell ref="B1328:E1328"/>
    <mergeCell ref="F1328:G1328"/>
    <mergeCell ref="B1323:E1323"/>
    <mergeCell ref="F1323:G1323"/>
    <mergeCell ref="B1324:E1324"/>
    <mergeCell ref="F1324:G1324"/>
    <mergeCell ref="B1325:E1325"/>
    <mergeCell ref="F1325:G1325"/>
    <mergeCell ref="B1320:E1320"/>
    <mergeCell ref="F1320:G1320"/>
    <mergeCell ref="B1321:E1321"/>
    <mergeCell ref="F1321:G1321"/>
    <mergeCell ref="B1322:E1322"/>
    <mergeCell ref="F1322:G1322"/>
    <mergeCell ref="B1317:E1317"/>
    <mergeCell ref="F1317:G1317"/>
    <mergeCell ref="B1318:E1318"/>
    <mergeCell ref="F1318:G1318"/>
    <mergeCell ref="B1319:E1319"/>
    <mergeCell ref="F1319:G1319"/>
    <mergeCell ref="B1314:E1314"/>
    <mergeCell ref="F1314:G1314"/>
    <mergeCell ref="B1315:E1315"/>
    <mergeCell ref="F1315:G1315"/>
    <mergeCell ref="B1316:E1316"/>
    <mergeCell ref="F1316:G1316"/>
    <mergeCell ref="B1311:E1311"/>
    <mergeCell ref="F1311:G1311"/>
    <mergeCell ref="B1312:E1312"/>
    <mergeCell ref="F1312:G1312"/>
    <mergeCell ref="B1313:E1313"/>
    <mergeCell ref="F1313:G1313"/>
    <mergeCell ref="B1308:E1308"/>
    <mergeCell ref="F1308:G1308"/>
    <mergeCell ref="B1309:E1309"/>
    <mergeCell ref="F1309:G1309"/>
    <mergeCell ref="B1310:E1310"/>
    <mergeCell ref="F1310:G1310"/>
    <mergeCell ref="B1305:E1305"/>
    <mergeCell ref="F1305:G1305"/>
    <mergeCell ref="B1306:E1306"/>
    <mergeCell ref="F1306:G1306"/>
    <mergeCell ref="B1307:E1307"/>
    <mergeCell ref="F1307:G1307"/>
    <mergeCell ref="B1301:E1301"/>
    <mergeCell ref="F1301:G1301"/>
    <mergeCell ref="B1302:E1302"/>
    <mergeCell ref="F1302:G1302"/>
    <mergeCell ref="B1304:E1304"/>
    <mergeCell ref="F1304:G1304"/>
    <mergeCell ref="B1298:E1298"/>
    <mergeCell ref="F1298:G1298"/>
    <mergeCell ref="B1299:E1299"/>
    <mergeCell ref="F1299:G1299"/>
    <mergeCell ref="B1300:E1300"/>
    <mergeCell ref="F1300:G1300"/>
    <mergeCell ref="B1295:E1295"/>
    <mergeCell ref="F1295:G1295"/>
    <mergeCell ref="B1296:E1296"/>
    <mergeCell ref="F1296:G1296"/>
    <mergeCell ref="B1297:E1297"/>
    <mergeCell ref="F1297:G1297"/>
    <mergeCell ref="B1292:E1292"/>
    <mergeCell ref="F1292:G1292"/>
    <mergeCell ref="B1293:E1293"/>
    <mergeCell ref="F1293:G1293"/>
    <mergeCell ref="B1294:E1294"/>
    <mergeCell ref="F1294:G1294"/>
    <mergeCell ref="B1289:E1289"/>
    <mergeCell ref="F1289:G1289"/>
    <mergeCell ref="B1290:E1290"/>
    <mergeCell ref="F1290:G1290"/>
    <mergeCell ref="B1291:E1291"/>
    <mergeCell ref="F1291:G1291"/>
    <mergeCell ref="B1286:E1286"/>
    <mergeCell ref="F1286:G1286"/>
    <mergeCell ref="B1287:E1287"/>
    <mergeCell ref="F1287:G1287"/>
    <mergeCell ref="B1288:E1288"/>
    <mergeCell ref="F1288:G1288"/>
    <mergeCell ref="B1283:E1283"/>
    <mergeCell ref="F1283:G1283"/>
    <mergeCell ref="B1284:E1284"/>
    <mergeCell ref="F1284:G1284"/>
    <mergeCell ref="B1285:E1285"/>
    <mergeCell ref="F1285:G1285"/>
    <mergeCell ref="B1280:E1280"/>
    <mergeCell ref="F1280:G1280"/>
    <mergeCell ref="B1281:E1281"/>
    <mergeCell ref="F1281:G1281"/>
    <mergeCell ref="B1282:E1282"/>
    <mergeCell ref="F1282:G1282"/>
    <mergeCell ref="B1277:E1277"/>
    <mergeCell ref="F1277:G1277"/>
    <mergeCell ref="B1278:E1278"/>
    <mergeCell ref="F1278:G1278"/>
    <mergeCell ref="B1279:E1279"/>
    <mergeCell ref="F1279:G1279"/>
    <mergeCell ref="B1274:E1274"/>
    <mergeCell ref="F1274:G1274"/>
    <mergeCell ref="B1275:E1275"/>
    <mergeCell ref="F1275:G1275"/>
    <mergeCell ref="B1276:E1276"/>
    <mergeCell ref="F1276:G1276"/>
    <mergeCell ref="B1271:E1271"/>
    <mergeCell ref="F1271:G1271"/>
    <mergeCell ref="B1272:E1272"/>
    <mergeCell ref="F1272:G1272"/>
    <mergeCell ref="B1273:E1273"/>
    <mergeCell ref="F1273:G1273"/>
    <mergeCell ref="B1268:E1268"/>
    <mergeCell ref="F1268:G1268"/>
    <mergeCell ref="B1269:E1269"/>
    <mergeCell ref="F1269:G1269"/>
    <mergeCell ref="B1270:E1270"/>
    <mergeCell ref="F1270:G1270"/>
    <mergeCell ref="B1265:E1265"/>
    <mergeCell ref="F1265:G1265"/>
    <mergeCell ref="B1266:E1266"/>
    <mergeCell ref="F1266:G1266"/>
    <mergeCell ref="B1267:E1267"/>
    <mergeCell ref="F1267:G1267"/>
    <mergeCell ref="B1262:E1262"/>
    <mergeCell ref="F1262:G1262"/>
    <mergeCell ref="B1263:E1263"/>
    <mergeCell ref="F1263:G1263"/>
    <mergeCell ref="B1264:E1264"/>
    <mergeCell ref="F1264:G1264"/>
    <mergeCell ref="B1259:E1259"/>
    <mergeCell ref="F1259:G1259"/>
    <mergeCell ref="B1260:E1260"/>
    <mergeCell ref="F1260:G1260"/>
    <mergeCell ref="B1261:E1261"/>
    <mergeCell ref="F1261:G1261"/>
    <mergeCell ref="B1256:E1256"/>
    <mergeCell ref="F1256:G1256"/>
    <mergeCell ref="B1257:E1257"/>
    <mergeCell ref="F1257:G1257"/>
    <mergeCell ref="B1258:E1258"/>
    <mergeCell ref="F1258:G1258"/>
    <mergeCell ref="B1253:E1253"/>
    <mergeCell ref="F1253:G1253"/>
    <mergeCell ref="B1254:E1254"/>
    <mergeCell ref="F1254:G1254"/>
    <mergeCell ref="B1255:E1255"/>
    <mergeCell ref="F1255:G1255"/>
    <mergeCell ref="B1249:E1249"/>
    <mergeCell ref="F1249:G1249"/>
    <mergeCell ref="B1250:E1250"/>
    <mergeCell ref="F1250:G1250"/>
    <mergeCell ref="B1251:E1251"/>
    <mergeCell ref="F1251:G1251"/>
    <mergeCell ref="B1245:E1245"/>
    <mergeCell ref="F1245:G1245"/>
    <mergeCell ref="B1246:E1246"/>
    <mergeCell ref="F1246:G1246"/>
    <mergeCell ref="B1248:E1248"/>
    <mergeCell ref="F1248:G1248"/>
    <mergeCell ref="B1242:E1242"/>
    <mergeCell ref="F1242:G1242"/>
    <mergeCell ref="B1243:E1243"/>
    <mergeCell ref="F1243:G1243"/>
    <mergeCell ref="B1244:E1244"/>
    <mergeCell ref="F1244:G1244"/>
    <mergeCell ref="B1238:E1238"/>
    <mergeCell ref="F1238:G1238"/>
    <mergeCell ref="B1239:E1239"/>
    <mergeCell ref="F1239:G1239"/>
    <mergeCell ref="B1241:E1241"/>
    <mergeCell ref="F1241:G1241"/>
    <mergeCell ref="B1235:E1235"/>
    <mergeCell ref="F1235:G1235"/>
    <mergeCell ref="B1236:E1236"/>
    <mergeCell ref="F1236:G1236"/>
    <mergeCell ref="B1237:E1237"/>
    <mergeCell ref="F1237:G1237"/>
    <mergeCell ref="B1232:E1232"/>
    <mergeCell ref="F1232:G1232"/>
    <mergeCell ref="B1233:E1233"/>
    <mergeCell ref="F1233:G1233"/>
    <mergeCell ref="B1234:E1234"/>
    <mergeCell ref="F1234:G1234"/>
    <mergeCell ref="B1229:E1229"/>
    <mergeCell ref="F1229:G1229"/>
    <mergeCell ref="B1230:E1230"/>
    <mergeCell ref="F1230:G1230"/>
    <mergeCell ref="B1231:E1231"/>
    <mergeCell ref="F1231:G1231"/>
    <mergeCell ref="B1226:E1226"/>
    <mergeCell ref="F1226:G1226"/>
    <mergeCell ref="B1227:E1227"/>
    <mergeCell ref="F1227:G1227"/>
    <mergeCell ref="B1228:E1228"/>
    <mergeCell ref="F1228:G1228"/>
    <mergeCell ref="B1223:E1223"/>
    <mergeCell ref="F1223:G1223"/>
    <mergeCell ref="B1224:E1224"/>
    <mergeCell ref="F1224:G1224"/>
    <mergeCell ref="B1225:E1225"/>
    <mergeCell ref="F1225:G1225"/>
    <mergeCell ref="B1220:E1220"/>
    <mergeCell ref="F1220:G1220"/>
    <mergeCell ref="B1221:E1221"/>
    <mergeCell ref="F1221:G1221"/>
    <mergeCell ref="B1222:E1222"/>
    <mergeCell ref="F1222:G1222"/>
    <mergeCell ref="B1217:E1217"/>
    <mergeCell ref="F1217:G1217"/>
    <mergeCell ref="B1218:E1218"/>
    <mergeCell ref="F1218:G1218"/>
    <mergeCell ref="B1219:E1219"/>
    <mergeCell ref="F1219:G1219"/>
    <mergeCell ref="B1214:E1214"/>
    <mergeCell ref="F1214:G1214"/>
    <mergeCell ref="B1215:E1215"/>
    <mergeCell ref="F1215:G1215"/>
    <mergeCell ref="B1216:E1216"/>
    <mergeCell ref="F1216:G1216"/>
    <mergeCell ref="B1211:E1211"/>
    <mergeCell ref="F1211:G1211"/>
    <mergeCell ref="B1212:E1212"/>
    <mergeCell ref="F1212:G1212"/>
    <mergeCell ref="B1213:E1213"/>
    <mergeCell ref="F1213:G1213"/>
    <mergeCell ref="B1208:E1208"/>
    <mergeCell ref="F1208:G1208"/>
    <mergeCell ref="B1209:E1209"/>
    <mergeCell ref="F1209:G1209"/>
    <mergeCell ref="B1210:E1210"/>
    <mergeCell ref="F1210:G1210"/>
    <mergeCell ref="B1205:E1205"/>
    <mergeCell ref="F1205:G1205"/>
    <mergeCell ref="B1206:E1206"/>
    <mergeCell ref="F1206:G1206"/>
    <mergeCell ref="B1207:E1207"/>
    <mergeCell ref="F1207:G1207"/>
    <mergeCell ref="B1202:E1202"/>
    <mergeCell ref="F1202:G1202"/>
    <mergeCell ref="B1203:E1203"/>
    <mergeCell ref="F1203:G1203"/>
    <mergeCell ref="B1204:E1204"/>
    <mergeCell ref="F1204:G1204"/>
    <mergeCell ref="B1199:E1199"/>
    <mergeCell ref="F1199:G1199"/>
    <mergeCell ref="B1200:E1200"/>
    <mergeCell ref="F1200:G1200"/>
    <mergeCell ref="B1201:E1201"/>
    <mergeCell ref="F1201:G1201"/>
    <mergeCell ref="B1196:E1196"/>
    <mergeCell ref="F1196:G1196"/>
    <mergeCell ref="B1197:E1197"/>
    <mergeCell ref="F1197:G1197"/>
    <mergeCell ref="B1198:E1198"/>
    <mergeCell ref="F1198:G1198"/>
    <mergeCell ref="B1192:E1192"/>
    <mergeCell ref="F1192:G1192"/>
    <mergeCell ref="B1194:E1194"/>
    <mergeCell ref="F1194:G1194"/>
    <mergeCell ref="B1195:E1195"/>
    <mergeCell ref="F1195:G1195"/>
    <mergeCell ref="B1189:E1189"/>
    <mergeCell ref="F1189:G1189"/>
    <mergeCell ref="B1190:E1190"/>
    <mergeCell ref="F1190:G1190"/>
    <mergeCell ref="B1191:E1191"/>
    <mergeCell ref="F1191:G1191"/>
    <mergeCell ref="B1186:E1186"/>
    <mergeCell ref="F1186:G1186"/>
    <mergeCell ref="B1187:E1187"/>
    <mergeCell ref="F1187:G1187"/>
    <mergeCell ref="B1188:E1188"/>
    <mergeCell ref="F1188:G1188"/>
    <mergeCell ref="B1183:E1183"/>
    <mergeCell ref="F1183:G1183"/>
    <mergeCell ref="B1184:E1184"/>
    <mergeCell ref="F1184:G1184"/>
    <mergeCell ref="B1185:E1185"/>
    <mergeCell ref="F1185:G1185"/>
    <mergeCell ref="B1179:E1179"/>
    <mergeCell ref="F1179:G1179"/>
    <mergeCell ref="B1181:E1181"/>
    <mergeCell ref="F1181:G1181"/>
    <mergeCell ref="B1182:E1182"/>
    <mergeCell ref="F1182:G1182"/>
    <mergeCell ref="B1176:E1176"/>
    <mergeCell ref="F1176:G1176"/>
    <mergeCell ref="B1177:E1177"/>
    <mergeCell ref="F1177:G1177"/>
    <mergeCell ref="B1178:E1178"/>
    <mergeCell ref="F1178:G1178"/>
    <mergeCell ref="B1173:E1173"/>
    <mergeCell ref="F1173:G1173"/>
    <mergeCell ref="B1174:E1174"/>
    <mergeCell ref="F1174:G1174"/>
    <mergeCell ref="B1175:E1175"/>
    <mergeCell ref="F1175:G1175"/>
    <mergeCell ref="B1170:E1170"/>
    <mergeCell ref="F1170:G1170"/>
    <mergeCell ref="B1171:E1171"/>
    <mergeCell ref="F1171:G1171"/>
    <mergeCell ref="B1172:E1172"/>
    <mergeCell ref="F1172:G1172"/>
    <mergeCell ref="B1167:E1167"/>
    <mergeCell ref="F1167:G1167"/>
    <mergeCell ref="B1168:E1168"/>
    <mergeCell ref="F1168:G1168"/>
    <mergeCell ref="B1169:E1169"/>
    <mergeCell ref="F1169:G1169"/>
    <mergeCell ref="B1164:E1164"/>
    <mergeCell ref="F1164:G1164"/>
    <mergeCell ref="B1165:E1165"/>
    <mergeCell ref="F1165:G1165"/>
    <mergeCell ref="B1166:E1166"/>
    <mergeCell ref="F1166:G1166"/>
    <mergeCell ref="B1161:E1161"/>
    <mergeCell ref="F1161:G1161"/>
    <mergeCell ref="B1162:E1162"/>
    <mergeCell ref="F1162:G1162"/>
    <mergeCell ref="B1163:E1163"/>
    <mergeCell ref="F1163:G1163"/>
    <mergeCell ref="B1158:E1158"/>
    <mergeCell ref="F1158:G1158"/>
    <mergeCell ref="B1159:E1159"/>
    <mergeCell ref="F1159:G1159"/>
    <mergeCell ref="B1160:E1160"/>
    <mergeCell ref="F1160:G1160"/>
    <mergeCell ref="B1155:E1155"/>
    <mergeCell ref="F1155:G1155"/>
    <mergeCell ref="B1156:E1156"/>
    <mergeCell ref="F1156:G1156"/>
    <mergeCell ref="B1157:E1157"/>
    <mergeCell ref="F1157:G1157"/>
    <mergeCell ref="B1152:E1152"/>
    <mergeCell ref="F1152:G1152"/>
    <mergeCell ref="B1153:E1153"/>
    <mergeCell ref="F1153:G1153"/>
    <mergeCell ref="B1154:E1154"/>
    <mergeCell ref="F1154:G1154"/>
    <mergeCell ref="B1149:E1149"/>
    <mergeCell ref="F1149:G1149"/>
    <mergeCell ref="B1150:E1150"/>
    <mergeCell ref="F1150:G1150"/>
    <mergeCell ref="B1151:E1151"/>
    <mergeCell ref="F1151:G1151"/>
    <mergeCell ref="B1146:E1146"/>
    <mergeCell ref="F1146:G1146"/>
    <mergeCell ref="B1147:E1147"/>
    <mergeCell ref="F1147:G1147"/>
    <mergeCell ref="B1148:E1148"/>
    <mergeCell ref="F1148:G1148"/>
    <mergeCell ref="B1143:E1143"/>
    <mergeCell ref="F1143:G1143"/>
    <mergeCell ref="B1144:E1144"/>
    <mergeCell ref="F1144:G1144"/>
    <mergeCell ref="B1145:E1145"/>
    <mergeCell ref="F1145:G1145"/>
    <mergeCell ref="B1140:E1140"/>
    <mergeCell ref="F1140:G1140"/>
    <mergeCell ref="B1141:E1141"/>
    <mergeCell ref="F1141:G1141"/>
    <mergeCell ref="B1142:E1142"/>
    <mergeCell ref="F1142:G1142"/>
    <mergeCell ref="B1137:E1137"/>
    <mergeCell ref="F1137:G1137"/>
    <mergeCell ref="B1138:E1138"/>
    <mergeCell ref="F1138:G1138"/>
    <mergeCell ref="B1139:E1139"/>
    <mergeCell ref="F1139:G1139"/>
    <mergeCell ref="B1134:E1134"/>
    <mergeCell ref="F1134:G1134"/>
    <mergeCell ref="B1135:E1135"/>
    <mergeCell ref="F1135:G1135"/>
    <mergeCell ref="B1136:E1136"/>
    <mergeCell ref="F1136:G1136"/>
    <mergeCell ref="B1131:E1131"/>
    <mergeCell ref="F1131:G1131"/>
    <mergeCell ref="B1132:E1132"/>
    <mergeCell ref="F1132:G1132"/>
    <mergeCell ref="B1133:E1133"/>
    <mergeCell ref="F1133:G1133"/>
    <mergeCell ref="B1128:E1128"/>
    <mergeCell ref="F1128:G1128"/>
    <mergeCell ref="B1129:E1129"/>
    <mergeCell ref="F1129:G1129"/>
    <mergeCell ref="B1130:E1130"/>
    <mergeCell ref="F1130:G1130"/>
    <mergeCell ref="B1125:E1125"/>
    <mergeCell ref="F1125:G1125"/>
    <mergeCell ref="B1126:E1126"/>
    <mergeCell ref="F1126:G1126"/>
    <mergeCell ref="B1127:E1127"/>
    <mergeCell ref="F1127:G1127"/>
    <mergeCell ref="B1122:E1122"/>
    <mergeCell ref="F1122:G1122"/>
    <mergeCell ref="B1123:E1123"/>
    <mergeCell ref="F1123:G1123"/>
    <mergeCell ref="B1124:E1124"/>
    <mergeCell ref="F1124:G1124"/>
    <mergeCell ref="B1119:E1119"/>
    <mergeCell ref="F1119:G1119"/>
    <mergeCell ref="B1120:E1120"/>
    <mergeCell ref="F1120:G1120"/>
    <mergeCell ref="B1121:E1121"/>
    <mergeCell ref="F1121:G1121"/>
    <mergeCell ref="B1116:E1116"/>
    <mergeCell ref="F1116:G1116"/>
    <mergeCell ref="B1117:E1117"/>
    <mergeCell ref="F1117:G1117"/>
    <mergeCell ref="B1118:E1118"/>
    <mergeCell ref="F1118:G1118"/>
    <mergeCell ref="B1113:E1113"/>
    <mergeCell ref="F1113:G1113"/>
    <mergeCell ref="B1114:E1114"/>
    <mergeCell ref="F1114:G1114"/>
    <mergeCell ref="B1115:E1115"/>
    <mergeCell ref="F1115:G1115"/>
    <mergeCell ref="B1110:E1110"/>
    <mergeCell ref="F1110:G1110"/>
    <mergeCell ref="B1111:E1111"/>
    <mergeCell ref="F1111:G1111"/>
    <mergeCell ref="B1112:E1112"/>
    <mergeCell ref="F1112:G1112"/>
    <mergeCell ref="B1107:E1107"/>
    <mergeCell ref="F1107:G1107"/>
    <mergeCell ref="B1108:E1108"/>
    <mergeCell ref="F1108:G1108"/>
    <mergeCell ref="B1109:E1109"/>
    <mergeCell ref="F1109:G1109"/>
    <mergeCell ref="B1104:E1104"/>
    <mergeCell ref="F1104:G1104"/>
    <mergeCell ref="B1105:E1105"/>
    <mergeCell ref="F1105:G1105"/>
    <mergeCell ref="B1106:E1106"/>
    <mergeCell ref="F1106:G1106"/>
    <mergeCell ref="B1101:E1101"/>
    <mergeCell ref="F1101:G1101"/>
    <mergeCell ref="B1102:E1102"/>
    <mergeCell ref="F1102:G1102"/>
    <mergeCell ref="B1103:E1103"/>
    <mergeCell ref="F1103:G1103"/>
    <mergeCell ref="B1098:E1098"/>
    <mergeCell ref="F1098:G1098"/>
    <mergeCell ref="B1099:E1099"/>
    <mergeCell ref="F1099:G1099"/>
    <mergeCell ref="B1100:E1100"/>
    <mergeCell ref="F1100:G1100"/>
    <mergeCell ref="B1095:E1095"/>
    <mergeCell ref="F1095:G1095"/>
    <mergeCell ref="B1096:E1096"/>
    <mergeCell ref="F1096:G1096"/>
    <mergeCell ref="B1097:E1097"/>
    <mergeCell ref="F1097:G1097"/>
    <mergeCell ref="B1092:E1092"/>
    <mergeCell ref="F1092:G1092"/>
    <mergeCell ref="B1093:E1093"/>
    <mergeCell ref="F1093:G1093"/>
    <mergeCell ref="B1094:E1094"/>
    <mergeCell ref="F1094:G1094"/>
    <mergeCell ref="B1089:E1089"/>
    <mergeCell ref="F1089:G1089"/>
    <mergeCell ref="B1090:E1090"/>
    <mergeCell ref="F1090:G1090"/>
    <mergeCell ref="B1091:E1091"/>
    <mergeCell ref="F1091:G1091"/>
    <mergeCell ref="B1086:E1086"/>
    <mergeCell ref="F1086:G1086"/>
    <mergeCell ref="B1087:E1087"/>
    <mergeCell ref="F1087:G1087"/>
    <mergeCell ref="B1088:E1088"/>
    <mergeCell ref="F1088:G1088"/>
    <mergeCell ref="B1083:E1083"/>
    <mergeCell ref="F1083:G1083"/>
    <mergeCell ref="B1084:E1084"/>
    <mergeCell ref="F1084:G1084"/>
    <mergeCell ref="B1085:E1085"/>
    <mergeCell ref="F1085:G1085"/>
    <mergeCell ref="B1080:E1080"/>
    <mergeCell ref="F1080:G1080"/>
    <mergeCell ref="B1081:E1081"/>
    <mergeCell ref="F1081:G1081"/>
    <mergeCell ref="B1082:E1082"/>
    <mergeCell ref="F1082:G1082"/>
    <mergeCell ref="B1077:E1077"/>
    <mergeCell ref="F1077:G1077"/>
    <mergeCell ref="B1078:E1078"/>
    <mergeCell ref="F1078:G1078"/>
    <mergeCell ref="B1079:E1079"/>
    <mergeCell ref="F1079:G1079"/>
    <mergeCell ref="B1074:E1074"/>
    <mergeCell ref="F1074:G1074"/>
    <mergeCell ref="B1075:E1075"/>
    <mergeCell ref="F1075:G1075"/>
    <mergeCell ref="B1076:E1076"/>
    <mergeCell ref="F1076:G1076"/>
    <mergeCell ref="B1071:E1071"/>
    <mergeCell ref="F1071:G1071"/>
    <mergeCell ref="B1072:E1072"/>
    <mergeCell ref="F1072:G1072"/>
    <mergeCell ref="B1073:E1073"/>
    <mergeCell ref="F1073:G1073"/>
    <mergeCell ref="B1068:E1068"/>
    <mergeCell ref="F1068:G1068"/>
    <mergeCell ref="B1069:E1069"/>
    <mergeCell ref="F1069:G1069"/>
    <mergeCell ref="B1070:E1070"/>
    <mergeCell ref="F1070:G1070"/>
    <mergeCell ref="B1065:E1065"/>
    <mergeCell ref="F1065:G1065"/>
    <mergeCell ref="B1066:E1066"/>
    <mergeCell ref="F1066:G1066"/>
    <mergeCell ref="B1067:E1067"/>
    <mergeCell ref="F1067:G1067"/>
    <mergeCell ref="B1062:E1062"/>
    <mergeCell ref="F1062:G1062"/>
    <mergeCell ref="B1063:E1063"/>
    <mergeCell ref="F1063:G1063"/>
    <mergeCell ref="B1064:E1064"/>
    <mergeCell ref="F1064:G1064"/>
    <mergeCell ref="B1059:E1059"/>
    <mergeCell ref="F1059:G1059"/>
    <mergeCell ref="B1060:E1060"/>
    <mergeCell ref="F1060:G1060"/>
    <mergeCell ref="B1061:E1061"/>
    <mergeCell ref="F1061:G1061"/>
    <mergeCell ref="B1056:E1056"/>
    <mergeCell ref="F1056:G1056"/>
    <mergeCell ref="B1057:E1057"/>
    <mergeCell ref="F1057:G1057"/>
    <mergeCell ref="B1058:E1058"/>
    <mergeCell ref="F1058:G1058"/>
    <mergeCell ref="B1053:E1053"/>
    <mergeCell ref="F1053:G1053"/>
    <mergeCell ref="B1054:E1054"/>
    <mergeCell ref="F1054:G1054"/>
    <mergeCell ref="B1055:E1055"/>
    <mergeCell ref="F1055:G1055"/>
    <mergeCell ref="B1050:E1050"/>
    <mergeCell ref="F1050:G1050"/>
    <mergeCell ref="B1051:E1051"/>
    <mergeCell ref="F1051:G1051"/>
    <mergeCell ref="B1052:E1052"/>
    <mergeCell ref="F1052:G1052"/>
    <mergeCell ref="B1047:E1047"/>
    <mergeCell ref="F1047:G1047"/>
    <mergeCell ref="B1048:E1048"/>
    <mergeCell ref="F1048:G1048"/>
    <mergeCell ref="B1049:E1049"/>
    <mergeCell ref="F1049:G1049"/>
    <mergeCell ref="B1044:E1044"/>
    <mergeCell ref="F1044:G1044"/>
    <mergeCell ref="B1045:E1045"/>
    <mergeCell ref="F1045:G1045"/>
    <mergeCell ref="B1046:E1046"/>
    <mergeCell ref="F1046:G1046"/>
    <mergeCell ref="B1041:E1041"/>
    <mergeCell ref="F1041:G1041"/>
    <mergeCell ref="B1042:E1042"/>
    <mergeCell ref="F1042:G1042"/>
    <mergeCell ref="B1043:E1043"/>
    <mergeCell ref="F1043:G1043"/>
    <mergeCell ref="B1038:E1038"/>
    <mergeCell ref="F1038:G1038"/>
    <mergeCell ref="B1039:E1039"/>
    <mergeCell ref="F1039:G1039"/>
    <mergeCell ref="B1040:E1040"/>
    <mergeCell ref="F1040:G1040"/>
    <mergeCell ref="B1035:E1035"/>
    <mergeCell ref="F1035:G1035"/>
    <mergeCell ref="B1036:E1036"/>
    <mergeCell ref="F1036:G1036"/>
    <mergeCell ref="B1037:E1037"/>
    <mergeCell ref="F1037:G1037"/>
    <mergeCell ref="B1032:E1032"/>
    <mergeCell ref="F1032:G1032"/>
    <mergeCell ref="B1033:E1033"/>
    <mergeCell ref="F1033:G1033"/>
    <mergeCell ref="B1034:E1034"/>
    <mergeCell ref="F1034:G1034"/>
    <mergeCell ref="B1029:E1029"/>
    <mergeCell ref="F1029:G1029"/>
    <mergeCell ref="B1030:E1030"/>
    <mergeCell ref="F1030:G1030"/>
    <mergeCell ref="B1031:E1031"/>
    <mergeCell ref="F1031:G1031"/>
    <mergeCell ref="B1026:E1026"/>
    <mergeCell ref="F1026:G1026"/>
    <mergeCell ref="B1027:E1027"/>
    <mergeCell ref="F1027:G1027"/>
    <mergeCell ref="B1028:E1028"/>
    <mergeCell ref="F1028:G1028"/>
    <mergeCell ref="B1023:E1023"/>
    <mergeCell ref="F1023:G1023"/>
    <mergeCell ref="B1024:E1024"/>
    <mergeCell ref="F1024:G1024"/>
    <mergeCell ref="B1025:E1025"/>
    <mergeCell ref="F1025:G1025"/>
    <mergeCell ref="B1020:E1020"/>
    <mergeCell ref="F1020:G1020"/>
    <mergeCell ref="B1021:E1021"/>
    <mergeCell ref="F1021:G1021"/>
    <mergeCell ref="B1022:E1022"/>
    <mergeCell ref="F1022:G1022"/>
    <mergeCell ref="B1017:E1017"/>
    <mergeCell ref="F1017:G1017"/>
    <mergeCell ref="B1018:E1018"/>
    <mergeCell ref="F1018:G1018"/>
    <mergeCell ref="B1019:E1019"/>
    <mergeCell ref="F1019:G1019"/>
    <mergeCell ref="B1014:E1014"/>
    <mergeCell ref="F1014:G1014"/>
    <mergeCell ref="B1015:E1015"/>
    <mergeCell ref="F1015:G1015"/>
    <mergeCell ref="B1016:E1016"/>
    <mergeCell ref="F1016:G1016"/>
    <mergeCell ref="B1011:E1011"/>
    <mergeCell ref="F1011:G1011"/>
    <mergeCell ref="B1012:E1012"/>
    <mergeCell ref="F1012:G1012"/>
    <mergeCell ref="B1013:E1013"/>
    <mergeCell ref="F1013:G1013"/>
    <mergeCell ref="B1008:E1008"/>
    <mergeCell ref="F1008:G1008"/>
    <mergeCell ref="B1009:E1009"/>
    <mergeCell ref="F1009:G1009"/>
    <mergeCell ref="B1010:E1010"/>
    <mergeCell ref="F1010:G1010"/>
    <mergeCell ref="B1005:E1005"/>
    <mergeCell ref="F1005:G1005"/>
    <mergeCell ref="B1006:E1006"/>
    <mergeCell ref="F1006:G1006"/>
    <mergeCell ref="B1007:E1007"/>
    <mergeCell ref="F1007:G1007"/>
    <mergeCell ref="B1002:E1002"/>
    <mergeCell ref="F1002:G1002"/>
    <mergeCell ref="B1003:E1003"/>
    <mergeCell ref="F1003:G1003"/>
    <mergeCell ref="B1004:E1004"/>
    <mergeCell ref="F1004:G1004"/>
    <mergeCell ref="B999:E999"/>
    <mergeCell ref="F999:G999"/>
    <mergeCell ref="B1000:E1000"/>
    <mergeCell ref="F1000:G1000"/>
    <mergeCell ref="B1001:E1001"/>
    <mergeCell ref="F1001:G1001"/>
    <mergeCell ref="B996:E996"/>
    <mergeCell ref="F996:G996"/>
    <mergeCell ref="B997:E997"/>
    <mergeCell ref="F997:G997"/>
    <mergeCell ref="B998:E998"/>
    <mergeCell ref="F998:G998"/>
    <mergeCell ref="B993:E993"/>
    <mergeCell ref="F993:G993"/>
    <mergeCell ref="B994:E994"/>
    <mergeCell ref="F994:G994"/>
    <mergeCell ref="B995:E995"/>
    <mergeCell ref="F995:G995"/>
    <mergeCell ref="B990:E990"/>
    <mergeCell ref="F990:G990"/>
    <mergeCell ref="B991:E991"/>
    <mergeCell ref="F991:G991"/>
    <mergeCell ref="B992:E992"/>
    <mergeCell ref="F992:G992"/>
    <mergeCell ref="B987:E987"/>
    <mergeCell ref="F987:G987"/>
    <mergeCell ref="B988:E988"/>
    <mergeCell ref="F988:G988"/>
    <mergeCell ref="B989:E989"/>
    <mergeCell ref="F989:G989"/>
    <mergeCell ref="B984:E984"/>
    <mergeCell ref="F984:G984"/>
    <mergeCell ref="B985:E985"/>
    <mergeCell ref="F985:G985"/>
    <mergeCell ref="B986:E986"/>
    <mergeCell ref="F986:G986"/>
    <mergeCell ref="B981:E981"/>
    <mergeCell ref="F981:G981"/>
    <mergeCell ref="B982:E982"/>
    <mergeCell ref="F982:G982"/>
    <mergeCell ref="B983:E983"/>
    <mergeCell ref="F983:G983"/>
    <mergeCell ref="B978:E978"/>
    <mergeCell ref="F978:G978"/>
    <mergeCell ref="B979:E979"/>
    <mergeCell ref="F979:G979"/>
    <mergeCell ref="B980:E980"/>
    <mergeCell ref="F980:G980"/>
    <mergeCell ref="B975:E975"/>
    <mergeCell ref="F975:G975"/>
    <mergeCell ref="B976:E976"/>
    <mergeCell ref="F976:G976"/>
    <mergeCell ref="B977:E977"/>
    <mergeCell ref="F977:G977"/>
    <mergeCell ref="B972:E972"/>
    <mergeCell ref="F972:G972"/>
    <mergeCell ref="B973:E973"/>
    <mergeCell ref="F973:G973"/>
    <mergeCell ref="B974:E974"/>
    <mergeCell ref="F974:G974"/>
    <mergeCell ref="B969:E969"/>
    <mergeCell ref="F969:G969"/>
    <mergeCell ref="B970:E970"/>
    <mergeCell ref="F970:G970"/>
    <mergeCell ref="B971:E971"/>
    <mergeCell ref="F971:G971"/>
    <mergeCell ref="B966:E966"/>
    <mergeCell ref="F966:G966"/>
    <mergeCell ref="B967:E967"/>
    <mergeCell ref="F967:G967"/>
    <mergeCell ref="B968:E968"/>
    <mergeCell ref="F968:G968"/>
    <mergeCell ref="B963:E963"/>
    <mergeCell ref="F963:G963"/>
    <mergeCell ref="B964:E964"/>
    <mergeCell ref="F964:G964"/>
    <mergeCell ref="B965:E965"/>
    <mergeCell ref="F965:G965"/>
    <mergeCell ref="B960:E960"/>
    <mergeCell ref="F960:G960"/>
    <mergeCell ref="B961:E961"/>
    <mergeCell ref="F961:G961"/>
    <mergeCell ref="B962:E962"/>
    <mergeCell ref="F962:G962"/>
    <mergeCell ref="B956:E956"/>
    <mergeCell ref="F956:G956"/>
    <mergeCell ref="B958:E958"/>
    <mergeCell ref="F958:G958"/>
    <mergeCell ref="B959:E959"/>
    <mergeCell ref="F959:G959"/>
    <mergeCell ref="B953:E953"/>
    <mergeCell ref="F953:G953"/>
    <mergeCell ref="B954:E954"/>
    <mergeCell ref="F954:G954"/>
    <mergeCell ref="B955:E955"/>
    <mergeCell ref="F955:G955"/>
    <mergeCell ref="B950:E950"/>
    <mergeCell ref="F950:G950"/>
    <mergeCell ref="B951:E951"/>
    <mergeCell ref="F951:G951"/>
    <mergeCell ref="B952:E952"/>
    <mergeCell ref="F952:G952"/>
    <mergeCell ref="B947:E947"/>
    <mergeCell ref="F947:G947"/>
    <mergeCell ref="B948:E948"/>
    <mergeCell ref="F948:G948"/>
    <mergeCell ref="B949:E949"/>
    <mergeCell ref="F949:G949"/>
    <mergeCell ref="B944:E944"/>
    <mergeCell ref="F944:G944"/>
    <mergeCell ref="B945:E945"/>
    <mergeCell ref="F945:G945"/>
    <mergeCell ref="B946:E946"/>
    <mergeCell ref="F946:G946"/>
    <mergeCell ref="B941:E941"/>
    <mergeCell ref="F941:G941"/>
    <mergeCell ref="B942:E942"/>
    <mergeCell ref="F942:G942"/>
    <mergeCell ref="B943:E943"/>
    <mergeCell ref="F943:G943"/>
    <mergeCell ref="B938:E938"/>
    <mergeCell ref="F938:G938"/>
    <mergeCell ref="B939:E939"/>
    <mergeCell ref="F939:G939"/>
    <mergeCell ref="B940:E940"/>
    <mergeCell ref="F940:G940"/>
    <mergeCell ref="B935:E935"/>
    <mergeCell ref="F935:G935"/>
    <mergeCell ref="B936:E936"/>
    <mergeCell ref="F936:G936"/>
    <mergeCell ref="B937:E937"/>
    <mergeCell ref="F937:G937"/>
    <mergeCell ref="B932:E932"/>
    <mergeCell ref="F932:G932"/>
    <mergeCell ref="B933:E933"/>
    <mergeCell ref="F933:G933"/>
    <mergeCell ref="B934:E934"/>
    <mergeCell ref="F934:G934"/>
    <mergeCell ref="B929:E929"/>
    <mergeCell ref="F929:G929"/>
    <mergeCell ref="B930:E930"/>
    <mergeCell ref="F930:G930"/>
    <mergeCell ref="B931:E931"/>
    <mergeCell ref="F931:G931"/>
    <mergeCell ref="B926:E926"/>
    <mergeCell ref="F926:G926"/>
    <mergeCell ref="B927:E927"/>
    <mergeCell ref="F927:G927"/>
    <mergeCell ref="B928:E928"/>
    <mergeCell ref="F928:G928"/>
    <mergeCell ref="B923:E923"/>
    <mergeCell ref="F923:G923"/>
    <mergeCell ref="B924:E924"/>
    <mergeCell ref="F924:G924"/>
    <mergeCell ref="B925:E925"/>
    <mergeCell ref="F925:G925"/>
    <mergeCell ref="B920:E920"/>
    <mergeCell ref="F920:G920"/>
    <mergeCell ref="B921:E921"/>
    <mergeCell ref="F921:G921"/>
    <mergeCell ref="B922:E922"/>
    <mergeCell ref="F922:G922"/>
    <mergeCell ref="B917:E917"/>
    <mergeCell ref="F917:G917"/>
    <mergeCell ref="B918:E918"/>
    <mergeCell ref="F918:G918"/>
    <mergeCell ref="B919:E919"/>
    <mergeCell ref="F919:G919"/>
    <mergeCell ref="B914:E914"/>
    <mergeCell ref="F914:G914"/>
    <mergeCell ref="B915:E915"/>
    <mergeCell ref="F915:G915"/>
    <mergeCell ref="B916:E916"/>
    <mergeCell ref="F916:G916"/>
    <mergeCell ref="B911:E911"/>
    <mergeCell ref="F911:G911"/>
    <mergeCell ref="B912:E912"/>
    <mergeCell ref="F912:G912"/>
    <mergeCell ref="B913:E913"/>
    <mergeCell ref="F913:G913"/>
    <mergeCell ref="B908:E908"/>
    <mergeCell ref="F908:G908"/>
    <mergeCell ref="B909:E909"/>
    <mergeCell ref="F909:G909"/>
    <mergeCell ref="B910:E910"/>
    <mergeCell ref="F910:G910"/>
    <mergeCell ref="B905:E905"/>
    <mergeCell ref="F905:G905"/>
    <mergeCell ref="B906:E906"/>
    <mergeCell ref="F906:G906"/>
    <mergeCell ref="B907:E907"/>
    <mergeCell ref="F907:G907"/>
    <mergeCell ref="B902:E902"/>
    <mergeCell ref="F902:G902"/>
    <mergeCell ref="B903:E903"/>
    <mergeCell ref="F903:G903"/>
    <mergeCell ref="B904:E904"/>
    <mergeCell ref="F904:G904"/>
    <mergeCell ref="B899:E899"/>
    <mergeCell ref="F899:G899"/>
    <mergeCell ref="B900:E900"/>
    <mergeCell ref="F900:G900"/>
    <mergeCell ref="B901:E901"/>
    <mergeCell ref="F901:G901"/>
    <mergeCell ref="B896:E896"/>
    <mergeCell ref="F896:G896"/>
    <mergeCell ref="B897:E897"/>
    <mergeCell ref="F897:G897"/>
    <mergeCell ref="B898:E898"/>
    <mergeCell ref="F898:G898"/>
    <mergeCell ref="B893:E893"/>
    <mergeCell ref="F893:G893"/>
    <mergeCell ref="B894:E894"/>
    <mergeCell ref="F894:G894"/>
    <mergeCell ref="B895:E895"/>
    <mergeCell ref="F895:G895"/>
    <mergeCell ref="B890:E890"/>
    <mergeCell ref="F890:G890"/>
    <mergeCell ref="B891:E891"/>
    <mergeCell ref="F891:G891"/>
    <mergeCell ref="B892:E892"/>
    <mergeCell ref="F892:G892"/>
    <mergeCell ref="B887:E887"/>
    <mergeCell ref="F887:G887"/>
    <mergeCell ref="B888:E888"/>
    <mergeCell ref="F888:G888"/>
    <mergeCell ref="B889:E889"/>
    <mergeCell ref="F889:G889"/>
    <mergeCell ref="B884:E884"/>
    <mergeCell ref="F884:G884"/>
    <mergeCell ref="B885:E885"/>
    <mergeCell ref="F885:G885"/>
    <mergeCell ref="B886:E886"/>
    <mergeCell ref="F886:G886"/>
    <mergeCell ref="B881:E881"/>
    <mergeCell ref="F881:G881"/>
    <mergeCell ref="B882:E882"/>
    <mergeCell ref="F882:G882"/>
    <mergeCell ref="B883:E883"/>
    <mergeCell ref="F883:G883"/>
    <mergeCell ref="B878:E878"/>
    <mergeCell ref="F878:G878"/>
    <mergeCell ref="B879:E879"/>
    <mergeCell ref="F879:G879"/>
    <mergeCell ref="B880:E880"/>
    <mergeCell ref="F880:G880"/>
    <mergeCell ref="B875:E875"/>
    <mergeCell ref="F875:G875"/>
    <mergeCell ref="B876:E876"/>
    <mergeCell ref="F876:G876"/>
    <mergeCell ref="B877:E877"/>
    <mergeCell ref="F877:G877"/>
    <mergeCell ref="B872:E872"/>
    <mergeCell ref="F872:G872"/>
    <mergeCell ref="B873:E873"/>
    <mergeCell ref="F873:G873"/>
    <mergeCell ref="B874:E874"/>
    <mergeCell ref="F874:G874"/>
    <mergeCell ref="B869:E869"/>
    <mergeCell ref="F869:G869"/>
    <mergeCell ref="B870:E870"/>
    <mergeCell ref="F870:G870"/>
    <mergeCell ref="B871:E871"/>
    <mergeCell ref="F871:G871"/>
    <mergeCell ref="B866:E866"/>
    <mergeCell ref="F866:G866"/>
    <mergeCell ref="B867:E867"/>
    <mergeCell ref="F867:G867"/>
    <mergeCell ref="B868:E868"/>
    <mergeCell ref="F868:G868"/>
    <mergeCell ref="B863:E863"/>
    <mergeCell ref="F863:G863"/>
    <mergeCell ref="B864:E864"/>
    <mergeCell ref="F864:G864"/>
    <mergeCell ref="B865:E865"/>
    <mergeCell ref="F865:G865"/>
    <mergeCell ref="B860:E860"/>
    <mergeCell ref="F860:G860"/>
    <mergeCell ref="B861:E861"/>
    <mergeCell ref="F861:G861"/>
    <mergeCell ref="B862:E862"/>
    <mergeCell ref="F862:G862"/>
    <mergeCell ref="B857:E857"/>
    <mergeCell ref="F857:G857"/>
    <mergeCell ref="B858:E858"/>
    <mergeCell ref="F858:G858"/>
    <mergeCell ref="B859:E859"/>
    <mergeCell ref="F859:G859"/>
    <mergeCell ref="B854:E854"/>
    <mergeCell ref="F854:G854"/>
    <mergeCell ref="B855:E855"/>
    <mergeCell ref="F855:G855"/>
    <mergeCell ref="B856:E856"/>
    <mergeCell ref="F856:G856"/>
    <mergeCell ref="B851:E851"/>
    <mergeCell ref="F851:G851"/>
    <mergeCell ref="B852:E852"/>
    <mergeCell ref="F852:G852"/>
    <mergeCell ref="B853:E853"/>
    <mergeCell ref="F853:G853"/>
    <mergeCell ref="B848:E848"/>
    <mergeCell ref="F848:G848"/>
    <mergeCell ref="B849:E849"/>
    <mergeCell ref="F849:G849"/>
    <mergeCell ref="B850:E850"/>
    <mergeCell ref="F850:G850"/>
    <mergeCell ref="B845:E845"/>
    <mergeCell ref="F845:G845"/>
    <mergeCell ref="B846:E846"/>
    <mergeCell ref="F846:G846"/>
    <mergeCell ref="B847:E847"/>
    <mergeCell ref="F847:G847"/>
    <mergeCell ref="B842:E842"/>
    <mergeCell ref="F842:G842"/>
    <mergeCell ref="B843:E843"/>
    <mergeCell ref="F843:G843"/>
    <mergeCell ref="B844:E844"/>
    <mergeCell ref="F844:G844"/>
    <mergeCell ref="B839:E839"/>
    <mergeCell ref="F839:G839"/>
    <mergeCell ref="B840:E840"/>
    <mergeCell ref="F840:G840"/>
    <mergeCell ref="B841:E841"/>
    <mergeCell ref="F841:G841"/>
    <mergeCell ref="B836:E836"/>
    <mergeCell ref="F836:G836"/>
    <mergeCell ref="B837:E837"/>
    <mergeCell ref="F837:G837"/>
    <mergeCell ref="B838:E838"/>
    <mergeCell ref="F838:G838"/>
    <mergeCell ref="B833:E833"/>
    <mergeCell ref="F833:G833"/>
    <mergeCell ref="B834:E834"/>
    <mergeCell ref="F834:G834"/>
    <mergeCell ref="B835:E835"/>
    <mergeCell ref="F835:G835"/>
    <mergeCell ref="B830:E830"/>
    <mergeCell ref="F830:G830"/>
    <mergeCell ref="B831:E831"/>
    <mergeCell ref="F831:G831"/>
    <mergeCell ref="B832:E832"/>
    <mergeCell ref="F832:G832"/>
    <mergeCell ref="B827:E827"/>
    <mergeCell ref="F827:G827"/>
    <mergeCell ref="B828:E828"/>
    <mergeCell ref="F828:G828"/>
    <mergeCell ref="B829:E829"/>
    <mergeCell ref="F829:G829"/>
    <mergeCell ref="B824:E824"/>
    <mergeCell ref="F824:G824"/>
    <mergeCell ref="B825:E825"/>
    <mergeCell ref="F825:G825"/>
    <mergeCell ref="B826:E826"/>
    <mergeCell ref="F826:G826"/>
    <mergeCell ref="B821:E821"/>
    <mergeCell ref="F821:G821"/>
    <mergeCell ref="B822:E822"/>
    <mergeCell ref="F822:G822"/>
    <mergeCell ref="B823:E823"/>
    <mergeCell ref="F823:G823"/>
    <mergeCell ref="B818:E818"/>
    <mergeCell ref="F818:G818"/>
    <mergeCell ref="B819:E819"/>
    <mergeCell ref="F819:G819"/>
    <mergeCell ref="B820:E820"/>
    <mergeCell ref="F820:G820"/>
    <mergeCell ref="B815:E815"/>
    <mergeCell ref="F815:G815"/>
    <mergeCell ref="B816:E816"/>
    <mergeCell ref="F816:G816"/>
    <mergeCell ref="B817:E817"/>
    <mergeCell ref="F817:G817"/>
    <mergeCell ref="B812:E812"/>
    <mergeCell ref="F812:G812"/>
    <mergeCell ref="B813:E813"/>
    <mergeCell ref="F813:G813"/>
    <mergeCell ref="B814:E814"/>
    <mergeCell ref="F814:G814"/>
    <mergeCell ref="B809:E809"/>
    <mergeCell ref="F809:G809"/>
    <mergeCell ref="B810:E810"/>
    <mergeCell ref="F810:G810"/>
    <mergeCell ref="B811:E811"/>
    <mergeCell ref="F811:G811"/>
    <mergeCell ref="B806:E806"/>
    <mergeCell ref="F806:G806"/>
    <mergeCell ref="B807:E807"/>
    <mergeCell ref="F807:G807"/>
    <mergeCell ref="B808:E808"/>
    <mergeCell ref="F808:G808"/>
    <mergeCell ref="B803:E803"/>
    <mergeCell ref="F803:G803"/>
    <mergeCell ref="B804:E804"/>
    <mergeCell ref="F804:G804"/>
    <mergeCell ref="B805:E805"/>
    <mergeCell ref="F805:G805"/>
    <mergeCell ref="B800:E800"/>
    <mergeCell ref="F800:G800"/>
    <mergeCell ref="B801:E801"/>
    <mergeCell ref="F801:G801"/>
    <mergeCell ref="B802:E802"/>
    <mergeCell ref="F802:G802"/>
    <mergeCell ref="B797:E797"/>
    <mergeCell ref="F797:G797"/>
    <mergeCell ref="B798:E798"/>
    <mergeCell ref="F798:G798"/>
    <mergeCell ref="B799:E799"/>
    <mergeCell ref="F799:G799"/>
    <mergeCell ref="B794:E794"/>
    <mergeCell ref="F794:G794"/>
    <mergeCell ref="B795:E795"/>
    <mergeCell ref="F795:G795"/>
    <mergeCell ref="B796:E796"/>
    <mergeCell ref="F796:G796"/>
    <mergeCell ref="B791:E791"/>
    <mergeCell ref="F791:G791"/>
    <mergeCell ref="B792:E792"/>
    <mergeCell ref="F792:G792"/>
    <mergeCell ref="B793:E793"/>
    <mergeCell ref="F793:G793"/>
    <mergeCell ref="B788:E788"/>
    <mergeCell ref="F788:G788"/>
    <mergeCell ref="B789:E789"/>
    <mergeCell ref="F789:G789"/>
    <mergeCell ref="B790:E790"/>
    <mergeCell ref="F790:G790"/>
    <mergeCell ref="B785:E785"/>
    <mergeCell ref="F785:G785"/>
    <mergeCell ref="B786:E786"/>
    <mergeCell ref="F786:G786"/>
    <mergeCell ref="B787:E787"/>
    <mergeCell ref="F787:G787"/>
    <mergeCell ref="B782:E782"/>
    <mergeCell ref="F782:G782"/>
    <mergeCell ref="B783:E783"/>
    <mergeCell ref="F783:G783"/>
    <mergeCell ref="B784:E784"/>
    <mergeCell ref="F784:G784"/>
    <mergeCell ref="B779:E779"/>
    <mergeCell ref="F779:G779"/>
    <mergeCell ref="B780:E780"/>
    <mergeCell ref="F780:G780"/>
    <mergeCell ref="B781:E781"/>
    <mergeCell ref="F781:G781"/>
    <mergeCell ref="B776:E776"/>
    <mergeCell ref="F776:G776"/>
    <mergeCell ref="B777:E777"/>
    <mergeCell ref="F777:G777"/>
    <mergeCell ref="B778:E778"/>
    <mergeCell ref="F778:G778"/>
    <mergeCell ref="B773:E773"/>
    <mergeCell ref="F773:G773"/>
    <mergeCell ref="B774:E774"/>
    <mergeCell ref="F774:G774"/>
    <mergeCell ref="B775:E775"/>
    <mergeCell ref="F775:G775"/>
    <mergeCell ref="B768:E768"/>
    <mergeCell ref="F768:G768"/>
    <mergeCell ref="B770:E770"/>
    <mergeCell ref="F770:G770"/>
    <mergeCell ref="B772:E772"/>
    <mergeCell ref="F772:G772"/>
    <mergeCell ref="B765:E765"/>
    <mergeCell ref="F765:G765"/>
    <mergeCell ref="B766:E766"/>
    <mergeCell ref="F766:G766"/>
    <mergeCell ref="B767:E767"/>
    <mergeCell ref="F767:G767"/>
    <mergeCell ref="B762:E762"/>
    <mergeCell ref="F762:G762"/>
    <mergeCell ref="B763:E763"/>
    <mergeCell ref="F763:G763"/>
    <mergeCell ref="B764:E764"/>
    <mergeCell ref="F764:G764"/>
    <mergeCell ref="B759:E759"/>
    <mergeCell ref="F759:G759"/>
    <mergeCell ref="B760:E760"/>
    <mergeCell ref="F760:G760"/>
    <mergeCell ref="B761:E761"/>
    <mergeCell ref="F761:G761"/>
    <mergeCell ref="B756:E756"/>
    <mergeCell ref="F756:G756"/>
    <mergeCell ref="B757:E757"/>
    <mergeCell ref="F757:G757"/>
    <mergeCell ref="B758:E758"/>
    <mergeCell ref="F758:G758"/>
    <mergeCell ref="B753:E753"/>
    <mergeCell ref="F753:G753"/>
    <mergeCell ref="B754:E754"/>
    <mergeCell ref="F754:G754"/>
    <mergeCell ref="B755:E755"/>
    <mergeCell ref="F755:G755"/>
    <mergeCell ref="B750:E750"/>
    <mergeCell ref="F750:G750"/>
    <mergeCell ref="B751:E751"/>
    <mergeCell ref="F751:G751"/>
    <mergeCell ref="B752:E752"/>
    <mergeCell ref="F752:G752"/>
    <mergeCell ref="B747:E747"/>
    <mergeCell ref="F747:G747"/>
    <mergeCell ref="B748:E748"/>
    <mergeCell ref="F748:G748"/>
    <mergeCell ref="B749:E749"/>
    <mergeCell ref="F749:G749"/>
    <mergeCell ref="B744:E744"/>
    <mergeCell ref="F744:G744"/>
    <mergeCell ref="B745:E745"/>
    <mergeCell ref="F745:G745"/>
    <mergeCell ref="B746:E746"/>
    <mergeCell ref="F746:G746"/>
    <mergeCell ref="B741:E741"/>
    <mergeCell ref="F741:G741"/>
    <mergeCell ref="B742:E742"/>
    <mergeCell ref="F742:G742"/>
    <mergeCell ref="B743:E743"/>
    <mergeCell ref="F743:G743"/>
    <mergeCell ref="B738:E738"/>
    <mergeCell ref="F738:G738"/>
    <mergeCell ref="B739:E739"/>
    <mergeCell ref="F739:G739"/>
    <mergeCell ref="B740:E740"/>
    <mergeCell ref="F740:G740"/>
    <mergeCell ref="B735:E735"/>
    <mergeCell ref="F735:G735"/>
    <mergeCell ref="B736:E736"/>
    <mergeCell ref="F736:G736"/>
    <mergeCell ref="B737:E737"/>
    <mergeCell ref="F737:G737"/>
    <mergeCell ref="B731:E731"/>
    <mergeCell ref="F731:G731"/>
    <mergeCell ref="B733:E733"/>
    <mergeCell ref="F733:G733"/>
    <mergeCell ref="B734:E734"/>
    <mergeCell ref="F734:G734"/>
    <mergeCell ref="B728:E728"/>
    <mergeCell ref="F728:G728"/>
    <mergeCell ref="B729:E729"/>
    <mergeCell ref="F729:G729"/>
    <mergeCell ref="B730:E730"/>
    <mergeCell ref="F730:G730"/>
    <mergeCell ref="B725:E725"/>
    <mergeCell ref="F725:G725"/>
    <mergeCell ref="B726:E726"/>
    <mergeCell ref="F726:G726"/>
    <mergeCell ref="B727:E727"/>
    <mergeCell ref="F727:G727"/>
    <mergeCell ref="B722:E722"/>
    <mergeCell ref="F722:G722"/>
    <mergeCell ref="B723:E723"/>
    <mergeCell ref="F723:G723"/>
    <mergeCell ref="B724:E724"/>
    <mergeCell ref="F724:G724"/>
    <mergeCell ref="B719:E719"/>
    <mergeCell ref="F719:G719"/>
    <mergeCell ref="B720:E720"/>
    <mergeCell ref="F720:G720"/>
    <mergeCell ref="B721:E721"/>
    <mergeCell ref="F721:G721"/>
    <mergeCell ref="B716:E716"/>
    <mergeCell ref="F716:G716"/>
    <mergeCell ref="B717:E717"/>
    <mergeCell ref="F717:G717"/>
    <mergeCell ref="B718:E718"/>
    <mergeCell ref="F718:G718"/>
    <mergeCell ref="B713:E713"/>
    <mergeCell ref="F713:G713"/>
    <mergeCell ref="B714:E714"/>
    <mergeCell ref="F714:G714"/>
    <mergeCell ref="B715:E715"/>
    <mergeCell ref="F715:G715"/>
    <mergeCell ref="B710:E710"/>
    <mergeCell ref="F710:G710"/>
    <mergeCell ref="B711:E711"/>
    <mergeCell ref="F711:G711"/>
    <mergeCell ref="B712:E712"/>
    <mergeCell ref="F712:G712"/>
    <mergeCell ref="B707:E707"/>
    <mergeCell ref="F707:G707"/>
    <mergeCell ref="B708:E708"/>
    <mergeCell ref="F708:G708"/>
    <mergeCell ref="B709:E709"/>
    <mergeCell ref="F709:G709"/>
    <mergeCell ref="B704:E704"/>
    <mergeCell ref="F704:G704"/>
    <mergeCell ref="B705:E705"/>
    <mergeCell ref="F705:G705"/>
    <mergeCell ref="B706:E706"/>
    <mergeCell ref="F706:G706"/>
    <mergeCell ref="B701:E701"/>
    <mergeCell ref="F701:G701"/>
    <mergeCell ref="B702:E702"/>
    <mergeCell ref="F702:G702"/>
    <mergeCell ref="B703:E703"/>
    <mergeCell ref="F703:G703"/>
    <mergeCell ref="B698:E698"/>
    <mergeCell ref="F698:G698"/>
    <mergeCell ref="B699:E699"/>
    <mergeCell ref="F699:G699"/>
    <mergeCell ref="B700:E700"/>
    <mergeCell ref="F700:G700"/>
    <mergeCell ref="B695:E695"/>
    <mergeCell ref="F695:G695"/>
    <mergeCell ref="B696:E696"/>
    <mergeCell ref="F696:G696"/>
    <mergeCell ref="B697:E697"/>
    <mergeCell ref="F697:G697"/>
    <mergeCell ref="B692:E692"/>
    <mergeCell ref="F692:G692"/>
    <mergeCell ref="B693:E693"/>
    <mergeCell ref="F693:G693"/>
    <mergeCell ref="B694:E694"/>
    <mergeCell ref="F694:G694"/>
    <mergeCell ref="B689:E689"/>
    <mergeCell ref="F689:G689"/>
    <mergeCell ref="B690:E690"/>
    <mergeCell ref="F690:G690"/>
    <mergeCell ref="B691:E691"/>
    <mergeCell ref="F691:G691"/>
    <mergeCell ref="B686:E686"/>
    <mergeCell ref="F686:G686"/>
    <mergeCell ref="B687:E687"/>
    <mergeCell ref="F687:G687"/>
    <mergeCell ref="B688:E688"/>
    <mergeCell ref="F688:G688"/>
    <mergeCell ref="B683:E683"/>
    <mergeCell ref="F683:G683"/>
    <mergeCell ref="B684:E684"/>
    <mergeCell ref="F684:G684"/>
    <mergeCell ref="B685:E685"/>
    <mergeCell ref="F685:G685"/>
    <mergeCell ref="B680:E680"/>
    <mergeCell ref="F680:G680"/>
    <mergeCell ref="B681:E681"/>
    <mergeCell ref="F681:G681"/>
    <mergeCell ref="B682:E682"/>
    <mergeCell ref="F682:G682"/>
    <mergeCell ref="B677:E677"/>
    <mergeCell ref="F677:G677"/>
    <mergeCell ref="B678:E678"/>
    <mergeCell ref="F678:G678"/>
    <mergeCell ref="B679:E679"/>
    <mergeCell ref="F679:G679"/>
    <mergeCell ref="B674:E674"/>
    <mergeCell ref="F674:G674"/>
    <mergeCell ref="B675:E675"/>
    <mergeCell ref="F675:G675"/>
    <mergeCell ref="B676:E676"/>
    <mergeCell ref="F676:G676"/>
    <mergeCell ref="B671:E671"/>
    <mergeCell ref="F671:G671"/>
    <mergeCell ref="B672:E672"/>
    <mergeCell ref="F672:G672"/>
    <mergeCell ref="B673:E673"/>
    <mergeCell ref="F673:G673"/>
    <mergeCell ref="B668:E668"/>
    <mergeCell ref="F668:G668"/>
    <mergeCell ref="B669:E669"/>
    <mergeCell ref="F669:G669"/>
    <mergeCell ref="B670:E670"/>
    <mergeCell ref="F670:G670"/>
    <mergeCell ref="B665:E665"/>
    <mergeCell ref="F665:G665"/>
    <mergeCell ref="B666:E666"/>
    <mergeCell ref="F666:G666"/>
    <mergeCell ref="B667:E667"/>
    <mergeCell ref="F667:G667"/>
    <mergeCell ref="B662:E662"/>
    <mergeCell ref="F662:G662"/>
    <mergeCell ref="B663:E663"/>
    <mergeCell ref="F663:G663"/>
    <mergeCell ref="B664:E664"/>
    <mergeCell ref="F664:G664"/>
    <mergeCell ref="B659:E659"/>
    <mergeCell ref="F659:G659"/>
    <mergeCell ref="B660:E660"/>
    <mergeCell ref="F660:G660"/>
    <mergeCell ref="B661:E661"/>
    <mergeCell ref="F661:G661"/>
    <mergeCell ref="B656:E656"/>
    <mergeCell ref="F656:G656"/>
    <mergeCell ref="B657:E657"/>
    <mergeCell ref="F657:G657"/>
    <mergeCell ref="B658:E658"/>
    <mergeCell ref="F658:G658"/>
    <mergeCell ref="B653:E653"/>
    <mergeCell ref="F653:G653"/>
    <mergeCell ref="B654:E654"/>
    <mergeCell ref="F654:G654"/>
    <mergeCell ref="B655:E655"/>
    <mergeCell ref="F655:G655"/>
    <mergeCell ref="B650:E650"/>
    <mergeCell ref="F650:G650"/>
    <mergeCell ref="B651:E651"/>
    <mergeCell ref="F651:G651"/>
    <mergeCell ref="B652:E652"/>
    <mergeCell ref="F652:G652"/>
    <mergeCell ref="B647:E647"/>
    <mergeCell ref="F647:G647"/>
    <mergeCell ref="B648:E648"/>
    <mergeCell ref="F648:G648"/>
    <mergeCell ref="B649:E649"/>
    <mergeCell ref="F649:G649"/>
    <mergeCell ref="B644:E644"/>
    <mergeCell ref="F644:G644"/>
    <mergeCell ref="B645:E645"/>
    <mergeCell ref="F645:G645"/>
    <mergeCell ref="B646:E646"/>
    <mergeCell ref="F646:G646"/>
    <mergeCell ref="B641:E641"/>
    <mergeCell ref="F641:G641"/>
    <mergeCell ref="B642:E642"/>
    <mergeCell ref="F642:G642"/>
    <mergeCell ref="B643:E643"/>
    <mergeCell ref="F643:G643"/>
    <mergeCell ref="B638:E638"/>
    <mergeCell ref="F638:G638"/>
    <mergeCell ref="B639:E639"/>
    <mergeCell ref="F639:G639"/>
    <mergeCell ref="B640:E640"/>
    <mergeCell ref="F640:G640"/>
    <mergeCell ref="B635:E635"/>
    <mergeCell ref="F635:G635"/>
    <mergeCell ref="B636:E636"/>
    <mergeCell ref="F636:G636"/>
    <mergeCell ref="B637:E637"/>
    <mergeCell ref="F637:G637"/>
    <mergeCell ref="B632:E632"/>
    <mergeCell ref="F632:G632"/>
    <mergeCell ref="B633:E633"/>
    <mergeCell ref="F633:G633"/>
    <mergeCell ref="B634:E634"/>
    <mergeCell ref="F634:G634"/>
    <mergeCell ref="B629:E629"/>
    <mergeCell ref="F629:G629"/>
    <mergeCell ref="B630:E630"/>
    <mergeCell ref="F630:G630"/>
    <mergeCell ref="B631:E631"/>
    <mergeCell ref="F631:G631"/>
    <mergeCell ref="B626:E626"/>
    <mergeCell ref="F626:G626"/>
    <mergeCell ref="B627:E627"/>
    <mergeCell ref="F627:G627"/>
    <mergeCell ref="B628:E628"/>
    <mergeCell ref="F628:G628"/>
    <mergeCell ref="B623:E623"/>
    <mergeCell ref="F623:G623"/>
    <mergeCell ref="B624:E624"/>
    <mergeCell ref="F624:G624"/>
    <mergeCell ref="B625:E625"/>
    <mergeCell ref="F625:G625"/>
    <mergeCell ref="B620:E620"/>
    <mergeCell ref="F620:G620"/>
    <mergeCell ref="B621:E621"/>
    <mergeCell ref="F621:G621"/>
    <mergeCell ref="B622:E622"/>
    <mergeCell ref="F622:G622"/>
    <mergeCell ref="B617:E617"/>
    <mergeCell ref="F617:G617"/>
    <mergeCell ref="B618:E618"/>
    <mergeCell ref="F618:G618"/>
    <mergeCell ref="B619:E619"/>
    <mergeCell ref="F619:G619"/>
    <mergeCell ref="B614:E614"/>
    <mergeCell ref="F614:G614"/>
    <mergeCell ref="B615:E615"/>
    <mergeCell ref="F615:G615"/>
    <mergeCell ref="B616:E616"/>
    <mergeCell ref="F616:G616"/>
    <mergeCell ref="B611:E611"/>
    <mergeCell ref="F611:G611"/>
    <mergeCell ref="B612:E612"/>
    <mergeCell ref="F612:G612"/>
    <mergeCell ref="B613:E613"/>
    <mergeCell ref="F613:G613"/>
    <mergeCell ref="B608:E608"/>
    <mergeCell ref="F608:G608"/>
    <mergeCell ref="B609:E609"/>
    <mergeCell ref="F609:G609"/>
    <mergeCell ref="B610:E610"/>
    <mergeCell ref="F610:G610"/>
    <mergeCell ref="B605:E605"/>
    <mergeCell ref="F605:G605"/>
    <mergeCell ref="B606:E606"/>
    <mergeCell ref="F606:G606"/>
    <mergeCell ref="B607:E607"/>
    <mergeCell ref="F607:G607"/>
    <mergeCell ref="B602:E602"/>
    <mergeCell ref="F602:G602"/>
    <mergeCell ref="B603:E603"/>
    <mergeCell ref="F603:G603"/>
    <mergeCell ref="B604:E604"/>
    <mergeCell ref="F604:G604"/>
    <mergeCell ref="B599:E599"/>
    <mergeCell ref="F599:G599"/>
    <mergeCell ref="B600:E600"/>
    <mergeCell ref="F600:G600"/>
    <mergeCell ref="B601:E601"/>
    <mergeCell ref="F601:G601"/>
    <mergeCell ref="B596:E596"/>
    <mergeCell ref="F596:G596"/>
    <mergeCell ref="B597:E597"/>
    <mergeCell ref="F597:G597"/>
    <mergeCell ref="B598:E598"/>
    <mergeCell ref="F598:G598"/>
    <mergeCell ref="B593:E593"/>
    <mergeCell ref="F593:G593"/>
    <mergeCell ref="B594:E594"/>
    <mergeCell ref="F594:G594"/>
    <mergeCell ref="B595:E595"/>
    <mergeCell ref="F595:G595"/>
    <mergeCell ref="B590:E590"/>
    <mergeCell ref="F590:G590"/>
    <mergeCell ref="B591:E591"/>
    <mergeCell ref="F591:G591"/>
    <mergeCell ref="B592:E592"/>
    <mergeCell ref="F592:G592"/>
    <mergeCell ref="B587:E587"/>
    <mergeCell ref="F587:G587"/>
    <mergeCell ref="B588:E588"/>
    <mergeCell ref="F588:G588"/>
    <mergeCell ref="B589:E589"/>
    <mergeCell ref="F589:G589"/>
    <mergeCell ref="B584:E584"/>
    <mergeCell ref="F584:G584"/>
    <mergeCell ref="B585:E585"/>
    <mergeCell ref="F585:G585"/>
    <mergeCell ref="B586:E586"/>
    <mergeCell ref="F586:G586"/>
    <mergeCell ref="B581:E581"/>
    <mergeCell ref="F581:G581"/>
    <mergeCell ref="B582:E582"/>
    <mergeCell ref="F582:G582"/>
    <mergeCell ref="B583:E583"/>
    <mergeCell ref="F583:G583"/>
    <mergeCell ref="B578:E578"/>
    <mergeCell ref="F578:G578"/>
    <mergeCell ref="B579:E579"/>
    <mergeCell ref="F579:G579"/>
    <mergeCell ref="B580:E580"/>
    <mergeCell ref="F580:G580"/>
    <mergeCell ref="B575:E575"/>
    <mergeCell ref="F575:G575"/>
    <mergeCell ref="B576:E576"/>
    <mergeCell ref="F576:G576"/>
    <mergeCell ref="B577:E577"/>
    <mergeCell ref="F577:G577"/>
    <mergeCell ref="B572:E572"/>
    <mergeCell ref="F572:G572"/>
    <mergeCell ref="B573:E573"/>
    <mergeCell ref="F573:G573"/>
    <mergeCell ref="B574:E574"/>
    <mergeCell ref="F574:G574"/>
    <mergeCell ref="B569:E569"/>
    <mergeCell ref="F569:G569"/>
    <mergeCell ref="B570:E570"/>
    <mergeCell ref="F570:G570"/>
    <mergeCell ref="B571:E571"/>
    <mergeCell ref="F571:G571"/>
    <mergeCell ref="B566:E566"/>
    <mergeCell ref="F566:G566"/>
    <mergeCell ref="B567:E567"/>
    <mergeCell ref="F567:G567"/>
    <mergeCell ref="B568:E568"/>
    <mergeCell ref="F568:G568"/>
    <mergeCell ref="B563:E563"/>
    <mergeCell ref="F563:G563"/>
    <mergeCell ref="B564:E564"/>
    <mergeCell ref="F564:G564"/>
    <mergeCell ref="B565:E565"/>
    <mergeCell ref="F565:G565"/>
    <mergeCell ref="B560:E560"/>
    <mergeCell ref="F560:G560"/>
    <mergeCell ref="B561:E561"/>
    <mergeCell ref="F561:G561"/>
    <mergeCell ref="B562:E562"/>
    <mergeCell ref="F562:G562"/>
    <mergeCell ref="B557:E557"/>
    <mergeCell ref="F557:G557"/>
    <mergeCell ref="B558:E558"/>
    <mergeCell ref="F558:G558"/>
    <mergeCell ref="B559:E559"/>
    <mergeCell ref="F559:G559"/>
    <mergeCell ref="B554:E554"/>
    <mergeCell ref="F554:G554"/>
    <mergeCell ref="B555:E555"/>
    <mergeCell ref="F555:G555"/>
    <mergeCell ref="B556:E556"/>
    <mergeCell ref="F556:G556"/>
    <mergeCell ref="B551:E551"/>
    <mergeCell ref="F551:G551"/>
    <mergeCell ref="B552:E552"/>
    <mergeCell ref="F552:G552"/>
    <mergeCell ref="B553:E553"/>
    <mergeCell ref="F553:G553"/>
    <mergeCell ref="B548:E548"/>
    <mergeCell ref="F548:G548"/>
    <mergeCell ref="B549:E549"/>
    <mergeCell ref="F549:G549"/>
    <mergeCell ref="B550:E550"/>
    <mergeCell ref="F550:G550"/>
    <mergeCell ref="B545:E545"/>
    <mergeCell ref="F545:G545"/>
    <mergeCell ref="B546:E546"/>
    <mergeCell ref="F546:G546"/>
    <mergeCell ref="B547:E547"/>
    <mergeCell ref="F547:G547"/>
    <mergeCell ref="B542:E542"/>
    <mergeCell ref="F542:G542"/>
    <mergeCell ref="B543:E543"/>
    <mergeCell ref="F543:G543"/>
    <mergeCell ref="B544:E544"/>
    <mergeCell ref="F544:G544"/>
    <mergeCell ref="B539:E539"/>
    <mergeCell ref="F539:G539"/>
    <mergeCell ref="B540:E540"/>
    <mergeCell ref="F540:G540"/>
    <mergeCell ref="B541:E541"/>
    <mergeCell ref="F541:G541"/>
    <mergeCell ref="B536:E536"/>
    <mergeCell ref="F536:G536"/>
    <mergeCell ref="B537:E537"/>
    <mergeCell ref="F537:G537"/>
    <mergeCell ref="B538:E538"/>
    <mergeCell ref="F538:G538"/>
    <mergeCell ref="B533:E533"/>
    <mergeCell ref="F533:G533"/>
    <mergeCell ref="B534:E534"/>
    <mergeCell ref="F534:G534"/>
    <mergeCell ref="B535:E535"/>
    <mergeCell ref="F535:G535"/>
    <mergeCell ref="B530:E530"/>
    <mergeCell ref="F530:G530"/>
    <mergeCell ref="B531:E531"/>
    <mergeCell ref="F531:G531"/>
    <mergeCell ref="B532:E532"/>
    <mergeCell ref="F532:G532"/>
    <mergeCell ref="B527:E527"/>
    <mergeCell ref="F527:G527"/>
    <mergeCell ref="B528:E528"/>
    <mergeCell ref="F528:G528"/>
    <mergeCell ref="B529:E529"/>
    <mergeCell ref="F529:G529"/>
    <mergeCell ref="B524:E524"/>
    <mergeCell ref="F524:G524"/>
    <mergeCell ref="B525:E525"/>
    <mergeCell ref="F525:G525"/>
    <mergeCell ref="B526:E526"/>
    <mergeCell ref="F526:G526"/>
    <mergeCell ref="B521:E521"/>
    <mergeCell ref="F521:G521"/>
    <mergeCell ref="B522:E522"/>
    <mergeCell ref="F522:G522"/>
    <mergeCell ref="B523:E523"/>
    <mergeCell ref="F523:G523"/>
    <mergeCell ref="B518:E518"/>
    <mergeCell ref="F518:G518"/>
    <mergeCell ref="B519:E519"/>
    <mergeCell ref="F519:G519"/>
    <mergeCell ref="B520:E520"/>
    <mergeCell ref="F520:G520"/>
    <mergeCell ref="B515:E515"/>
    <mergeCell ref="F515:G515"/>
    <mergeCell ref="B516:E516"/>
    <mergeCell ref="F516:G516"/>
    <mergeCell ref="B517:E517"/>
    <mergeCell ref="F517:G517"/>
    <mergeCell ref="B512:E512"/>
    <mergeCell ref="F512:G512"/>
    <mergeCell ref="B513:E513"/>
    <mergeCell ref="F513:G513"/>
    <mergeCell ref="B514:E514"/>
    <mergeCell ref="F514:G514"/>
    <mergeCell ref="B509:E509"/>
    <mergeCell ref="F509:G509"/>
    <mergeCell ref="B510:E510"/>
    <mergeCell ref="F510:G510"/>
    <mergeCell ref="B511:E511"/>
    <mergeCell ref="F511:G511"/>
    <mergeCell ref="B506:E506"/>
    <mergeCell ref="F506:G506"/>
    <mergeCell ref="B507:E507"/>
    <mergeCell ref="F507:G507"/>
    <mergeCell ref="B508:E508"/>
    <mergeCell ref="F508:G508"/>
    <mergeCell ref="B503:E503"/>
    <mergeCell ref="F503:G503"/>
    <mergeCell ref="B504:E504"/>
    <mergeCell ref="F504:G504"/>
    <mergeCell ref="B505:E505"/>
    <mergeCell ref="F505:G505"/>
    <mergeCell ref="B500:E500"/>
    <mergeCell ref="F500:G500"/>
    <mergeCell ref="B501:E501"/>
    <mergeCell ref="F501:G501"/>
    <mergeCell ref="B502:E502"/>
    <mergeCell ref="F502:G502"/>
    <mergeCell ref="B497:E497"/>
    <mergeCell ref="F497:G497"/>
    <mergeCell ref="B498:E498"/>
    <mergeCell ref="F498:G498"/>
    <mergeCell ref="B499:E499"/>
    <mergeCell ref="F499:G499"/>
    <mergeCell ref="B494:E494"/>
    <mergeCell ref="F494:G494"/>
    <mergeCell ref="B495:E495"/>
    <mergeCell ref="F495:G495"/>
    <mergeCell ref="B496:E496"/>
    <mergeCell ref="F496:G496"/>
    <mergeCell ref="B490:E490"/>
    <mergeCell ref="F490:G490"/>
    <mergeCell ref="B491:E491"/>
    <mergeCell ref="F491:G491"/>
    <mergeCell ref="B492:E492"/>
    <mergeCell ref="F492:G492"/>
    <mergeCell ref="B487:E487"/>
    <mergeCell ref="F487:G487"/>
    <mergeCell ref="B488:E488"/>
    <mergeCell ref="F488:G488"/>
    <mergeCell ref="B489:E489"/>
    <mergeCell ref="F489:G489"/>
    <mergeCell ref="B484:E484"/>
    <mergeCell ref="F484:G484"/>
    <mergeCell ref="B485:E485"/>
    <mergeCell ref="F485:G485"/>
    <mergeCell ref="B486:E486"/>
    <mergeCell ref="F486:G486"/>
    <mergeCell ref="B481:E481"/>
    <mergeCell ref="F481:G481"/>
    <mergeCell ref="B482:E482"/>
    <mergeCell ref="F482:G482"/>
    <mergeCell ref="B483:E483"/>
    <mergeCell ref="F483:G483"/>
    <mergeCell ref="B478:E478"/>
    <mergeCell ref="F478:G478"/>
    <mergeCell ref="B479:E479"/>
    <mergeCell ref="F479:G479"/>
    <mergeCell ref="B480:E480"/>
    <mergeCell ref="F480:G480"/>
    <mergeCell ref="B475:E475"/>
    <mergeCell ref="F475:G475"/>
    <mergeCell ref="B476:E476"/>
    <mergeCell ref="F476:G476"/>
    <mergeCell ref="B477:E477"/>
    <mergeCell ref="F477:G477"/>
    <mergeCell ref="B472:E472"/>
    <mergeCell ref="F472:G472"/>
    <mergeCell ref="B473:E473"/>
    <mergeCell ref="F473:G473"/>
    <mergeCell ref="B474:E474"/>
    <mergeCell ref="F474:G474"/>
    <mergeCell ref="B469:E469"/>
    <mergeCell ref="F469:G469"/>
    <mergeCell ref="B470:E470"/>
    <mergeCell ref="F470:G470"/>
    <mergeCell ref="B471:E471"/>
    <mergeCell ref="F471:G471"/>
    <mergeCell ref="B466:E466"/>
    <mergeCell ref="F466:G466"/>
    <mergeCell ref="B467:E467"/>
    <mergeCell ref="F467:G467"/>
    <mergeCell ref="B468:E468"/>
    <mergeCell ref="F468:G468"/>
    <mergeCell ref="B463:E463"/>
    <mergeCell ref="F463:G463"/>
    <mergeCell ref="B464:E464"/>
    <mergeCell ref="F464:G464"/>
    <mergeCell ref="B465:E465"/>
    <mergeCell ref="F465:G465"/>
    <mergeCell ref="B460:E460"/>
    <mergeCell ref="F460:G460"/>
    <mergeCell ref="B461:E461"/>
    <mergeCell ref="F461:G461"/>
    <mergeCell ref="B462:E462"/>
    <mergeCell ref="F462:G462"/>
    <mergeCell ref="B457:E457"/>
    <mergeCell ref="F457:G457"/>
    <mergeCell ref="B458:E458"/>
    <mergeCell ref="F458:G458"/>
    <mergeCell ref="B459:E459"/>
    <mergeCell ref="F459:G459"/>
    <mergeCell ref="B454:E454"/>
    <mergeCell ref="F454:G454"/>
    <mergeCell ref="B455:E455"/>
    <mergeCell ref="F455:G455"/>
    <mergeCell ref="B456:E456"/>
    <mergeCell ref="F456:G456"/>
    <mergeCell ref="B451:E451"/>
    <mergeCell ref="F451:G451"/>
    <mergeCell ref="B452:E452"/>
    <mergeCell ref="F452:G452"/>
    <mergeCell ref="B453:E453"/>
    <mergeCell ref="F453:G453"/>
    <mergeCell ref="B448:E448"/>
    <mergeCell ref="F448:G448"/>
    <mergeCell ref="B449:E449"/>
    <mergeCell ref="F449:G449"/>
    <mergeCell ref="B450:E450"/>
    <mergeCell ref="F450:G450"/>
    <mergeCell ref="B445:E445"/>
    <mergeCell ref="F445:G445"/>
    <mergeCell ref="B446:E446"/>
    <mergeCell ref="F446:G446"/>
    <mergeCell ref="B447:E447"/>
    <mergeCell ref="F447:G447"/>
    <mergeCell ref="B442:E442"/>
    <mergeCell ref="F442:G442"/>
    <mergeCell ref="B443:E443"/>
    <mergeCell ref="F443:G443"/>
    <mergeCell ref="B444:E444"/>
    <mergeCell ref="F444:G444"/>
    <mergeCell ref="B439:E439"/>
    <mergeCell ref="F439:G439"/>
    <mergeCell ref="B440:E440"/>
    <mergeCell ref="F440:G440"/>
    <mergeCell ref="B441:E441"/>
    <mergeCell ref="F441:G441"/>
    <mergeCell ref="B436:E436"/>
    <mergeCell ref="F436:G436"/>
    <mergeCell ref="B437:E437"/>
    <mergeCell ref="F437:G437"/>
    <mergeCell ref="B438:E438"/>
    <mergeCell ref="F438:G438"/>
    <mergeCell ref="B433:E433"/>
    <mergeCell ref="F433:G433"/>
    <mergeCell ref="B434:E434"/>
    <mergeCell ref="F434:G434"/>
    <mergeCell ref="B435:E435"/>
    <mergeCell ref="F435:G435"/>
    <mergeCell ref="B430:E430"/>
    <mergeCell ref="F430:G430"/>
    <mergeCell ref="B431:E431"/>
    <mergeCell ref="F431:G431"/>
    <mergeCell ref="B432:E432"/>
    <mergeCell ref="F432:G432"/>
    <mergeCell ref="B427:E427"/>
    <mergeCell ref="F427:G427"/>
    <mergeCell ref="B428:E428"/>
    <mergeCell ref="F428:G428"/>
    <mergeCell ref="B429:E429"/>
    <mergeCell ref="F429:G429"/>
    <mergeCell ref="B424:E424"/>
    <mergeCell ref="F424:G424"/>
    <mergeCell ref="B425:E425"/>
    <mergeCell ref="F425:G425"/>
    <mergeCell ref="B426:E426"/>
    <mergeCell ref="F426:G426"/>
    <mergeCell ref="B421:E421"/>
    <mergeCell ref="F421:G421"/>
    <mergeCell ref="B422:E422"/>
    <mergeCell ref="F422:G422"/>
    <mergeCell ref="B423:E423"/>
    <mergeCell ref="F423:G423"/>
    <mergeCell ref="B417:E417"/>
    <mergeCell ref="F417:G417"/>
    <mergeCell ref="B418:E418"/>
    <mergeCell ref="F418:G418"/>
    <mergeCell ref="B419:E419"/>
    <mergeCell ref="F419:G419"/>
    <mergeCell ref="B414:E414"/>
    <mergeCell ref="F414:G414"/>
    <mergeCell ref="B415:E415"/>
    <mergeCell ref="F415:G415"/>
    <mergeCell ref="B416:E416"/>
    <mergeCell ref="F416:G416"/>
    <mergeCell ref="B411:E411"/>
    <mergeCell ref="F411:G411"/>
    <mergeCell ref="B412:E412"/>
    <mergeCell ref="F412:G412"/>
    <mergeCell ref="B413:E413"/>
    <mergeCell ref="F413:G413"/>
    <mergeCell ref="B408:E408"/>
    <mergeCell ref="F408:G408"/>
    <mergeCell ref="B409:E409"/>
    <mergeCell ref="F409:G409"/>
    <mergeCell ref="B410:E410"/>
    <mergeCell ref="F410:G410"/>
    <mergeCell ref="B405:E405"/>
    <mergeCell ref="F405:G405"/>
    <mergeCell ref="B406:E406"/>
    <mergeCell ref="F406:G406"/>
    <mergeCell ref="B407:E407"/>
    <mergeCell ref="F407:G407"/>
    <mergeCell ref="B402:E402"/>
    <mergeCell ref="F402:G402"/>
    <mergeCell ref="B403:E403"/>
    <mergeCell ref="F403:G403"/>
    <mergeCell ref="B404:E404"/>
    <mergeCell ref="F404:G404"/>
    <mergeCell ref="B399:E399"/>
    <mergeCell ref="F399:G399"/>
    <mergeCell ref="B400:E400"/>
    <mergeCell ref="F400:G400"/>
    <mergeCell ref="B401:E401"/>
    <mergeCell ref="F401:G401"/>
    <mergeCell ref="B396:E396"/>
    <mergeCell ref="F396:G396"/>
    <mergeCell ref="B397:E397"/>
    <mergeCell ref="F397:G397"/>
    <mergeCell ref="B398:E398"/>
    <mergeCell ref="F398:G398"/>
    <mergeCell ref="B393:E393"/>
    <mergeCell ref="F393:G393"/>
    <mergeCell ref="B394:E394"/>
    <mergeCell ref="F394:G394"/>
    <mergeCell ref="B395:E395"/>
    <mergeCell ref="F395:G395"/>
    <mergeCell ref="B390:E390"/>
    <mergeCell ref="F390:G390"/>
    <mergeCell ref="B391:E391"/>
    <mergeCell ref="F391:G391"/>
    <mergeCell ref="B392:E392"/>
    <mergeCell ref="F392:G392"/>
    <mergeCell ref="B387:E387"/>
    <mergeCell ref="F387:G387"/>
    <mergeCell ref="B388:E388"/>
    <mergeCell ref="F388:G388"/>
    <mergeCell ref="B389:E389"/>
    <mergeCell ref="F389:G389"/>
    <mergeCell ref="B384:E384"/>
    <mergeCell ref="F384:G384"/>
    <mergeCell ref="B385:E385"/>
    <mergeCell ref="F385:G385"/>
    <mergeCell ref="B386:E386"/>
    <mergeCell ref="F386:G386"/>
    <mergeCell ref="B381:E381"/>
    <mergeCell ref="F381:G381"/>
    <mergeCell ref="B382:E382"/>
    <mergeCell ref="F382:G382"/>
    <mergeCell ref="B383:E383"/>
    <mergeCell ref="F383:G383"/>
    <mergeCell ref="B378:E378"/>
    <mergeCell ref="F378:G378"/>
    <mergeCell ref="B379:E379"/>
    <mergeCell ref="F379:G379"/>
    <mergeCell ref="B380:E380"/>
    <mergeCell ref="F380:G380"/>
    <mergeCell ref="B375:E375"/>
    <mergeCell ref="F375:G375"/>
    <mergeCell ref="B376:E376"/>
    <mergeCell ref="F376:G376"/>
    <mergeCell ref="B377:E377"/>
    <mergeCell ref="F377:G377"/>
    <mergeCell ref="B372:E372"/>
    <mergeCell ref="F372:G372"/>
    <mergeCell ref="B373:E373"/>
    <mergeCell ref="F373:G373"/>
    <mergeCell ref="B374:E374"/>
    <mergeCell ref="F374:G374"/>
    <mergeCell ref="B369:E369"/>
    <mergeCell ref="F369:G369"/>
    <mergeCell ref="B370:E370"/>
    <mergeCell ref="F370:G370"/>
    <mergeCell ref="B371:E371"/>
    <mergeCell ref="F371:G371"/>
    <mergeCell ref="B366:E366"/>
    <mergeCell ref="F366:G366"/>
    <mergeCell ref="B367:E367"/>
    <mergeCell ref="F367:G367"/>
    <mergeCell ref="B368:E368"/>
    <mergeCell ref="F368:G368"/>
    <mergeCell ref="B363:E363"/>
    <mergeCell ref="F363:G363"/>
    <mergeCell ref="B364:E364"/>
    <mergeCell ref="F364:G364"/>
    <mergeCell ref="B365:E365"/>
    <mergeCell ref="F365:G365"/>
    <mergeCell ref="B360:E360"/>
    <mergeCell ref="F360:G360"/>
    <mergeCell ref="B361:E361"/>
    <mergeCell ref="F361:G361"/>
    <mergeCell ref="B362:E362"/>
    <mergeCell ref="F362:G362"/>
    <mergeCell ref="B357:E357"/>
    <mergeCell ref="F357:G357"/>
    <mergeCell ref="B358:E358"/>
    <mergeCell ref="F358:G358"/>
    <mergeCell ref="B359:E359"/>
    <mergeCell ref="F359:G359"/>
    <mergeCell ref="B354:E354"/>
    <mergeCell ref="F354:G354"/>
    <mergeCell ref="B355:E355"/>
    <mergeCell ref="F355:G355"/>
    <mergeCell ref="B356:E356"/>
    <mergeCell ref="F356:G356"/>
    <mergeCell ref="B351:E351"/>
    <mergeCell ref="F351:G351"/>
    <mergeCell ref="B352:E352"/>
    <mergeCell ref="F352:G352"/>
    <mergeCell ref="B353:E353"/>
    <mergeCell ref="F353:G353"/>
    <mergeCell ref="B348:E348"/>
    <mergeCell ref="F348:G348"/>
    <mergeCell ref="B349:E349"/>
    <mergeCell ref="F349:G349"/>
    <mergeCell ref="B350:E350"/>
    <mergeCell ref="F350:G350"/>
    <mergeCell ref="B345:E345"/>
    <mergeCell ref="F345:G345"/>
    <mergeCell ref="B346:E346"/>
    <mergeCell ref="F346:G346"/>
    <mergeCell ref="B347:E347"/>
    <mergeCell ref="F347:G347"/>
    <mergeCell ref="B342:E342"/>
    <mergeCell ref="F342:G342"/>
    <mergeCell ref="B343:E343"/>
    <mergeCell ref="F343:G343"/>
    <mergeCell ref="B344:E344"/>
    <mergeCell ref="F344:G344"/>
    <mergeCell ref="B339:E339"/>
    <mergeCell ref="F339:G339"/>
    <mergeCell ref="B340:E340"/>
    <mergeCell ref="F340:G340"/>
    <mergeCell ref="B341:E341"/>
    <mergeCell ref="F341:G341"/>
    <mergeCell ref="B336:E336"/>
    <mergeCell ref="F336:G336"/>
    <mergeCell ref="B337:E337"/>
    <mergeCell ref="F337:G337"/>
    <mergeCell ref="B338:E338"/>
    <mergeCell ref="F338:G338"/>
    <mergeCell ref="B333:E333"/>
    <mergeCell ref="F333:G333"/>
    <mergeCell ref="B334:E334"/>
    <mergeCell ref="F334:G334"/>
    <mergeCell ref="B335:E335"/>
    <mergeCell ref="F335:G335"/>
    <mergeCell ref="B330:E330"/>
    <mergeCell ref="F330:G330"/>
    <mergeCell ref="B331:E331"/>
    <mergeCell ref="F331:G331"/>
    <mergeCell ref="B332:E332"/>
    <mergeCell ref="F332:G332"/>
    <mergeCell ref="B327:E327"/>
    <mergeCell ref="F327:G327"/>
    <mergeCell ref="B328:E328"/>
    <mergeCell ref="F328:G328"/>
    <mergeCell ref="B329:E329"/>
    <mergeCell ref="F329:G329"/>
    <mergeCell ref="B324:E324"/>
    <mergeCell ref="F324:G324"/>
    <mergeCell ref="B325:E325"/>
    <mergeCell ref="F325:G325"/>
    <mergeCell ref="B326:E326"/>
    <mergeCell ref="F326:G326"/>
    <mergeCell ref="B321:E321"/>
    <mergeCell ref="F321:G321"/>
    <mergeCell ref="B322:E322"/>
    <mergeCell ref="F322:G322"/>
    <mergeCell ref="B323:E323"/>
    <mergeCell ref="F323:G323"/>
    <mergeCell ref="B318:E318"/>
    <mergeCell ref="F318:G318"/>
    <mergeCell ref="B319:E319"/>
    <mergeCell ref="F319:G319"/>
    <mergeCell ref="B320:E320"/>
    <mergeCell ref="F320:G320"/>
    <mergeCell ref="B315:E315"/>
    <mergeCell ref="F315:G315"/>
    <mergeCell ref="B316:E316"/>
    <mergeCell ref="F316:G316"/>
    <mergeCell ref="B317:E317"/>
    <mergeCell ref="F317:G317"/>
    <mergeCell ref="B312:E312"/>
    <mergeCell ref="F312:G312"/>
    <mergeCell ref="B313:E313"/>
    <mergeCell ref="F313:G313"/>
    <mergeCell ref="B314:E314"/>
    <mergeCell ref="F314:G314"/>
    <mergeCell ref="B309:E309"/>
    <mergeCell ref="F309:G309"/>
    <mergeCell ref="B310:E310"/>
    <mergeCell ref="F310:G310"/>
    <mergeCell ref="B311:E311"/>
    <mergeCell ref="F311:G311"/>
    <mergeCell ref="B305:E305"/>
    <mergeCell ref="F305:G305"/>
    <mergeCell ref="B306:E306"/>
    <mergeCell ref="F306:G306"/>
    <mergeCell ref="B307:E307"/>
    <mergeCell ref="F307:G307"/>
    <mergeCell ref="B302:E302"/>
    <mergeCell ref="F302:G302"/>
    <mergeCell ref="B303:E303"/>
    <mergeCell ref="F303:G303"/>
    <mergeCell ref="B304:E304"/>
    <mergeCell ref="F304:G304"/>
    <mergeCell ref="B299:E299"/>
    <mergeCell ref="F299:G299"/>
    <mergeCell ref="B300:E300"/>
    <mergeCell ref="F300:G300"/>
    <mergeCell ref="B301:E301"/>
    <mergeCell ref="F301:G301"/>
    <mergeCell ref="B296:E296"/>
    <mergeCell ref="F296:G296"/>
    <mergeCell ref="B297:E297"/>
    <mergeCell ref="F297:G297"/>
    <mergeCell ref="B298:E298"/>
    <mergeCell ref="F298:G298"/>
    <mergeCell ref="B293:E293"/>
    <mergeCell ref="F293:G293"/>
    <mergeCell ref="B294:E294"/>
    <mergeCell ref="F294:G294"/>
    <mergeCell ref="B295:E295"/>
    <mergeCell ref="F295:G295"/>
    <mergeCell ref="B290:E290"/>
    <mergeCell ref="F290:G290"/>
    <mergeCell ref="B291:E291"/>
    <mergeCell ref="F291:G291"/>
    <mergeCell ref="B292:E292"/>
    <mergeCell ref="F292:G292"/>
    <mergeCell ref="B287:E287"/>
    <mergeCell ref="F287:G287"/>
    <mergeCell ref="B288:E288"/>
    <mergeCell ref="F288:G288"/>
    <mergeCell ref="B289:E289"/>
    <mergeCell ref="F289:G289"/>
    <mergeCell ref="B284:E284"/>
    <mergeCell ref="F284:G284"/>
    <mergeCell ref="B285:E285"/>
    <mergeCell ref="F285:G285"/>
    <mergeCell ref="B286:E286"/>
    <mergeCell ref="F286:G286"/>
    <mergeCell ref="B281:E281"/>
    <mergeCell ref="F281:G281"/>
    <mergeCell ref="B282:E282"/>
    <mergeCell ref="F282:G282"/>
    <mergeCell ref="B283:E283"/>
    <mergeCell ref="F283:G283"/>
    <mergeCell ref="B278:E278"/>
    <mergeCell ref="F278:G278"/>
    <mergeCell ref="B279:E279"/>
    <mergeCell ref="F279:G279"/>
    <mergeCell ref="B280:E280"/>
    <mergeCell ref="F280:G280"/>
    <mergeCell ref="B275:E275"/>
    <mergeCell ref="F275:G275"/>
    <mergeCell ref="B276:E276"/>
    <mergeCell ref="F276:G276"/>
    <mergeCell ref="B277:E277"/>
    <mergeCell ref="F277:G277"/>
    <mergeCell ref="B272:E272"/>
    <mergeCell ref="F272:G272"/>
    <mergeCell ref="B273:E273"/>
    <mergeCell ref="F273:G273"/>
    <mergeCell ref="B274:E274"/>
    <mergeCell ref="F274:G274"/>
    <mergeCell ref="B269:E269"/>
    <mergeCell ref="F269:G269"/>
    <mergeCell ref="B270:E270"/>
    <mergeCell ref="F270:G270"/>
    <mergeCell ref="B271:E271"/>
    <mergeCell ref="F271:G271"/>
    <mergeCell ref="B266:E266"/>
    <mergeCell ref="F266:G266"/>
    <mergeCell ref="B267:E267"/>
    <mergeCell ref="F267:G267"/>
    <mergeCell ref="B268:E268"/>
    <mergeCell ref="F268:G268"/>
    <mergeCell ref="B263:E263"/>
    <mergeCell ref="F263:G263"/>
    <mergeCell ref="B264:E264"/>
    <mergeCell ref="F264:G264"/>
    <mergeCell ref="B265:E265"/>
    <mergeCell ref="F265:G265"/>
    <mergeCell ref="B260:E260"/>
    <mergeCell ref="F260:G260"/>
    <mergeCell ref="B261:E261"/>
    <mergeCell ref="F261:G261"/>
    <mergeCell ref="B262:E262"/>
    <mergeCell ref="F262:G262"/>
    <mergeCell ref="B257:E257"/>
    <mergeCell ref="F257:G257"/>
    <mergeCell ref="B258:E258"/>
    <mergeCell ref="F258:G258"/>
    <mergeCell ref="B259:E259"/>
    <mergeCell ref="F259:G259"/>
    <mergeCell ref="B254:E254"/>
    <mergeCell ref="F254:G254"/>
    <mergeCell ref="B255:E255"/>
    <mergeCell ref="F255:G255"/>
    <mergeCell ref="B256:E256"/>
    <mergeCell ref="F256:G256"/>
    <mergeCell ref="B251:E251"/>
    <mergeCell ref="F251:G251"/>
    <mergeCell ref="B252:E252"/>
    <mergeCell ref="F252:G252"/>
    <mergeCell ref="B253:E253"/>
    <mergeCell ref="F253:G253"/>
    <mergeCell ref="B248:E248"/>
    <mergeCell ref="F248:G248"/>
    <mergeCell ref="B249:E249"/>
    <mergeCell ref="F249:G249"/>
    <mergeCell ref="B250:E250"/>
    <mergeCell ref="F250:G250"/>
    <mergeCell ref="B245:E245"/>
    <mergeCell ref="F245:G245"/>
    <mergeCell ref="B246:E246"/>
    <mergeCell ref="F246:G246"/>
    <mergeCell ref="B247:E247"/>
    <mergeCell ref="F247:G247"/>
    <mergeCell ref="B242:E242"/>
    <mergeCell ref="F242:G242"/>
    <mergeCell ref="B243:E243"/>
    <mergeCell ref="F243:G243"/>
    <mergeCell ref="B244:E244"/>
    <mergeCell ref="F244:G244"/>
    <mergeCell ref="B239:E239"/>
    <mergeCell ref="F239:G239"/>
    <mergeCell ref="B240:E240"/>
    <mergeCell ref="F240:G240"/>
    <mergeCell ref="B241:E241"/>
    <mergeCell ref="F241:G241"/>
    <mergeCell ref="B236:E236"/>
    <mergeCell ref="F236:G236"/>
    <mergeCell ref="B237:E237"/>
    <mergeCell ref="F237:G237"/>
    <mergeCell ref="B238:E238"/>
    <mergeCell ref="F238:G238"/>
    <mergeCell ref="B233:E233"/>
    <mergeCell ref="F233:G233"/>
    <mergeCell ref="B234:E234"/>
    <mergeCell ref="F234:G234"/>
    <mergeCell ref="B235:E235"/>
    <mergeCell ref="F235:G235"/>
    <mergeCell ref="B230:E230"/>
    <mergeCell ref="F230:G230"/>
    <mergeCell ref="B231:E231"/>
    <mergeCell ref="F231:G231"/>
    <mergeCell ref="B232:E232"/>
    <mergeCell ref="F232:G232"/>
    <mergeCell ref="B227:E227"/>
    <mergeCell ref="F227:G227"/>
    <mergeCell ref="B228:E228"/>
    <mergeCell ref="F228:G228"/>
    <mergeCell ref="B229:E229"/>
    <mergeCell ref="F229:G229"/>
    <mergeCell ref="B224:E224"/>
    <mergeCell ref="F224:G224"/>
    <mergeCell ref="B225:E225"/>
    <mergeCell ref="F225:G225"/>
    <mergeCell ref="B226:E226"/>
    <mergeCell ref="F226:G226"/>
    <mergeCell ref="B221:E221"/>
    <mergeCell ref="F221:G221"/>
    <mergeCell ref="B222:E222"/>
    <mergeCell ref="F222:G222"/>
    <mergeCell ref="B223:E223"/>
    <mergeCell ref="F223:G223"/>
    <mergeCell ref="B218:E218"/>
    <mergeCell ref="F218:G218"/>
    <mergeCell ref="B219:E219"/>
    <mergeCell ref="F219:G219"/>
    <mergeCell ref="B220:E220"/>
    <mergeCell ref="F220:G220"/>
    <mergeCell ref="B215:E215"/>
    <mergeCell ref="F215:G215"/>
    <mergeCell ref="B216:E216"/>
    <mergeCell ref="F216:G216"/>
    <mergeCell ref="B217:E217"/>
    <mergeCell ref="F217:G217"/>
    <mergeCell ref="B212:E212"/>
    <mergeCell ref="F212:G212"/>
    <mergeCell ref="B213:E213"/>
    <mergeCell ref="F213:G213"/>
    <mergeCell ref="B214:E214"/>
    <mergeCell ref="F214:G214"/>
    <mergeCell ref="B209:E209"/>
    <mergeCell ref="F209:G209"/>
    <mergeCell ref="B210:E210"/>
    <mergeCell ref="F210:G210"/>
    <mergeCell ref="B211:E211"/>
    <mergeCell ref="F211:G211"/>
    <mergeCell ref="B206:E206"/>
    <mergeCell ref="F206:G206"/>
    <mergeCell ref="B207:E207"/>
    <mergeCell ref="F207:G207"/>
    <mergeCell ref="B208:E208"/>
    <mergeCell ref="F208:G208"/>
    <mergeCell ref="B203:E203"/>
    <mergeCell ref="F203:G203"/>
    <mergeCell ref="B204:E204"/>
    <mergeCell ref="F204:G204"/>
    <mergeCell ref="B205:E205"/>
    <mergeCell ref="F205:G205"/>
    <mergeCell ref="B199:E199"/>
    <mergeCell ref="F199:G199"/>
    <mergeCell ref="B200:E200"/>
    <mergeCell ref="F200:G200"/>
    <mergeCell ref="B201:E201"/>
    <mergeCell ref="F201:G201"/>
    <mergeCell ref="B196:E196"/>
    <mergeCell ref="F196:G196"/>
    <mergeCell ref="B197:E197"/>
    <mergeCell ref="F197:G197"/>
    <mergeCell ref="B198:E198"/>
    <mergeCell ref="F198:G198"/>
    <mergeCell ref="B202:E202"/>
    <mergeCell ref="F202:G202"/>
    <mergeCell ref="B193:E193"/>
    <mergeCell ref="F193:G193"/>
    <mergeCell ref="B194:E194"/>
    <mergeCell ref="F194:G194"/>
    <mergeCell ref="B195:E195"/>
    <mergeCell ref="F195:G195"/>
    <mergeCell ref="B190:E190"/>
    <mergeCell ref="F190:G190"/>
    <mergeCell ref="B191:E191"/>
    <mergeCell ref="F191:G191"/>
    <mergeCell ref="B192:E192"/>
    <mergeCell ref="F192:G192"/>
    <mergeCell ref="B187:E187"/>
    <mergeCell ref="F187:G187"/>
    <mergeCell ref="B188:E188"/>
    <mergeCell ref="F188:G188"/>
    <mergeCell ref="B189:E189"/>
    <mergeCell ref="F189:G189"/>
    <mergeCell ref="B184:E184"/>
    <mergeCell ref="F184:G184"/>
    <mergeCell ref="B185:E185"/>
    <mergeCell ref="F185:G185"/>
    <mergeCell ref="B186:E186"/>
    <mergeCell ref="F186:G186"/>
    <mergeCell ref="B181:E181"/>
    <mergeCell ref="F181:G181"/>
    <mergeCell ref="B182:E182"/>
    <mergeCell ref="F182:G182"/>
    <mergeCell ref="B183:E183"/>
    <mergeCell ref="F183:G183"/>
    <mergeCell ref="B178:E178"/>
    <mergeCell ref="F178:G178"/>
    <mergeCell ref="B179:E179"/>
    <mergeCell ref="F179:G179"/>
    <mergeCell ref="B180:E180"/>
    <mergeCell ref="F180:G180"/>
    <mergeCell ref="B175:E175"/>
    <mergeCell ref="F175:G175"/>
    <mergeCell ref="B176:E176"/>
    <mergeCell ref="F176:G176"/>
    <mergeCell ref="B177:E177"/>
    <mergeCell ref="F177:G177"/>
    <mergeCell ref="B172:E172"/>
    <mergeCell ref="F172:G172"/>
    <mergeCell ref="B173:E173"/>
    <mergeCell ref="F173:G173"/>
    <mergeCell ref="B174:E174"/>
    <mergeCell ref="F174:G174"/>
    <mergeCell ref="B169:E169"/>
    <mergeCell ref="F169:G169"/>
    <mergeCell ref="B170:E170"/>
    <mergeCell ref="F170:G170"/>
    <mergeCell ref="B171:E171"/>
    <mergeCell ref="F171:G171"/>
    <mergeCell ref="B166:E166"/>
    <mergeCell ref="F166:G166"/>
    <mergeCell ref="B167:E167"/>
    <mergeCell ref="F167:G167"/>
    <mergeCell ref="B168:E168"/>
    <mergeCell ref="F168:G168"/>
    <mergeCell ref="B163:E163"/>
    <mergeCell ref="F163:G163"/>
    <mergeCell ref="B164:E164"/>
    <mergeCell ref="F164:G164"/>
    <mergeCell ref="B165:E165"/>
    <mergeCell ref="F165:G165"/>
    <mergeCell ref="B160:E160"/>
    <mergeCell ref="F160:G160"/>
    <mergeCell ref="B161:E161"/>
    <mergeCell ref="F161:G161"/>
    <mergeCell ref="B162:E162"/>
    <mergeCell ref="F162:G162"/>
    <mergeCell ref="B157:E157"/>
    <mergeCell ref="F157:G157"/>
    <mergeCell ref="B158:E158"/>
    <mergeCell ref="F158:G158"/>
    <mergeCell ref="B159:E159"/>
    <mergeCell ref="F159:G159"/>
    <mergeCell ref="B154:E154"/>
    <mergeCell ref="F154:G154"/>
    <mergeCell ref="B155:E155"/>
    <mergeCell ref="F155:G155"/>
    <mergeCell ref="B156:E156"/>
    <mergeCell ref="F156:G156"/>
    <mergeCell ref="B151:E151"/>
    <mergeCell ref="F151:G151"/>
    <mergeCell ref="B152:E152"/>
    <mergeCell ref="F152:G152"/>
    <mergeCell ref="B153:E153"/>
    <mergeCell ref="F153:G153"/>
    <mergeCell ref="B148:E148"/>
    <mergeCell ref="F148:G148"/>
    <mergeCell ref="B149:E149"/>
    <mergeCell ref="F149:G149"/>
    <mergeCell ref="B150:E150"/>
    <mergeCell ref="F150:G150"/>
    <mergeCell ref="B145:E145"/>
    <mergeCell ref="F145:G145"/>
    <mergeCell ref="B146:E146"/>
    <mergeCell ref="F146:G146"/>
    <mergeCell ref="B147:E147"/>
    <mergeCell ref="F147:G147"/>
    <mergeCell ref="B142:E142"/>
    <mergeCell ref="F142:G142"/>
    <mergeCell ref="B143:E143"/>
    <mergeCell ref="F143:G143"/>
    <mergeCell ref="B144:E144"/>
    <mergeCell ref="F144:G144"/>
    <mergeCell ref="B139:E139"/>
    <mergeCell ref="F139:G139"/>
    <mergeCell ref="B140:E140"/>
    <mergeCell ref="F140:G140"/>
    <mergeCell ref="B141:E141"/>
    <mergeCell ref="F141:G141"/>
    <mergeCell ref="B136:E136"/>
    <mergeCell ref="F136:G136"/>
    <mergeCell ref="B137:E137"/>
    <mergeCell ref="F137:G137"/>
    <mergeCell ref="B138:E138"/>
    <mergeCell ref="F138:G138"/>
    <mergeCell ref="B133:E133"/>
    <mergeCell ref="F133:G133"/>
    <mergeCell ref="B134:E134"/>
    <mergeCell ref="F134:G134"/>
    <mergeCell ref="B135:E135"/>
    <mergeCell ref="F135:G135"/>
    <mergeCell ref="B130:E130"/>
    <mergeCell ref="F130:G130"/>
    <mergeCell ref="B131:E131"/>
    <mergeCell ref="F131:G131"/>
    <mergeCell ref="B132:E132"/>
    <mergeCell ref="F132:G132"/>
    <mergeCell ref="B127:E127"/>
    <mergeCell ref="F127:G127"/>
    <mergeCell ref="B128:E128"/>
    <mergeCell ref="F128:G128"/>
    <mergeCell ref="B129:E129"/>
    <mergeCell ref="F129:G129"/>
    <mergeCell ref="B124:E124"/>
    <mergeCell ref="F124:G124"/>
    <mergeCell ref="B125:E125"/>
    <mergeCell ref="F125:G125"/>
    <mergeCell ref="B126:E126"/>
    <mergeCell ref="F126:G126"/>
    <mergeCell ref="B121:E121"/>
    <mergeCell ref="F121:G121"/>
    <mergeCell ref="B122:E122"/>
    <mergeCell ref="F122:G122"/>
    <mergeCell ref="B123:E123"/>
    <mergeCell ref="F123:G123"/>
    <mergeCell ref="B118:E118"/>
    <mergeCell ref="F118:G118"/>
    <mergeCell ref="B119:E119"/>
    <mergeCell ref="F119:G119"/>
    <mergeCell ref="B120:E120"/>
    <mergeCell ref="F120:G120"/>
    <mergeCell ref="B115:E115"/>
    <mergeCell ref="F115:G115"/>
    <mergeCell ref="B116:E116"/>
    <mergeCell ref="F116:G116"/>
    <mergeCell ref="B117:E117"/>
    <mergeCell ref="F117:G117"/>
    <mergeCell ref="B112:E112"/>
    <mergeCell ref="F112:G112"/>
    <mergeCell ref="B113:E113"/>
    <mergeCell ref="F113:G113"/>
    <mergeCell ref="B114:E114"/>
    <mergeCell ref="F114:G114"/>
    <mergeCell ref="B109:E109"/>
    <mergeCell ref="F109:G109"/>
    <mergeCell ref="B110:E110"/>
    <mergeCell ref="F110:G110"/>
    <mergeCell ref="B111:E111"/>
    <mergeCell ref="F111:G111"/>
    <mergeCell ref="B106:E106"/>
    <mergeCell ref="F106:G106"/>
    <mergeCell ref="B107:E107"/>
    <mergeCell ref="F107:G107"/>
    <mergeCell ref="B108:E108"/>
    <mergeCell ref="F108:G108"/>
    <mergeCell ref="B103:E103"/>
    <mergeCell ref="F103:G103"/>
    <mergeCell ref="B104:E104"/>
    <mergeCell ref="F104:G104"/>
    <mergeCell ref="B105:E105"/>
    <mergeCell ref="F105:G105"/>
    <mergeCell ref="B100:E100"/>
    <mergeCell ref="F100:G100"/>
    <mergeCell ref="B101:E101"/>
    <mergeCell ref="F101:G101"/>
    <mergeCell ref="B102:E102"/>
    <mergeCell ref="F102:G102"/>
    <mergeCell ref="B97:E97"/>
    <mergeCell ref="F97:G97"/>
    <mergeCell ref="B98:E98"/>
    <mergeCell ref="F98:G98"/>
    <mergeCell ref="B99:E99"/>
    <mergeCell ref="F99:G99"/>
    <mergeCell ref="B94:E94"/>
    <mergeCell ref="F94:G94"/>
    <mergeCell ref="B95:E95"/>
    <mergeCell ref="F95:G95"/>
    <mergeCell ref="B96:E96"/>
    <mergeCell ref="F96:G96"/>
    <mergeCell ref="B91:E91"/>
    <mergeCell ref="F91:G91"/>
    <mergeCell ref="B92:E92"/>
    <mergeCell ref="F92:G92"/>
    <mergeCell ref="B93:E93"/>
    <mergeCell ref="F93:G93"/>
    <mergeCell ref="B88:E88"/>
    <mergeCell ref="F88:G88"/>
    <mergeCell ref="B89:E89"/>
    <mergeCell ref="F89:G89"/>
    <mergeCell ref="B90:E90"/>
    <mergeCell ref="F90:G90"/>
    <mergeCell ref="B85:E85"/>
    <mergeCell ref="F85:G85"/>
    <mergeCell ref="B86:E86"/>
    <mergeCell ref="F86:G86"/>
    <mergeCell ref="B87:E87"/>
    <mergeCell ref="F87:G87"/>
    <mergeCell ref="B82:E82"/>
    <mergeCell ref="F82:G82"/>
    <mergeCell ref="B83:E83"/>
    <mergeCell ref="F83:G83"/>
    <mergeCell ref="B84:E84"/>
    <mergeCell ref="F84:G84"/>
    <mergeCell ref="B79:E79"/>
    <mergeCell ref="F79:G79"/>
    <mergeCell ref="B80:E80"/>
    <mergeCell ref="F80:G80"/>
    <mergeCell ref="B81:E81"/>
    <mergeCell ref="F81:G81"/>
    <mergeCell ref="B76:E76"/>
    <mergeCell ref="F76:G76"/>
    <mergeCell ref="B77:E77"/>
    <mergeCell ref="F77:G77"/>
    <mergeCell ref="B78:E78"/>
    <mergeCell ref="F78:G78"/>
    <mergeCell ref="B73:E73"/>
    <mergeCell ref="F73:G73"/>
    <mergeCell ref="B74:E74"/>
    <mergeCell ref="F74:G74"/>
    <mergeCell ref="B75:E75"/>
    <mergeCell ref="F75:G75"/>
    <mergeCell ref="B70:E70"/>
    <mergeCell ref="F70:G70"/>
    <mergeCell ref="B71:E71"/>
    <mergeCell ref="F71:G71"/>
    <mergeCell ref="B72:E72"/>
    <mergeCell ref="F72:G72"/>
    <mergeCell ref="B67:E67"/>
    <mergeCell ref="F67:G67"/>
    <mergeCell ref="B68:E68"/>
    <mergeCell ref="F68:G68"/>
    <mergeCell ref="B69:E69"/>
    <mergeCell ref="F69:G69"/>
    <mergeCell ref="B64:E64"/>
    <mergeCell ref="F64:G64"/>
    <mergeCell ref="B65:E65"/>
    <mergeCell ref="F65:G65"/>
    <mergeCell ref="B66:E66"/>
    <mergeCell ref="F66:G66"/>
    <mergeCell ref="B61:E61"/>
    <mergeCell ref="F61:G61"/>
    <mergeCell ref="B62:E62"/>
    <mergeCell ref="F62:G62"/>
    <mergeCell ref="B63:E63"/>
    <mergeCell ref="F63:G63"/>
    <mergeCell ref="B58:E58"/>
    <mergeCell ref="F58:G58"/>
    <mergeCell ref="B59:E59"/>
    <mergeCell ref="F59:G59"/>
    <mergeCell ref="B60:E60"/>
    <mergeCell ref="F60:G60"/>
    <mergeCell ref="B55:E55"/>
    <mergeCell ref="F55:G55"/>
    <mergeCell ref="B56:E56"/>
    <mergeCell ref="F56:G56"/>
    <mergeCell ref="B57:E57"/>
    <mergeCell ref="F57:G57"/>
    <mergeCell ref="B52:E52"/>
    <mergeCell ref="F52:G52"/>
    <mergeCell ref="B53:E53"/>
    <mergeCell ref="F53:G53"/>
    <mergeCell ref="B54:E54"/>
    <mergeCell ref="F54:G54"/>
    <mergeCell ref="B49:E49"/>
    <mergeCell ref="F49:G49"/>
    <mergeCell ref="B50:E50"/>
    <mergeCell ref="F50:G50"/>
    <mergeCell ref="B51:E51"/>
    <mergeCell ref="F51:G51"/>
    <mergeCell ref="B46:E46"/>
    <mergeCell ref="F46:G46"/>
    <mergeCell ref="B47:E47"/>
    <mergeCell ref="F47:G47"/>
    <mergeCell ref="B48:E48"/>
    <mergeCell ref="F48:G48"/>
    <mergeCell ref="B43:E43"/>
    <mergeCell ref="F43:G43"/>
    <mergeCell ref="B44:E44"/>
    <mergeCell ref="F44:G44"/>
    <mergeCell ref="B45:E45"/>
    <mergeCell ref="F45:G45"/>
    <mergeCell ref="B22:E22"/>
    <mergeCell ref="F22:G22"/>
    <mergeCell ref="B23:E23"/>
    <mergeCell ref="F23:G23"/>
    <mergeCell ref="B24:E24"/>
    <mergeCell ref="F24:G24"/>
    <mergeCell ref="B19:E19"/>
    <mergeCell ref="F19:G19"/>
    <mergeCell ref="B40:E40"/>
    <mergeCell ref="F40:G40"/>
    <mergeCell ref="B41:E41"/>
    <mergeCell ref="F41:G41"/>
    <mergeCell ref="B42:E42"/>
    <mergeCell ref="F42:G42"/>
    <mergeCell ref="B37:E37"/>
    <mergeCell ref="F37:G37"/>
    <mergeCell ref="B38:E38"/>
    <mergeCell ref="F38:G38"/>
    <mergeCell ref="B39:E39"/>
    <mergeCell ref="F39:G39"/>
    <mergeCell ref="B34:E34"/>
    <mergeCell ref="F34:G34"/>
    <mergeCell ref="B35:E35"/>
    <mergeCell ref="F35:G35"/>
    <mergeCell ref="B36:E36"/>
    <mergeCell ref="F36:G36"/>
    <mergeCell ref="B31:E31"/>
    <mergeCell ref="F31:G31"/>
    <mergeCell ref="B32:E32"/>
    <mergeCell ref="F32:G32"/>
    <mergeCell ref="B33:E33"/>
    <mergeCell ref="F33:G33"/>
    <mergeCell ref="B28:E28"/>
    <mergeCell ref="F28:G28"/>
    <mergeCell ref="B29:E29"/>
    <mergeCell ref="F29:G29"/>
    <mergeCell ref="B30:E30"/>
    <mergeCell ref="F30:G30"/>
    <mergeCell ref="B25:E25"/>
    <mergeCell ref="F25:G25"/>
    <mergeCell ref="B26:E26"/>
    <mergeCell ref="F26:G26"/>
    <mergeCell ref="B27:E27"/>
    <mergeCell ref="F27:G27"/>
    <mergeCell ref="U1:W1"/>
    <mergeCell ref="X1:Z1"/>
    <mergeCell ref="B2:E2"/>
    <mergeCell ref="F2:G2"/>
    <mergeCell ref="B3:E3"/>
    <mergeCell ref="F3:G3"/>
    <mergeCell ref="B20:E20"/>
    <mergeCell ref="F20:G20"/>
    <mergeCell ref="B21:E21"/>
    <mergeCell ref="F21:G21"/>
    <mergeCell ref="B16:E16"/>
    <mergeCell ref="F16:G16"/>
    <mergeCell ref="B17:E17"/>
    <mergeCell ref="F17:G17"/>
    <mergeCell ref="B18:E18"/>
    <mergeCell ref="F18:G18"/>
    <mergeCell ref="B13:E13"/>
    <mergeCell ref="F13:G13"/>
    <mergeCell ref="B14:E14"/>
    <mergeCell ref="F14:G14"/>
    <mergeCell ref="B15:E15"/>
    <mergeCell ref="F15:G15"/>
    <mergeCell ref="A1:A2"/>
    <mergeCell ref="B1:H1"/>
    <mergeCell ref="I1:K1"/>
    <mergeCell ref="L1:N1"/>
    <mergeCell ref="O1:Q1"/>
    <mergeCell ref="R1:T1"/>
    <mergeCell ref="B10:E10"/>
    <mergeCell ref="F10:G10"/>
    <mergeCell ref="B11:E11"/>
    <mergeCell ref="F11:G11"/>
    <mergeCell ref="B12:E12"/>
    <mergeCell ref="F12:G12"/>
    <mergeCell ref="B7:E7"/>
    <mergeCell ref="F7:G7"/>
    <mergeCell ref="B8:E8"/>
    <mergeCell ref="F8:G8"/>
    <mergeCell ref="B9:E9"/>
    <mergeCell ref="F9:G9"/>
    <mergeCell ref="B4:E4"/>
    <mergeCell ref="F4:G4"/>
    <mergeCell ref="B5:E5"/>
    <mergeCell ref="F5:G5"/>
    <mergeCell ref="B6:E6"/>
    <mergeCell ref="F6:G6"/>
  </mergeCells>
  <phoneticPr fontId="3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E210-2EE2-4AF7-8D32-8DC849A78481}">
  <sheetPr>
    <tabColor theme="1" tint="0.499984740745262"/>
  </sheetPr>
  <dimension ref="A1:J580"/>
  <sheetViews>
    <sheetView topLeftCell="A565" workbookViewId="0">
      <selection activeCell="C581" sqref="C581"/>
    </sheetView>
  </sheetViews>
  <sheetFormatPr defaultRowHeight="14.4" x14ac:dyDescent="0.3"/>
  <cols>
    <col min="1" max="1" width="6.6640625" customWidth="1"/>
    <col min="2" max="2" width="11.6640625" bestFit="1" customWidth="1"/>
    <col min="3" max="3" width="9.5546875" bestFit="1" customWidth="1"/>
    <col min="4" max="4" width="5.5546875" bestFit="1" customWidth="1"/>
    <col min="5" max="5" width="6.5546875" style="338" bestFit="1" customWidth="1"/>
    <col min="6" max="6" width="10.44140625" bestFit="1" customWidth="1"/>
    <col min="7" max="9" width="0" hidden="1" customWidth="1"/>
  </cols>
  <sheetData>
    <row r="1" spans="1:10" ht="15" thickBot="1" x14ac:dyDescent="0.35">
      <c r="A1" s="347" t="s">
        <v>4</v>
      </c>
      <c r="B1" s="347" t="s">
        <v>3273</v>
      </c>
      <c r="C1" s="348" t="s">
        <v>1669</v>
      </c>
      <c r="D1" s="348" t="s">
        <v>3274</v>
      </c>
      <c r="E1" s="749" t="s">
        <v>3275</v>
      </c>
      <c r="F1" s="348" t="s">
        <v>3276</v>
      </c>
      <c r="G1" s="348" t="s">
        <v>3277</v>
      </c>
      <c r="H1" s="348" t="s">
        <v>3278</v>
      </c>
      <c r="I1" s="348" t="s">
        <v>3279</v>
      </c>
    </row>
    <row r="2" spans="1:10" x14ac:dyDescent="0.3">
      <c r="A2">
        <v>517</v>
      </c>
      <c r="B2" s="349">
        <v>44713</v>
      </c>
      <c r="E2" s="338">
        <v>0</v>
      </c>
      <c r="G2">
        <v>23</v>
      </c>
      <c r="H2">
        <v>6</v>
      </c>
      <c r="I2">
        <v>2022</v>
      </c>
      <c r="J2">
        <f>MAX(C2:F2)</f>
        <v>0</v>
      </c>
    </row>
    <row r="3" spans="1:10" x14ac:dyDescent="0.3">
      <c r="A3">
        <v>518</v>
      </c>
      <c r="B3" s="349">
        <v>44714</v>
      </c>
      <c r="E3" s="338">
        <v>0</v>
      </c>
      <c r="G3">
        <v>23</v>
      </c>
      <c r="H3">
        <v>6</v>
      </c>
      <c r="I3">
        <v>2022</v>
      </c>
      <c r="J3">
        <f t="shared" ref="J3:J66" si="0">MAX(C3:F3)</f>
        <v>0</v>
      </c>
    </row>
    <row r="4" spans="1:10" x14ac:dyDescent="0.3">
      <c r="A4">
        <v>519</v>
      </c>
      <c r="B4" s="349">
        <v>44715</v>
      </c>
      <c r="E4" s="338">
        <v>95.5</v>
      </c>
      <c r="G4">
        <v>23</v>
      </c>
      <c r="H4">
        <v>6</v>
      </c>
      <c r="I4">
        <v>2022</v>
      </c>
      <c r="J4">
        <f t="shared" si="0"/>
        <v>95.5</v>
      </c>
    </row>
    <row r="5" spans="1:10" x14ac:dyDescent="0.3">
      <c r="A5">
        <v>520</v>
      </c>
      <c r="B5" s="349">
        <v>44716</v>
      </c>
      <c r="E5" s="338">
        <v>2</v>
      </c>
      <c r="G5">
        <v>23</v>
      </c>
      <c r="H5">
        <v>6</v>
      </c>
      <c r="I5">
        <v>2022</v>
      </c>
      <c r="J5">
        <f t="shared" si="0"/>
        <v>2</v>
      </c>
    </row>
    <row r="6" spans="1:10" x14ac:dyDescent="0.3">
      <c r="A6">
        <v>521</v>
      </c>
      <c r="B6" s="349">
        <v>44717</v>
      </c>
      <c r="E6" s="338">
        <v>0.5</v>
      </c>
      <c r="G6">
        <v>24</v>
      </c>
      <c r="H6">
        <v>6</v>
      </c>
      <c r="I6">
        <v>2022</v>
      </c>
      <c r="J6">
        <f t="shared" si="0"/>
        <v>0.5</v>
      </c>
    </row>
    <row r="7" spans="1:10" x14ac:dyDescent="0.3">
      <c r="A7">
        <v>522</v>
      </c>
      <c r="B7" s="349">
        <v>44718</v>
      </c>
      <c r="E7" s="338">
        <v>0</v>
      </c>
      <c r="G7">
        <v>24</v>
      </c>
      <c r="H7">
        <v>6</v>
      </c>
      <c r="I7">
        <v>2022</v>
      </c>
      <c r="J7">
        <f t="shared" si="0"/>
        <v>0</v>
      </c>
    </row>
    <row r="8" spans="1:10" x14ac:dyDescent="0.3">
      <c r="A8">
        <v>523</v>
      </c>
      <c r="B8" s="349">
        <v>44719</v>
      </c>
      <c r="E8" s="338">
        <v>0</v>
      </c>
      <c r="G8">
        <v>24</v>
      </c>
      <c r="H8">
        <v>6</v>
      </c>
      <c r="I8">
        <v>2022</v>
      </c>
      <c r="J8">
        <f t="shared" si="0"/>
        <v>0</v>
      </c>
    </row>
    <row r="9" spans="1:10" x14ac:dyDescent="0.3">
      <c r="A9">
        <v>524</v>
      </c>
      <c r="B9" s="349">
        <v>44720</v>
      </c>
      <c r="E9" s="338">
        <v>0</v>
      </c>
      <c r="G9">
        <v>24</v>
      </c>
      <c r="H9">
        <v>6</v>
      </c>
      <c r="I9">
        <v>2022</v>
      </c>
      <c r="J9">
        <f t="shared" si="0"/>
        <v>0</v>
      </c>
    </row>
    <row r="10" spans="1:10" x14ac:dyDescent="0.3">
      <c r="A10">
        <v>525</v>
      </c>
      <c r="B10" s="349">
        <v>44721</v>
      </c>
      <c r="E10" s="338">
        <v>0</v>
      </c>
      <c r="G10">
        <v>24</v>
      </c>
      <c r="H10">
        <v>6</v>
      </c>
      <c r="I10">
        <v>2022</v>
      </c>
      <c r="J10">
        <f t="shared" si="0"/>
        <v>0</v>
      </c>
    </row>
    <row r="11" spans="1:10" x14ac:dyDescent="0.3">
      <c r="A11">
        <v>526</v>
      </c>
      <c r="B11" s="349">
        <v>44722</v>
      </c>
      <c r="E11" s="338">
        <v>0</v>
      </c>
      <c r="G11">
        <v>24</v>
      </c>
      <c r="H11">
        <v>6</v>
      </c>
      <c r="I11">
        <v>2022</v>
      </c>
      <c r="J11">
        <f t="shared" si="0"/>
        <v>0</v>
      </c>
    </row>
    <row r="12" spans="1:10" x14ac:dyDescent="0.3">
      <c r="A12">
        <v>527</v>
      </c>
      <c r="B12" s="349">
        <v>44723</v>
      </c>
      <c r="E12" s="338">
        <v>0</v>
      </c>
      <c r="G12">
        <v>24</v>
      </c>
      <c r="H12">
        <v>6</v>
      </c>
      <c r="I12">
        <v>2022</v>
      </c>
      <c r="J12">
        <f t="shared" si="0"/>
        <v>0</v>
      </c>
    </row>
    <row r="13" spans="1:10" x14ac:dyDescent="0.3">
      <c r="A13">
        <v>528</v>
      </c>
      <c r="B13" s="349">
        <v>44724</v>
      </c>
      <c r="E13" s="338">
        <v>0</v>
      </c>
      <c r="G13">
        <v>25</v>
      </c>
      <c r="H13">
        <v>6</v>
      </c>
      <c r="I13">
        <v>2022</v>
      </c>
      <c r="J13">
        <f t="shared" si="0"/>
        <v>0</v>
      </c>
    </row>
    <row r="14" spans="1:10" x14ac:dyDescent="0.3">
      <c r="A14">
        <v>529</v>
      </c>
      <c r="B14" s="349">
        <v>44725</v>
      </c>
      <c r="E14" s="338">
        <v>0.5</v>
      </c>
      <c r="G14">
        <v>25</v>
      </c>
      <c r="H14">
        <v>6</v>
      </c>
      <c r="I14">
        <v>2022</v>
      </c>
      <c r="J14">
        <f t="shared" si="0"/>
        <v>0.5</v>
      </c>
    </row>
    <row r="15" spans="1:10" x14ac:dyDescent="0.3">
      <c r="A15">
        <v>530</v>
      </c>
      <c r="B15" s="349">
        <v>44726</v>
      </c>
      <c r="E15" s="338">
        <v>6</v>
      </c>
      <c r="G15">
        <v>25</v>
      </c>
      <c r="H15">
        <v>6</v>
      </c>
      <c r="I15">
        <v>2022</v>
      </c>
      <c r="J15">
        <f t="shared" si="0"/>
        <v>6</v>
      </c>
    </row>
    <row r="16" spans="1:10" x14ac:dyDescent="0.3">
      <c r="A16">
        <v>531</v>
      </c>
      <c r="B16" s="349">
        <v>44727</v>
      </c>
      <c r="E16" s="338">
        <v>5</v>
      </c>
      <c r="G16">
        <v>25</v>
      </c>
      <c r="H16">
        <v>6</v>
      </c>
      <c r="I16">
        <v>2022</v>
      </c>
      <c r="J16">
        <f t="shared" si="0"/>
        <v>5</v>
      </c>
    </row>
    <row r="17" spans="1:10" x14ac:dyDescent="0.3">
      <c r="A17">
        <v>532</v>
      </c>
      <c r="B17" s="349">
        <v>44728</v>
      </c>
      <c r="E17" s="338">
        <v>0</v>
      </c>
      <c r="G17">
        <v>25</v>
      </c>
      <c r="H17">
        <v>6</v>
      </c>
      <c r="I17">
        <v>2022</v>
      </c>
      <c r="J17">
        <f t="shared" si="0"/>
        <v>0</v>
      </c>
    </row>
    <row r="18" spans="1:10" x14ac:dyDescent="0.3">
      <c r="A18">
        <v>533</v>
      </c>
      <c r="B18" s="349">
        <v>44729</v>
      </c>
      <c r="E18" s="338">
        <v>0</v>
      </c>
      <c r="G18">
        <v>25</v>
      </c>
      <c r="H18">
        <v>6</v>
      </c>
      <c r="I18">
        <v>2022</v>
      </c>
      <c r="J18">
        <f t="shared" si="0"/>
        <v>0</v>
      </c>
    </row>
    <row r="19" spans="1:10" x14ac:dyDescent="0.3">
      <c r="A19">
        <v>534</v>
      </c>
      <c r="B19" s="349">
        <v>44730</v>
      </c>
      <c r="E19" s="338">
        <v>16</v>
      </c>
      <c r="G19">
        <v>25</v>
      </c>
      <c r="H19">
        <v>6</v>
      </c>
      <c r="I19">
        <v>2022</v>
      </c>
      <c r="J19">
        <f t="shared" si="0"/>
        <v>16</v>
      </c>
    </row>
    <row r="20" spans="1:10" x14ac:dyDescent="0.3">
      <c r="A20">
        <v>535</v>
      </c>
      <c r="B20" s="349">
        <v>44731</v>
      </c>
      <c r="E20" s="338">
        <v>21</v>
      </c>
      <c r="G20">
        <v>26</v>
      </c>
      <c r="H20">
        <v>6</v>
      </c>
      <c r="I20">
        <v>2022</v>
      </c>
      <c r="J20">
        <f t="shared" si="0"/>
        <v>21</v>
      </c>
    </row>
    <row r="21" spans="1:10" x14ac:dyDescent="0.3">
      <c r="A21">
        <v>536</v>
      </c>
      <c r="B21" s="349">
        <v>44732</v>
      </c>
      <c r="E21" s="338">
        <v>0.5</v>
      </c>
      <c r="G21">
        <v>26</v>
      </c>
      <c r="H21">
        <v>6</v>
      </c>
      <c r="I21">
        <v>2022</v>
      </c>
      <c r="J21">
        <f t="shared" si="0"/>
        <v>0.5</v>
      </c>
    </row>
    <row r="22" spans="1:10" x14ac:dyDescent="0.3">
      <c r="A22">
        <v>537</v>
      </c>
      <c r="B22" s="349">
        <v>44733</v>
      </c>
      <c r="E22" s="338">
        <v>40</v>
      </c>
      <c r="G22">
        <v>26</v>
      </c>
      <c r="H22">
        <v>6</v>
      </c>
      <c r="I22">
        <v>2022</v>
      </c>
      <c r="J22">
        <f t="shared" si="0"/>
        <v>40</v>
      </c>
    </row>
    <row r="23" spans="1:10" x14ac:dyDescent="0.3">
      <c r="A23">
        <v>538</v>
      </c>
      <c r="B23" s="349">
        <v>44734</v>
      </c>
      <c r="E23" s="338">
        <v>3</v>
      </c>
      <c r="G23">
        <v>26</v>
      </c>
      <c r="H23">
        <v>6</v>
      </c>
      <c r="I23">
        <v>2022</v>
      </c>
      <c r="J23">
        <f t="shared" si="0"/>
        <v>3</v>
      </c>
    </row>
    <row r="24" spans="1:10" x14ac:dyDescent="0.3">
      <c r="A24">
        <v>539</v>
      </c>
      <c r="B24" s="349">
        <v>44735</v>
      </c>
      <c r="E24" s="338">
        <v>0</v>
      </c>
      <c r="G24">
        <v>26</v>
      </c>
      <c r="H24">
        <v>6</v>
      </c>
      <c r="I24">
        <v>2022</v>
      </c>
      <c r="J24">
        <f t="shared" si="0"/>
        <v>0</v>
      </c>
    </row>
    <row r="25" spans="1:10" x14ac:dyDescent="0.3">
      <c r="A25">
        <v>540</v>
      </c>
      <c r="B25" s="349">
        <v>44736</v>
      </c>
      <c r="E25" s="338">
        <v>0</v>
      </c>
      <c r="G25">
        <v>26</v>
      </c>
      <c r="H25">
        <v>6</v>
      </c>
      <c r="I25">
        <v>2022</v>
      </c>
      <c r="J25">
        <f t="shared" si="0"/>
        <v>0</v>
      </c>
    </row>
    <row r="26" spans="1:10" x14ac:dyDescent="0.3">
      <c r="A26">
        <v>541</v>
      </c>
      <c r="B26" s="349">
        <v>44737</v>
      </c>
      <c r="E26" s="338">
        <v>2</v>
      </c>
      <c r="G26">
        <v>26</v>
      </c>
      <c r="H26">
        <v>6</v>
      </c>
      <c r="I26">
        <v>2022</v>
      </c>
      <c r="J26">
        <f t="shared" si="0"/>
        <v>2</v>
      </c>
    </row>
    <row r="27" spans="1:10" x14ac:dyDescent="0.3">
      <c r="A27">
        <v>542</v>
      </c>
      <c r="B27" s="349">
        <v>44738</v>
      </c>
      <c r="E27" s="338">
        <v>36.5</v>
      </c>
      <c r="G27">
        <v>27</v>
      </c>
      <c r="H27">
        <v>6</v>
      </c>
      <c r="I27">
        <v>2022</v>
      </c>
      <c r="J27">
        <f t="shared" si="0"/>
        <v>36.5</v>
      </c>
    </row>
    <row r="28" spans="1:10" x14ac:dyDescent="0.3">
      <c r="A28">
        <v>543</v>
      </c>
      <c r="B28" s="349">
        <v>44739</v>
      </c>
      <c r="E28" s="338">
        <v>10.5</v>
      </c>
      <c r="G28">
        <v>27</v>
      </c>
      <c r="H28">
        <v>6</v>
      </c>
      <c r="I28">
        <v>2022</v>
      </c>
      <c r="J28">
        <f t="shared" si="0"/>
        <v>10.5</v>
      </c>
    </row>
    <row r="29" spans="1:10" x14ac:dyDescent="0.3">
      <c r="A29">
        <v>544</v>
      </c>
      <c r="B29" s="349">
        <v>44740</v>
      </c>
      <c r="E29" s="338">
        <v>0</v>
      </c>
      <c r="G29">
        <v>27</v>
      </c>
      <c r="H29">
        <v>6</v>
      </c>
      <c r="I29">
        <v>2022</v>
      </c>
      <c r="J29">
        <f t="shared" si="0"/>
        <v>0</v>
      </c>
    </row>
    <row r="30" spans="1:10" x14ac:dyDescent="0.3">
      <c r="A30">
        <v>545</v>
      </c>
      <c r="B30" s="349">
        <v>44741</v>
      </c>
      <c r="E30" s="338">
        <v>1</v>
      </c>
      <c r="G30">
        <v>27</v>
      </c>
      <c r="H30">
        <v>6</v>
      </c>
      <c r="I30">
        <v>2022</v>
      </c>
      <c r="J30">
        <f t="shared" si="0"/>
        <v>1</v>
      </c>
    </row>
    <row r="31" spans="1:10" s="362" customFormat="1" x14ac:dyDescent="0.3">
      <c r="A31" s="362">
        <v>546</v>
      </c>
      <c r="B31" s="363">
        <v>44742</v>
      </c>
      <c r="E31" s="338">
        <v>10.5</v>
      </c>
      <c r="G31" s="362">
        <v>27</v>
      </c>
      <c r="H31" s="362">
        <v>6</v>
      </c>
      <c r="I31" s="362">
        <v>2022</v>
      </c>
      <c r="J31">
        <f t="shared" si="0"/>
        <v>10.5</v>
      </c>
    </row>
    <row r="32" spans="1:10" x14ac:dyDescent="0.3">
      <c r="A32">
        <v>547</v>
      </c>
      <c r="B32" s="349">
        <v>44743</v>
      </c>
      <c r="E32" s="338">
        <v>4</v>
      </c>
      <c r="G32">
        <v>27</v>
      </c>
      <c r="H32">
        <v>7</v>
      </c>
      <c r="I32">
        <v>2022</v>
      </c>
      <c r="J32">
        <f t="shared" si="0"/>
        <v>4</v>
      </c>
    </row>
    <row r="33" spans="1:10" x14ac:dyDescent="0.3">
      <c r="A33">
        <v>548</v>
      </c>
      <c r="B33" s="349">
        <v>44744</v>
      </c>
      <c r="E33" s="338">
        <v>0.5</v>
      </c>
      <c r="G33">
        <v>27</v>
      </c>
      <c r="H33">
        <v>7</v>
      </c>
      <c r="I33">
        <v>2022</v>
      </c>
      <c r="J33">
        <f t="shared" si="0"/>
        <v>0.5</v>
      </c>
    </row>
    <row r="34" spans="1:10" x14ac:dyDescent="0.3">
      <c r="A34">
        <v>549</v>
      </c>
      <c r="B34" s="349">
        <v>44745</v>
      </c>
      <c r="E34" s="338">
        <v>4</v>
      </c>
      <c r="G34">
        <v>28</v>
      </c>
      <c r="H34">
        <v>7</v>
      </c>
      <c r="I34">
        <v>2022</v>
      </c>
      <c r="J34">
        <f t="shared" si="0"/>
        <v>4</v>
      </c>
    </row>
    <row r="35" spans="1:10" x14ac:dyDescent="0.3">
      <c r="A35">
        <v>550</v>
      </c>
      <c r="B35" s="349">
        <v>44746</v>
      </c>
      <c r="E35" s="338">
        <v>5</v>
      </c>
      <c r="G35">
        <v>28</v>
      </c>
      <c r="H35">
        <v>7</v>
      </c>
      <c r="I35">
        <v>2022</v>
      </c>
      <c r="J35">
        <f t="shared" si="0"/>
        <v>5</v>
      </c>
    </row>
    <row r="36" spans="1:10" x14ac:dyDescent="0.3">
      <c r="A36">
        <v>551</v>
      </c>
      <c r="B36" s="349">
        <v>44747</v>
      </c>
      <c r="E36" s="338">
        <v>42.5</v>
      </c>
      <c r="G36">
        <v>28</v>
      </c>
      <c r="H36">
        <v>7</v>
      </c>
      <c r="I36">
        <v>2022</v>
      </c>
      <c r="J36">
        <f t="shared" si="0"/>
        <v>42.5</v>
      </c>
    </row>
    <row r="37" spans="1:10" x14ac:dyDescent="0.3">
      <c r="A37">
        <v>552</v>
      </c>
      <c r="B37" s="349">
        <v>44748</v>
      </c>
      <c r="E37" s="338">
        <v>0.5</v>
      </c>
      <c r="G37">
        <v>28</v>
      </c>
      <c r="H37">
        <v>7</v>
      </c>
      <c r="I37">
        <v>2022</v>
      </c>
      <c r="J37">
        <f t="shared" si="0"/>
        <v>0.5</v>
      </c>
    </row>
    <row r="38" spans="1:10" x14ac:dyDescent="0.3">
      <c r="A38">
        <v>553</v>
      </c>
      <c r="B38" s="349">
        <v>44749</v>
      </c>
      <c r="E38" s="338">
        <v>0.5</v>
      </c>
      <c r="G38">
        <v>28</v>
      </c>
      <c r="H38">
        <v>7</v>
      </c>
      <c r="I38">
        <v>2022</v>
      </c>
      <c r="J38">
        <f t="shared" si="0"/>
        <v>0.5</v>
      </c>
    </row>
    <row r="39" spans="1:10" x14ac:dyDescent="0.3">
      <c r="A39">
        <v>554</v>
      </c>
      <c r="B39" s="349">
        <v>44750</v>
      </c>
      <c r="E39" s="338">
        <v>1</v>
      </c>
      <c r="G39">
        <v>28</v>
      </c>
      <c r="H39">
        <v>7</v>
      </c>
      <c r="I39">
        <v>2022</v>
      </c>
      <c r="J39">
        <f t="shared" si="0"/>
        <v>1</v>
      </c>
    </row>
    <row r="40" spans="1:10" x14ac:dyDescent="0.3">
      <c r="A40">
        <v>555</v>
      </c>
      <c r="B40" s="349">
        <v>44751</v>
      </c>
      <c r="E40" s="338">
        <v>28</v>
      </c>
      <c r="G40">
        <v>28</v>
      </c>
      <c r="H40">
        <v>7</v>
      </c>
      <c r="I40">
        <v>2022</v>
      </c>
      <c r="J40">
        <f t="shared" si="0"/>
        <v>28</v>
      </c>
    </row>
    <row r="41" spans="1:10" x14ac:dyDescent="0.3">
      <c r="A41">
        <v>556</v>
      </c>
      <c r="B41" s="349">
        <v>44752</v>
      </c>
      <c r="E41" s="338">
        <v>1.5</v>
      </c>
      <c r="G41">
        <v>29</v>
      </c>
      <c r="H41">
        <v>7</v>
      </c>
      <c r="I41">
        <v>2022</v>
      </c>
      <c r="J41">
        <f t="shared" si="0"/>
        <v>1.5</v>
      </c>
    </row>
    <row r="42" spans="1:10" x14ac:dyDescent="0.3">
      <c r="A42">
        <v>557</v>
      </c>
      <c r="B42" s="349">
        <v>44753</v>
      </c>
      <c r="E42" s="338">
        <v>7</v>
      </c>
      <c r="G42">
        <v>29</v>
      </c>
      <c r="H42">
        <v>7</v>
      </c>
      <c r="I42">
        <v>2022</v>
      </c>
      <c r="J42">
        <f t="shared" si="0"/>
        <v>7</v>
      </c>
    </row>
    <row r="43" spans="1:10" x14ac:dyDescent="0.3">
      <c r="A43">
        <v>558</v>
      </c>
      <c r="B43" s="349">
        <v>44754</v>
      </c>
      <c r="E43" s="338">
        <v>1.5</v>
      </c>
      <c r="G43">
        <v>29</v>
      </c>
      <c r="H43">
        <v>7</v>
      </c>
      <c r="I43">
        <v>2022</v>
      </c>
      <c r="J43">
        <f t="shared" si="0"/>
        <v>1.5</v>
      </c>
    </row>
    <row r="44" spans="1:10" x14ac:dyDescent="0.3">
      <c r="A44">
        <v>559</v>
      </c>
      <c r="B44" s="349">
        <v>44755</v>
      </c>
      <c r="E44" s="338">
        <v>7</v>
      </c>
      <c r="G44">
        <v>29</v>
      </c>
      <c r="H44">
        <v>7</v>
      </c>
      <c r="I44">
        <v>2022</v>
      </c>
      <c r="J44">
        <f t="shared" si="0"/>
        <v>7</v>
      </c>
    </row>
    <row r="45" spans="1:10" x14ac:dyDescent="0.3">
      <c r="A45">
        <v>560</v>
      </c>
      <c r="B45" s="349">
        <v>44756</v>
      </c>
      <c r="E45" s="338">
        <v>28</v>
      </c>
      <c r="G45">
        <v>29</v>
      </c>
      <c r="H45">
        <v>7</v>
      </c>
      <c r="I45">
        <v>2022</v>
      </c>
      <c r="J45">
        <f t="shared" si="0"/>
        <v>28</v>
      </c>
    </row>
    <row r="46" spans="1:10" x14ac:dyDescent="0.3">
      <c r="A46">
        <v>561</v>
      </c>
      <c r="B46" s="349">
        <v>44757</v>
      </c>
      <c r="E46" s="338">
        <v>4</v>
      </c>
      <c r="G46">
        <v>29</v>
      </c>
      <c r="H46">
        <v>7</v>
      </c>
      <c r="I46">
        <v>2022</v>
      </c>
      <c r="J46">
        <f t="shared" si="0"/>
        <v>4</v>
      </c>
    </row>
    <row r="47" spans="1:10" x14ac:dyDescent="0.3">
      <c r="A47">
        <v>562</v>
      </c>
      <c r="B47" s="349">
        <v>44758</v>
      </c>
      <c r="E47" s="338">
        <v>35.5</v>
      </c>
      <c r="G47">
        <v>29</v>
      </c>
      <c r="H47">
        <v>7</v>
      </c>
      <c r="I47">
        <v>2022</v>
      </c>
      <c r="J47">
        <f t="shared" si="0"/>
        <v>35.5</v>
      </c>
    </row>
    <row r="48" spans="1:10" x14ac:dyDescent="0.3">
      <c r="A48">
        <v>563</v>
      </c>
      <c r="B48" s="349">
        <v>44759</v>
      </c>
      <c r="E48" s="338">
        <v>114</v>
      </c>
      <c r="G48">
        <v>30</v>
      </c>
      <c r="H48">
        <v>7</v>
      </c>
      <c r="I48">
        <v>2022</v>
      </c>
      <c r="J48">
        <f t="shared" si="0"/>
        <v>114</v>
      </c>
    </row>
    <row r="49" spans="1:10" x14ac:dyDescent="0.3">
      <c r="A49">
        <v>564</v>
      </c>
      <c r="B49" s="349">
        <v>44760</v>
      </c>
      <c r="E49" s="338">
        <v>17.5</v>
      </c>
      <c r="G49">
        <v>30</v>
      </c>
      <c r="H49">
        <v>7</v>
      </c>
      <c r="I49">
        <v>2022</v>
      </c>
      <c r="J49">
        <f t="shared" si="0"/>
        <v>17.5</v>
      </c>
    </row>
    <row r="50" spans="1:10" x14ac:dyDescent="0.3">
      <c r="A50">
        <v>565</v>
      </c>
      <c r="B50" s="349">
        <v>44761</v>
      </c>
      <c r="E50" s="338">
        <v>0</v>
      </c>
      <c r="G50">
        <v>30</v>
      </c>
      <c r="H50">
        <v>7</v>
      </c>
      <c r="I50">
        <v>2022</v>
      </c>
      <c r="J50">
        <f t="shared" si="0"/>
        <v>0</v>
      </c>
    </row>
    <row r="51" spans="1:10" x14ac:dyDescent="0.3">
      <c r="A51">
        <v>566</v>
      </c>
      <c r="B51" s="349">
        <v>44762</v>
      </c>
      <c r="E51" s="338">
        <v>0</v>
      </c>
      <c r="G51">
        <v>30</v>
      </c>
      <c r="H51">
        <v>7</v>
      </c>
      <c r="I51">
        <v>2022</v>
      </c>
      <c r="J51">
        <f t="shared" si="0"/>
        <v>0</v>
      </c>
    </row>
    <row r="52" spans="1:10" x14ac:dyDescent="0.3">
      <c r="A52">
        <v>567</v>
      </c>
      <c r="B52" s="349">
        <v>44763</v>
      </c>
      <c r="E52" s="338">
        <v>0.5</v>
      </c>
      <c r="G52">
        <v>30</v>
      </c>
      <c r="H52">
        <v>7</v>
      </c>
      <c r="I52">
        <v>2022</v>
      </c>
      <c r="J52">
        <f t="shared" si="0"/>
        <v>0.5</v>
      </c>
    </row>
    <row r="53" spans="1:10" x14ac:dyDescent="0.3">
      <c r="A53">
        <v>568</v>
      </c>
      <c r="B53" s="349">
        <v>44764</v>
      </c>
      <c r="E53" s="338">
        <v>0</v>
      </c>
      <c r="G53">
        <v>30</v>
      </c>
      <c r="H53">
        <v>7</v>
      </c>
      <c r="I53">
        <v>2022</v>
      </c>
      <c r="J53">
        <f t="shared" si="0"/>
        <v>0</v>
      </c>
    </row>
    <row r="54" spans="1:10" x14ac:dyDescent="0.3">
      <c r="A54">
        <v>569</v>
      </c>
      <c r="B54" s="349">
        <v>44765</v>
      </c>
      <c r="E54" s="338">
        <v>11.5</v>
      </c>
      <c r="G54">
        <v>30</v>
      </c>
      <c r="H54">
        <v>7</v>
      </c>
      <c r="I54">
        <v>2022</v>
      </c>
      <c r="J54">
        <f t="shared" si="0"/>
        <v>11.5</v>
      </c>
    </row>
    <row r="55" spans="1:10" x14ac:dyDescent="0.3">
      <c r="A55">
        <v>570</v>
      </c>
      <c r="B55" s="349">
        <v>44766</v>
      </c>
      <c r="E55" s="338">
        <v>0</v>
      </c>
      <c r="G55">
        <v>31</v>
      </c>
      <c r="H55">
        <v>7</v>
      </c>
      <c r="I55">
        <v>2022</v>
      </c>
      <c r="J55">
        <f t="shared" si="0"/>
        <v>0</v>
      </c>
    </row>
    <row r="56" spans="1:10" x14ac:dyDescent="0.3">
      <c r="A56">
        <v>571</v>
      </c>
      <c r="B56" s="349">
        <v>44767</v>
      </c>
      <c r="E56" s="338">
        <v>23</v>
      </c>
      <c r="G56">
        <v>31</v>
      </c>
      <c r="H56">
        <v>7</v>
      </c>
      <c r="I56">
        <v>2022</v>
      </c>
      <c r="J56">
        <f t="shared" si="0"/>
        <v>23</v>
      </c>
    </row>
    <row r="57" spans="1:10" x14ac:dyDescent="0.3">
      <c r="A57">
        <v>572</v>
      </c>
      <c r="B57" s="349">
        <v>44768</v>
      </c>
      <c r="E57" s="338">
        <v>18</v>
      </c>
      <c r="G57">
        <v>31</v>
      </c>
      <c r="H57">
        <v>7</v>
      </c>
      <c r="I57">
        <v>2022</v>
      </c>
      <c r="J57">
        <f t="shared" si="0"/>
        <v>18</v>
      </c>
    </row>
    <row r="58" spans="1:10" x14ac:dyDescent="0.3">
      <c r="A58">
        <v>573</v>
      </c>
      <c r="B58" s="349">
        <v>44769</v>
      </c>
      <c r="E58" s="338">
        <v>11.5</v>
      </c>
      <c r="G58">
        <v>31</v>
      </c>
      <c r="H58">
        <v>7</v>
      </c>
      <c r="I58">
        <v>2022</v>
      </c>
      <c r="J58">
        <f t="shared" si="0"/>
        <v>11.5</v>
      </c>
    </row>
    <row r="59" spans="1:10" x14ac:dyDescent="0.3">
      <c r="A59">
        <v>574</v>
      </c>
      <c r="B59" s="349">
        <v>44770</v>
      </c>
      <c r="E59" s="338">
        <v>13</v>
      </c>
      <c r="G59">
        <v>31</v>
      </c>
      <c r="H59">
        <v>7</v>
      </c>
      <c r="I59">
        <v>2022</v>
      </c>
      <c r="J59">
        <f t="shared" si="0"/>
        <v>13</v>
      </c>
    </row>
    <row r="60" spans="1:10" x14ac:dyDescent="0.3">
      <c r="A60">
        <v>575</v>
      </c>
      <c r="B60" s="349">
        <v>44771</v>
      </c>
      <c r="E60" s="338">
        <v>4</v>
      </c>
      <c r="G60">
        <v>31</v>
      </c>
      <c r="H60">
        <v>7</v>
      </c>
      <c r="I60">
        <v>2022</v>
      </c>
      <c r="J60">
        <f t="shared" si="0"/>
        <v>4</v>
      </c>
    </row>
    <row r="61" spans="1:10" x14ac:dyDescent="0.3">
      <c r="A61">
        <v>576</v>
      </c>
      <c r="B61" s="349">
        <v>44772</v>
      </c>
      <c r="E61" s="338">
        <v>15</v>
      </c>
      <c r="G61">
        <v>31</v>
      </c>
      <c r="H61">
        <v>7</v>
      </c>
      <c r="I61">
        <v>2022</v>
      </c>
      <c r="J61">
        <f t="shared" si="0"/>
        <v>15</v>
      </c>
    </row>
    <row r="62" spans="1:10" s="362" customFormat="1" x14ac:dyDescent="0.3">
      <c r="A62" s="362">
        <v>577</v>
      </c>
      <c r="B62" s="363">
        <v>44773</v>
      </c>
      <c r="E62" s="338">
        <v>0</v>
      </c>
      <c r="G62" s="362">
        <v>32</v>
      </c>
      <c r="H62" s="362">
        <v>7</v>
      </c>
      <c r="I62" s="362">
        <v>2022</v>
      </c>
      <c r="J62">
        <f t="shared" si="0"/>
        <v>0</v>
      </c>
    </row>
    <row r="63" spans="1:10" x14ac:dyDescent="0.3">
      <c r="A63">
        <v>578</v>
      </c>
      <c r="B63" s="349">
        <v>44774</v>
      </c>
      <c r="E63" s="338">
        <v>0</v>
      </c>
      <c r="G63">
        <v>32</v>
      </c>
      <c r="H63">
        <v>8</v>
      </c>
      <c r="I63">
        <v>2022</v>
      </c>
      <c r="J63">
        <f t="shared" si="0"/>
        <v>0</v>
      </c>
    </row>
    <row r="64" spans="1:10" x14ac:dyDescent="0.3">
      <c r="A64">
        <v>579</v>
      </c>
      <c r="B64" s="349">
        <v>44775</v>
      </c>
      <c r="E64" s="338">
        <v>8</v>
      </c>
      <c r="G64">
        <v>32</v>
      </c>
      <c r="H64">
        <v>8</v>
      </c>
      <c r="I64">
        <v>2022</v>
      </c>
      <c r="J64">
        <f t="shared" si="0"/>
        <v>8</v>
      </c>
    </row>
    <row r="65" spans="1:10" x14ac:dyDescent="0.3">
      <c r="A65">
        <v>580</v>
      </c>
      <c r="B65" s="349">
        <v>44776</v>
      </c>
      <c r="E65" s="338">
        <v>2.5</v>
      </c>
      <c r="G65">
        <v>32</v>
      </c>
      <c r="H65">
        <v>8</v>
      </c>
      <c r="I65">
        <v>2022</v>
      </c>
      <c r="J65">
        <f t="shared" si="0"/>
        <v>2.5</v>
      </c>
    </row>
    <row r="66" spans="1:10" x14ac:dyDescent="0.3">
      <c r="A66">
        <v>581</v>
      </c>
      <c r="B66" s="349">
        <v>44777</v>
      </c>
      <c r="E66" s="338">
        <v>3</v>
      </c>
      <c r="G66">
        <v>32</v>
      </c>
      <c r="H66">
        <v>8</v>
      </c>
      <c r="I66">
        <v>2022</v>
      </c>
      <c r="J66">
        <f t="shared" si="0"/>
        <v>3</v>
      </c>
    </row>
    <row r="67" spans="1:10" x14ac:dyDescent="0.3">
      <c r="A67">
        <v>582</v>
      </c>
      <c r="B67" s="349">
        <v>44778</v>
      </c>
      <c r="E67" s="338">
        <v>3</v>
      </c>
      <c r="G67">
        <v>32</v>
      </c>
      <c r="H67">
        <v>8</v>
      </c>
      <c r="I67">
        <v>2022</v>
      </c>
      <c r="J67">
        <f t="shared" ref="J67:J130" si="1">MAX(C67:F67)</f>
        <v>3</v>
      </c>
    </row>
    <row r="68" spans="1:10" x14ac:dyDescent="0.3">
      <c r="A68">
        <v>583</v>
      </c>
      <c r="B68" s="349">
        <v>44779</v>
      </c>
      <c r="E68" s="338">
        <v>24</v>
      </c>
      <c r="G68">
        <v>32</v>
      </c>
      <c r="H68">
        <v>8</v>
      </c>
      <c r="I68">
        <v>2022</v>
      </c>
      <c r="J68">
        <f t="shared" si="1"/>
        <v>24</v>
      </c>
    </row>
    <row r="69" spans="1:10" x14ac:dyDescent="0.3">
      <c r="A69">
        <v>584</v>
      </c>
      <c r="B69" s="349">
        <v>44780</v>
      </c>
      <c r="E69" s="338">
        <v>0.5</v>
      </c>
      <c r="G69">
        <v>33</v>
      </c>
      <c r="H69">
        <v>8</v>
      </c>
      <c r="I69">
        <v>2022</v>
      </c>
      <c r="J69">
        <f t="shared" si="1"/>
        <v>0.5</v>
      </c>
    </row>
    <row r="70" spans="1:10" x14ac:dyDescent="0.3">
      <c r="A70">
        <v>585</v>
      </c>
      <c r="B70" s="349">
        <v>44781</v>
      </c>
      <c r="E70" s="338">
        <v>0</v>
      </c>
      <c r="G70">
        <v>33</v>
      </c>
      <c r="H70">
        <v>8</v>
      </c>
      <c r="I70">
        <v>2022</v>
      </c>
      <c r="J70">
        <f t="shared" si="1"/>
        <v>0</v>
      </c>
    </row>
    <row r="71" spans="1:10" x14ac:dyDescent="0.3">
      <c r="A71">
        <v>586</v>
      </c>
      <c r="B71" s="349">
        <v>44782</v>
      </c>
      <c r="E71" s="338">
        <v>10.5</v>
      </c>
      <c r="G71">
        <v>33</v>
      </c>
      <c r="H71">
        <v>8</v>
      </c>
      <c r="I71">
        <v>2022</v>
      </c>
      <c r="J71">
        <f t="shared" si="1"/>
        <v>10.5</v>
      </c>
    </row>
    <row r="72" spans="1:10" x14ac:dyDescent="0.3">
      <c r="A72">
        <v>587</v>
      </c>
      <c r="B72" s="349">
        <v>44783</v>
      </c>
      <c r="E72" s="338">
        <v>0</v>
      </c>
      <c r="G72">
        <v>33</v>
      </c>
      <c r="H72">
        <v>8</v>
      </c>
      <c r="I72">
        <v>2022</v>
      </c>
      <c r="J72">
        <f t="shared" si="1"/>
        <v>0</v>
      </c>
    </row>
    <row r="73" spans="1:10" x14ac:dyDescent="0.3">
      <c r="A73">
        <v>588</v>
      </c>
      <c r="B73" s="349">
        <v>44784</v>
      </c>
      <c r="E73" s="338">
        <v>4</v>
      </c>
      <c r="G73">
        <v>33</v>
      </c>
      <c r="H73">
        <v>8</v>
      </c>
      <c r="I73">
        <v>2022</v>
      </c>
      <c r="J73">
        <f t="shared" si="1"/>
        <v>4</v>
      </c>
    </row>
    <row r="74" spans="1:10" x14ac:dyDescent="0.3">
      <c r="A74">
        <v>589</v>
      </c>
      <c r="B74" s="349">
        <v>44785</v>
      </c>
      <c r="E74" s="338">
        <v>1</v>
      </c>
      <c r="G74">
        <v>33</v>
      </c>
      <c r="H74">
        <v>8</v>
      </c>
      <c r="I74">
        <v>2022</v>
      </c>
      <c r="J74">
        <f t="shared" si="1"/>
        <v>1</v>
      </c>
    </row>
    <row r="75" spans="1:10" x14ac:dyDescent="0.3">
      <c r="A75">
        <v>590</v>
      </c>
      <c r="B75" s="349">
        <v>44786</v>
      </c>
      <c r="E75" s="338">
        <v>2.5</v>
      </c>
      <c r="G75">
        <v>33</v>
      </c>
      <c r="H75">
        <v>8</v>
      </c>
      <c r="I75">
        <v>2022</v>
      </c>
      <c r="J75">
        <f t="shared" si="1"/>
        <v>2.5</v>
      </c>
    </row>
    <row r="76" spans="1:10" x14ac:dyDescent="0.3">
      <c r="A76">
        <v>591</v>
      </c>
      <c r="B76" s="349">
        <v>44787</v>
      </c>
      <c r="E76" s="338">
        <v>10.5</v>
      </c>
      <c r="G76">
        <v>34</v>
      </c>
      <c r="H76">
        <v>8</v>
      </c>
      <c r="I76">
        <v>2022</v>
      </c>
      <c r="J76">
        <f t="shared" si="1"/>
        <v>10.5</v>
      </c>
    </row>
    <row r="77" spans="1:10" x14ac:dyDescent="0.3">
      <c r="A77">
        <v>592</v>
      </c>
      <c r="B77" s="349">
        <v>44788</v>
      </c>
      <c r="E77" s="338">
        <v>22.5</v>
      </c>
      <c r="G77">
        <v>34</v>
      </c>
      <c r="H77">
        <v>8</v>
      </c>
      <c r="I77">
        <v>2022</v>
      </c>
      <c r="J77">
        <f t="shared" si="1"/>
        <v>22.5</v>
      </c>
    </row>
    <row r="78" spans="1:10" x14ac:dyDescent="0.3">
      <c r="A78">
        <v>593</v>
      </c>
      <c r="B78" s="349">
        <v>44789</v>
      </c>
      <c r="E78" s="338">
        <v>0</v>
      </c>
      <c r="G78">
        <v>34</v>
      </c>
      <c r="H78">
        <v>8</v>
      </c>
      <c r="I78">
        <v>2022</v>
      </c>
      <c r="J78">
        <f t="shared" si="1"/>
        <v>0</v>
      </c>
    </row>
    <row r="79" spans="1:10" x14ac:dyDescent="0.3">
      <c r="A79">
        <v>594</v>
      </c>
      <c r="B79" s="349">
        <v>44790</v>
      </c>
      <c r="E79" s="338">
        <v>4</v>
      </c>
      <c r="G79">
        <v>34</v>
      </c>
      <c r="H79">
        <v>8</v>
      </c>
      <c r="I79">
        <v>2022</v>
      </c>
      <c r="J79">
        <f t="shared" si="1"/>
        <v>4</v>
      </c>
    </row>
    <row r="80" spans="1:10" x14ac:dyDescent="0.3">
      <c r="A80">
        <v>595</v>
      </c>
      <c r="B80" s="349">
        <v>44791</v>
      </c>
      <c r="E80" s="338">
        <v>39.5</v>
      </c>
      <c r="G80">
        <v>34</v>
      </c>
      <c r="H80">
        <v>8</v>
      </c>
      <c r="I80">
        <v>2022</v>
      </c>
      <c r="J80">
        <f t="shared" si="1"/>
        <v>39.5</v>
      </c>
    </row>
    <row r="81" spans="1:10" x14ac:dyDescent="0.3">
      <c r="A81">
        <v>596</v>
      </c>
      <c r="B81" s="349">
        <v>44792</v>
      </c>
      <c r="E81" s="338">
        <v>1</v>
      </c>
      <c r="G81">
        <v>34</v>
      </c>
      <c r="H81">
        <v>8</v>
      </c>
      <c r="I81">
        <v>2022</v>
      </c>
      <c r="J81">
        <f t="shared" si="1"/>
        <v>1</v>
      </c>
    </row>
    <row r="82" spans="1:10" x14ac:dyDescent="0.3">
      <c r="A82">
        <v>597</v>
      </c>
      <c r="B82" s="349">
        <v>44793</v>
      </c>
      <c r="E82" s="338">
        <v>1</v>
      </c>
      <c r="G82">
        <v>34</v>
      </c>
      <c r="H82">
        <v>8</v>
      </c>
      <c r="I82">
        <v>2022</v>
      </c>
      <c r="J82">
        <f t="shared" si="1"/>
        <v>1</v>
      </c>
    </row>
    <row r="83" spans="1:10" x14ac:dyDescent="0.3">
      <c r="A83">
        <v>598</v>
      </c>
      <c r="B83" s="349">
        <v>44794</v>
      </c>
      <c r="E83" s="338">
        <v>4.5</v>
      </c>
      <c r="G83">
        <v>35</v>
      </c>
      <c r="H83">
        <v>8</v>
      </c>
      <c r="I83">
        <v>2022</v>
      </c>
      <c r="J83">
        <f t="shared" si="1"/>
        <v>4.5</v>
      </c>
    </row>
    <row r="84" spans="1:10" x14ac:dyDescent="0.3">
      <c r="A84">
        <v>599</v>
      </c>
      <c r="B84" s="349">
        <v>44795</v>
      </c>
      <c r="E84" s="338">
        <v>62</v>
      </c>
      <c r="G84">
        <v>35</v>
      </c>
      <c r="H84">
        <v>8</v>
      </c>
      <c r="I84">
        <v>2022</v>
      </c>
      <c r="J84">
        <f t="shared" si="1"/>
        <v>62</v>
      </c>
    </row>
    <row r="85" spans="1:10" x14ac:dyDescent="0.3">
      <c r="A85">
        <v>600</v>
      </c>
      <c r="B85" s="349">
        <v>44796</v>
      </c>
      <c r="E85" s="338">
        <v>29</v>
      </c>
      <c r="G85">
        <v>35</v>
      </c>
      <c r="H85">
        <v>8</v>
      </c>
      <c r="I85">
        <v>2022</v>
      </c>
      <c r="J85">
        <f t="shared" si="1"/>
        <v>29</v>
      </c>
    </row>
    <row r="86" spans="1:10" x14ac:dyDescent="0.3">
      <c r="A86">
        <v>601</v>
      </c>
      <c r="B86" s="349">
        <v>44797</v>
      </c>
      <c r="E86" s="338">
        <v>0.5</v>
      </c>
      <c r="G86">
        <v>35</v>
      </c>
      <c r="H86">
        <v>8</v>
      </c>
      <c r="I86">
        <v>2022</v>
      </c>
      <c r="J86">
        <f t="shared" si="1"/>
        <v>0.5</v>
      </c>
    </row>
    <row r="87" spans="1:10" x14ac:dyDescent="0.3">
      <c r="A87">
        <v>602</v>
      </c>
      <c r="B87" s="349">
        <v>44798</v>
      </c>
      <c r="E87" s="338">
        <v>1.5</v>
      </c>
      <c r="G87">
        <v>35</v>
      </c>
      <c r="H87">
        <v>8</v>
      </c>
      <c r="I87">
        <v>2022</v>
      </c>
      <c r="J87">
        <f t="shared" si="1"/>
        <v>1.5</v>
      </c>
    </row>
    <row r="88" spans="1:10" x14ac:dyDescent="0.3">
      <c r="A88">
        <v>603</v>
      </c>
      <c r="B88" s="349">
        <v>44799</v>
      </c>
      <c r="E88" s="338">
        <v>1.5</v>
      </c>
      <c r="G88">
        <v>35</v>
      </c>
      <c r="H88">
        <v>8</v>
      </c>
      <c r="I88">
        <v>2022</v>
      </c>
      <c r="J88">
        <f t="shared" si="1"/>
        <v>1.5</v>
      </c>
    </row>
    <row r="89" spans="1:10" x14ac:dyDescent="0.3">
      <c r="A89">
        <v>604</v>
      </c>
      <c r="B89" s="349">
        <v>44800</v>
      </c>
      <c r="E89" s="338">
        <v>14</v>
      </c>
      <c r="G89">
        <v>35</v>
      </c>
      <c r="H89">
        <v>8</v>
      </c>
      <c r="I89">
        <v>2022</v>
      </c>
      <c r="J89">
        <f t="shared" si="1"/>
        <v>14</v>
      </c>
    </row>
    <row r="90" spans="1:10" x14ac:dyDescent="0.3">
      <c r="A90">
        <v>605</v>
      </c>
      <c r="B90" s="349">
        <v>44801</v>
      </c>
      <c r="E90" s="338">
        <v>2</v>
      </c>
      <c r="G90">
        <v>36</v>
      </c>
      <c r="H90">
        <v>8</v>
      </c>
      <c r="I90">
        <v>2022</v>
      </c>
      <c r="J90">
        <f t="shared" si="1"/>
        <v>2</v>
      </c>
    </row>
    <row r="91" spans="1:10" x14ac:dyDescent="0.3">
      <c r="A91">
        <v>606</v>
      </c>
      <c r="B91" s="349">
        <v>44802</v>
      </c>
      <c r="E91" s="338">
        <v>2.5</v>
      </c>
      <c r="G91">
        <v>36</v>
      </c>
      <c r="H91">
        <v>8</v>
      </c>
      <c r="I91">
        <v>2022</v>
      </c>
      <c r="J91">
        <f t="shared" si="1"/>
        <v>2.5</v>
      </c>
    </row>
    <row r="92" spans="1:10" x14ac:dyDescent="0.3">
      <c r="A92">
        <v>607</v>
      </c>
      <c r="B92" s="349">
        <v>44803</v>
      </c>
      <c r="E92" s="338">
        <v>11</v>
      </c>
      <c r="G92">
        <v>36</v>
      </c>
      <c r="H92">
        <v>8</v>
      </c>
      <c r="I92">
        <v>2022</v>
      </c>
      <c r="J92">
        <f t="shared" si="1"/>
        <v>11</v>
      </c>
    </row>
    <row r="93" spans="1:10" s="362" customFormat="1" x14ac:dyDescent="0.3">
      <c r="A93" s="362">
        <v>608</v>
      </c>
      <c r="B93" s="363">
        <v>44804</v>
      </c>
      <c r="E93" s="338">
        <v>5.5</v>
      </c>
      <c r="G93" s="362">
        <v>36</v>
      </c>
      <c r="H93" s="362">
        <v>8</v>
      </c>
      <c r="I93" s="362">
        <v>2022</v>
      </c>
      <c r="J93">
        <f t="shared" si="1"/>
        <v>5.5</v>
      </c>
    </row>
    <row r="94" spans="1:10" x14ac:dyDescent="0.3">
      <c r="A94">
        <v>609</v>
      </c>
      <c r="B94" s="349">
        <v>44805</v>
      </c>
      <c r="E94" s="338">
        <v>37.5</v>
      </c>
      <c r="G94">
        <v>36</v>
      </c>
      <c r="H94">
        <v>9</v>
      </c>
      <c r="I94">
        <v>2022</v>
      </c>
      <c r="J94">
        <f t="shared" si="1"/>
        <v>37.5</v>
      </c>
    </row>
    <row r="95" spans="1:10" x14ac:dyDescent="0.3">
      <c r="A95">
        <v>610</v>
      </c>
      <c r="B95" s="349">
        <v>44806</v>
      </c>
      <c r="E95" s="338">
        <v>0</v>
      </c>
      <c r="G95">
        <v>36</v>
      </c>
      <c r="H95">
        <v>9</v>
      </c>
      <c r="I95">
        <v>2022</v>
      </c>
      <c r="J95">
        <f t="shared" si="1"/>
        <v>0</v>
      </c>
    </row>
    <row r="96" spans="1:10" x14ac:dyDescent="0.3">
      <c r="A96">
        <v>611</v>
      </c>
      <c r="B96" s="349">
        <v>44807</v>
      </c>
      <c r="E96" s="338">
        <v>0.5</v>
      </c>
      <c r="G96">
        <v>36</v>
      </c>
      <c r="H96">
        <v>9</v>
      </c>
      <c r="I96">
        <v>2022</v>
      </c>
      <c r="J96">
        <f t="shared" si="1"/>
        <v>0.5</v>
      </c>
    </row>
    <row r="97" spans="1:10" x14ac:dyDescent="0.3">
      <c r="A97">
        <v>612</v>
      </c>
      <c r="B97" s="349">
        <v>44808</v>
      </c>
      <c r="E97" s="338">
        <v>75</v>
      </c>
      <c r="G97">
        <v>37</v>
      </c>
      <c r="H97">
        <v>9</v>
      </c>
      <c r="I97">
        <v>2022</v>
      </c>
      <c r="J97">
        <f t="shared" si="1"/>
        <v>75</v>
      </c>
    </row>
    <row r="98" spans="1:10" x14ac:dyDescent="0.3">
      <c r="A98">
        <v>613</v>
      </c>
      <c r="B98" s="349">
        <v>44809</v>
      </c>
      <c r="E98" s="338">
        <v>5</v>
      </c>
      <c r="G98">
        <v>37</v>
      </c>
      <c r="H98">
        <v>9</v>
      </c>
      <c r="I98">
        <v>2022</v>
      </c>
      <c r="J98">
        <f t="shared" si="1"/>
        <v>5</v>
      </c>
    </row>
    <row r="99" spans="1:10" x14ac:dyDescent="0.3">
      <c r="A99">
        <v>614</v>
      </c>
      <c r="B99" s="349">
        <v>44810</v>
      </c>
      <c r="E99" s="338">
        <v>9</v>
      </c>
      <c r="G99">
        <v>37</v>
      </c>
      <c r="H99">
        <v>9</v>
      </c>
      <c r="I99">
        <v>2022</v>
      </c>
      <c r="J99">
        <f t="shared" si="1"/>
        <v>9</v>
      </c>
    </row>
    <row r="100" spans="1:10" x14ac:dyDescent="0.3">
      <c r="A100">
        <v>615</v>
      </c>
      <c r="B100" s="349">
        <v>44811</v>
      </c>
      <c r="E100" s="338">
        <v>9</v>
      </c>
      <c r="G100">
        <v>37</v>
      </c>
      <c r="H100">
        <v>9</v>
      </c>
      <c r="I100">
        <v>2022</v>
      </c>
      <c r="J100">
        <f t="shared" si="1"/>
        <v>9</v>
      </c>
    </row>
    <row r="101" spans="1:10" x14ac:dyDescent="0.3">
      <c r="A101">
        <v>616</v>
      </c>
      <c r="B101" s="349">
        <v>44812</v>
      </c>
      <c r="E101" s="338">
        <v>0</v>
      </c>
      <c r="G101">
        <v>37</v>
      </c>
      <c r="H101">
        <v>9</v>
      </c>
      <c r="I101">
        <v>2022</v>
      </c>
      <c r="J101">
        <f t="shared" si="1"/>
        <v>0</v>
      </c>
    </row>
    <row r="102" spans="1:10" x14ac:dyDescent="0.3">
      <c r="A102">
        <v>617</v>
      </c>
      <c r="B102" s="349">
        <v>44813</v>
      </c>
      <c r="E102" s="338">
        <v>0</v>
      </c>
      <c r="G102">
        <v>37</v>
      </c>
      <c r="H102">
        <v>9</v>
      </c>
      <c r="I102">
        <v>2022</v>
      </c>
      <c r="J102">
        <f t="shared" si="1"/>
        <v>0</v>
      </c>
    </row>
    <row r="103" spans="1:10" x14ac:dyDescent="0.3">
      <c r="A103">
        <v>618</v>
      </c>
      <c r="B103" s="349">
        <v>44814</v>
      </c>
      <c r="E103" s="338">
        <v>16.5</v>
      </c>
      <c r="G103">
        <v>37</v>
      </c>
      <c r="H103">
        <v>9</v>
      </c>
      <c r="I103">
        <v>2022</v>
      </c>
      <c r="J103">
        <f t="shared" si="1"/>
        <v>16.5</v>
      </c>
    </row>
    <row r="104" spans="1:10" x14ac:dyDescent="0.3">
      <c r="A104">
        <v>619</v>
      </c>
      <c r="B104" s="349">
        <v>44815</v>
      </c>
      <c r="E104" s="338">
        <v>3.5</v>
      </c>
      <c r="G104">
        <v>38</v>
      </c>
      <c r="H104">
        <v>9</v>
      </c>
      <c r="I104">
        <v>2022</v>
      </c>
      <c r="J104">
        <f t="shared" si="1"/>
        <v>3.5</v>
      </c>
    </row>
    <row r="105" spans="1:10" x14ac:dyDescent="0.3">
      <c r="A105">
        <v>620</v>
      </c>
      <c r="B105" s="349">
        <v>44816</v>
      </c>
      <c r="E105" s="338">
        <v>0.5</v>
      </c>
      <c r="G105">
        <v>38</v>
      </c>
      <c r="H105">
        <v>9</v>
      </c>
      <c r="I105">
        <v>2022</v>
      </c>
      <c r="J105">
        <f t="shared" si="1"/>
        <v>0.5</v>
      </c>
    </row>
    <row r="106" spans="1:10" x14ac:dyDescent="0.3">
      <c r="A106">
        <v>621</v>
      </c>
      <c r="B106" s="349">
        <v>44817</v>
      </c>
      <c r="E106" s="338">
        <v>1</v>
      </c>
      <c r="G106">
        <v>38</v>
      </c>
      <c r="H106">
        <v>9</v>
      </c>
      <c r="I106">
        <v>2022</v>
      </c>
      <c r="J106">
        <f t="shared" si="1"/>
        <v>1</v>
      </c>
    </row>
    <row r="107" spans="1:10" x14ac:dyDescent="0.3">
      <c r="A107">
        <v>622</v>
      </c>
      <c r="B107" s="349">
        <v>44818</v>
      </c>
      <c r="E107" s="338">
        <v>1.5</v>
      </c>
      <c r="G107">
        <v>38</v>
      </c>
      <c r="H107">
        <v>9</v>
      </c>
      <c r="I107">
        <v>2022</v>
      </c>
      <c r="J107">
        <f t="shared" si="1"/>
        <v>1.5</v>
      </c>
    </row>
    <row r="108" spans="1:10" x14ac:dyDescent="0.3">
      <c r="A108">
        <v>623</v>
      </c>
      <c r="B108" s="349">
        <v>44819</v>
      </c>
      <c r="E108" s="338">
        <v>0</v>
      </c>
      <c r="G108">
        <v>38</v>
      </c>
      <c r="H108">
        <v>9</v>
      </c>
      <c r="I108">
        <v>2022</v>
      </c>
      <c r="J108">
        <f t="shared" si="1"/>
        <v>0</v>
      </c>
    </row>
    <row r="109" spans="1:10" x14ac:dyDescent="0.3">
      <c r="A109">
        <v>624</v>
      </c>
      <c r="B109" s="349">
        <v>44820</v>
      </c>
      <c r="E109" s="338">
        <v>31</v>
      </c>
      <c r="G109">
        <v>38</v>
      </c>
      <c r="H109">
        <v>9</v>
      </c>
      <c r="I109">
        <v>2022</v>
      </c>
      <c r="J109">
        <f t="shared" si="1"/>
        <v>31</v>
      </c>
    </row>
    <row r="110" spans="1:10" x14ac:dyDescent="0.3">
      <c r="A110">
        <v>625</v>
      </c>
      <c r="B110" s="349">
        <v>44821</v>
      </c>
      <c r="E110" s="338">
        <v>9.5</v>
      </c>
      <c r="G110">
        <v>38</v>
      </c>
      <c r="H110">
        <v>9</v>
      </c>
      <c r="I110">
        <v>2022</v>
      </c>
      <c r="J110">
        <f t="shared" si="1"/>
        <v>9.5</v>
      </c>
    </row>
    <row r="111" spans="1:10" x14ac:dyDescent="0.3">
      <c r="A111">
        <v>626</v>
      </c>
      <c r="B111" s="349">
        <v>44822</v>
      </c>
      <c r="E111" s="338">
        <v>0</v>
      </c>
      <c r="G111">
        <v>39</v>
      </c>
      <c r="H111">
        <v>9</v>
      </c>
      <c r="I111">
        <v>2022</v>
      </c>
      <c r="J111">
        <f t="shared" si="1"/>
        <v>0</v>
      </c>
    </row>
    <row r="112" spans="1:10" x14ac:dyDescent="0.3">
      <c r="A112">
        <v>627</v>
      </c>
      <c r="B112" s="349">
        <v>44823</v>
      </c>
      <c r="E112" s="338">
        <v>0</v>
      </c>
      <c r="G112">
        <v>39</v>
      </c>
      <c r="H112">
        <v>9</v>
      </c>
      <c r="I112">
        <v>2022</v>
      </c>
      <c r="J112">
        <f t="shared" si="1"/>
        <v>0</v>
      </c>
    </row>
    <row r="113" spans="1:10" x14ac:dyDescent="0.3">
      <c r="A113">
        <v>628</v>
      </c>
      <c r="B113" s="349">
        <v>44824</v>
      </c>
      <c r="E113" s="338">
        <v>9.5</v>
      </c>
      <c r="G113">
        <v>39</v>
      </c>
      <c r="H113">
        <v>9</v>
      </c>
      <c r="I113">
        <v>2022</v>
      </c>
      <c r="J113">
        <f t="shared" si="1"/>
        <v>9.5</v>
      </c>
    </row>
    <row r="114" spans="1:10" x14ac:dyDescent="0.3">
      <c r="A114">
        <v>629</v>
      </c>
      <c r="B114" s="349">
        <v>44825</v>
      </c>
      <c r="E114" s="338">
        <v>60.5</v>
      </c>
      <c r="G114">
        <v>39</v>
      </c>
      <c r="H114">
        <v>9</v>
      </c>
      <c r="I114">
        <v>2022</v>
      </c>
      <c r="J114">
        <f t="shared" si="1"/>
        <v>60.5</v>
      </c>
    </row>
    <row r="115" spans="1:10" x14ac:dyDescent="0.3">
      <c r="A115">
        <v>630</v>
      </c>
      <c r="B115" s="349">
        <v>44826</v>
      </c>
      <c r="E115" s="338">
        <v>2.5</v>
      </c>
      <c r="G115">
        <v>39</v>
      </c>
      <c r="H115">
        <v>9</v>
      </c>
      <c r="I115">
        <v>2022</v>
      </c>
      <c r="J115">
        <f t="shared" si="1"/>
        <v>2.5</v>
      </c>
    </row>
    <row r="116" spans="1:10" x14ac:dyDescent="0.3">
      <c r="A116">
        <v>631</v>
      </c>
      <c r="B116" s="349">
        <v>44827</v>
      </c>
      <c r="E116" s="338">
        <v>0</v>
      </c>
      <c r="G116">
        <v>39</v>
      </c>
      <c r="H116">
        <v>9</v>
      </c>
      <c r="I116">
        <v>2022</v>
      </c>
      <c r="J116">
        <f t="shared" si="1"/>
        <v>0</v>
      </c>
    </row>
    <row r="117" spans="1:10" x14ac:dyDescent="0.3">
      <c r="A117">
        <v>632</v>
      </c>
      <c r="B117" s="349">
        <v>44828</v>
      </c>
      <c r="E117" s="338">
        <v>0</v>
      </c>
      <c r="G117">
        <v>39</v>
      </c>
      <c r="H117">
        <v>9</v>
      </c>
      <c r="I117">
        <v>2022</v>
      </c>
      <c r="J117">
        <f t="shared" si="1"/>
        <v>0</v>
      </c>
    </row>
    <row r="118" spans="1:10" x14ac:dyDescent="0.3">
      <c r="A118">
        <v>633</v>
      </c>
      <c r="B118" s="349">
        <v>44829</v>
      </c>
      <c r="E118" s="338">
        <v>0</v>
      </c>
      <c r="G118">
        <v>40</v>
      </c>
      <c r="H118">
        <v>9</v>
      </c>
      <c r="I118">
        <v>2022</v>
      </c>
      <c r="J118">
        <f t="shared" si="1"/>
        <v>0</v>
      </c>
    </row>
    <row r="119" spans="1:10" x14ac:dyDescent="0.3">
      <c r="A119">
        <v>634</v>
      </c>
      <c r="B119" s="349">
        <v>44830</v>
      </c>
      <c r="E119" s="338">
        <v>0</v>
      </c>
      <c r="G119">
        <v>40</v>
      </c>
      <c r="H119">
        <v>9</v>
      </c>
      <c r="I119">
        <v>2022</v>
      </c>
      <c r="J119">
        <f t="shared" si="1"/>
        <v>0</v>
      </c>
    </row>
    <row r="120" spans="1:10" x14ac:dyDescent="0.3">
      <c r="A120">
        <v>635</v>
      </c>
      <c r="B120" s="349">
        <v>44831</v>
      </c>
      <c r="E120" s="338">
        <v>13</v>
      </c>
      <c r="G120">
        <v>40</v>
      </c>
      <c r="H120">
        <v>9</v>
      </c>
      <c r="I120">
        <v>2022</v>
      </c>
      <c r="J120">
        <f t="shared" si="1"/>
        <v>13</v>
      </c>
    </row>
    <row r="121" spans="1:10" x14ac:dyDescent="0.3">
      <c r="A121">
        <v>636</v>
      </c>
      <c r="B121" s="349">
        <v>44832</v>
      </c>
      <c r="E121" s="338">
        <v>0</v>
      </c>
      <c r="G121">
        <v>40</v>
      </c>
      <c r="H121">
        <v>9</v>
      </c>
      <c r="I121">
        <v>2022</v>
      </c>
      <c r="J121">
        <f t="shared" si="1"/>
        <v>0</v>
      </c>
    </row>
    <row r="122" spans="1:10" x14ac:dyDescent="0.3">
      <c r="A122">
        <v>637</v>
      </c>
      <c r="B122" s="349">
        <v>44833</v>
      </c>
      <c r="E122" s="338">
        <v>1</v>
      </c>
      <c r="G122">
        <v>40</v>
      </c>
      <c r="H122">
        <v>9</v>
      </c>
      <c r="I122">
        <v>2022</v>
      </c>
      <c r="J122">
        <f t="shared" si="1"/>
        <v>1</v>
      </c>
    </row>
    <row r="123" spans="1:10" s="362" customFormat="1" x14ac:dyDescent="0.3">
      <c r="A123" s="362">
        <v>638</v>
      </c>
      <c r="B123" s="363">
        <v>44834</v>
      </c>
      <c r="E123" s="338">
        <v>0.5</v>
      </c>
      <c r="G123" s="362">
        <v>40</v>
      </c>
      <c r="H123" s="362">
        <v>9</v>
      </c>
      <c r="I123" s="362">
        <v>2022</v>
      </c>
      <c r="J123">
        <f t="shared" si="1"/>
        <v>0.5</v>
      </c>
    </row>
    <row r="124" spans="1:10" x14ac:dyDescent="0.3">
      <c r="A124">
        <v>639</v>
      </c>
      <c r="B124" s="349">
        <v>44835</v>
      </c>
      <c r="E124" s="338">
        <v>0</v>
      </c>
      <c r="G124">
        <v>40</v>
      </c>
      <c r="H124">
        <v>10</v>
      </c>
      <c r="I124">
        <v>2022</v>
      </c>
      <c r="J124">
        <f t="shared" si="1"/>
        <v>0</v>
      </c>
    </row>
    <row r="125" spans="1:10" x14ac:dyDescent="0.3">
      <c r="A125">
        <v>640</v>
      </c>
      <c r="B125" s="349">
        <v>44836</v>
      </c>
      <c r="E125" s="338">
        <v>1.5</v>
      </c>
      <c r="G125">
        <v>41</v>
      </c>
      <c r="H125">
        <v>10</v>
      </c>
      <c r="I125">
        <v>2022</v>
      </c>
      <c r="J125">
        <f t="shared" si="1"/>
        <v>1.5</v>
      </c>
    </row>
    <row r="126" spans="1:10" x14ac:dyDescent="0.3">
      <c r="A126">
        <v>641</v>
      </c>
      <c r="B126" s="349">
        <v>44837</v>
      </c>
      <c r="E126" s="338">
        <v>0</v>
      </c>
      <c r="G126">
        <v>41</v>
      </c>
      <c r="H126">
        <v>10</v>
      </c>
      <c r="I126">
        <v>2022</v>
      </c>
      <c r="J126">
        <f t="shared" si="1"/>
        <v>0</v>
      </c>
    </row>
    <row r="127" spans="1:10" x14ac:dyDescent="0.3">
      <c r="A127">
        <v>642</v>
      </c>
      <c r="B127" s="349">
        <v>44838</v>
      </c>
      <c r="E127" s="338">
        <v>2</v>
      </c>
      <c r="G127">
        <v>41</v>
      </c>
      <c r="H127">
        <v>10</v>
      </c>
      <c r="I127">
        <v>2022</v>
      </c>
      <c r="J127">
        <f t="shared" si="1"/>
        <v>2</v>
      </c>
    </row>
    <row r="128" spans="1:10" x14ac:dyDescent="0.3">
      <c r="A128">
        <v>643</v>
      </c>
      <c r="B128" s="349">
        <v>44839</v>
      </c>
      <c r="E128" s="338">
        <v>0</v>
      </c>
      <c r="G128">
        <v>41</v>
      </c>
      <c r="H128">
        <v>10</v>
      </c>
      <c r="I128">
        <v>2022</v>
      </c>
      <c r="J128">
        <f t="shared" si="1"/>
        <v>0</v>
      </c>
    </row>
    <row r="129" spans="1:10" x14ac:dyDescent="0.3">
      <c r="A129">
        <v>644</v>
      </c>
      <c r="B129" s="349">
        <v>44840</v>
      </c>
      <c r="E129" s="338">
        <v>0.5</v>
      </c>
      <c r="G129">
        <v>41</v>
      </c>
      <c r="H129">
        <v>10</v>
      </c>
      <c r="I129">
        <v>2022</v>
      </c>
      <c r="J129">
        <f t="shared" si="1"/>
        <v>0.5</v>
      </c>
    </row>
    <row r="130" spans="1:10" x14ac:dyDescent="0.3">
      <c r="A130">
        <v>645</v>
      </c>
      <c r="B130" s="349">
        <v>44841</v>
      </c>
      <c r="E130" s="338">
        <v>0.5</v>
      </c>
      <c r="G130">
        <v>41</v>
      </c>
      <c r="H130">
        <v>10</v>
      </c>
      <c r="I130">
        <v>2022</v>
      </c>
      <c r="J130">
        <f t="shared" si="1"/>
        <v>0.5</v>
      </c>
    </row>
    <row r="131" spans="1:10" x14ac:dyDescent="0.3">
      <c r="A131">
        <v>646</v>
      </c>
      <c r="B131" s="349">
        <v>44842</v>
      </c>
      <c r="E131" s="338">
        <v>12</v>
      </c>
      <c r="G131">
        <v>41</v>
      </c>
      <c r="H131">
        <v>10</v>
      </c>
      <c r="I131">
        <v>2022</v>
      </c>
      <c r="J131">
        <f t="shared" ref="J131:J194" si="2">MAX(C131:F131)</f>
        <v>12</v>
      </c>
    </row>
    <row r="132" spans="1:10" x14ac:dyDescent="0.3">
      <c r="A132">
        <v>647</v>
      </c>
      <c r="B132" s="349">
        <v>44843</v>
      </c>
      <c r="E132" s="338">
        <v>12</v>
      </c>
      <c r="G132">
        <v>42</v>
      </c>
      <c r="H132">
        <v>10</v>
      </c>
      <c r="I132">
        <v>2022</v>
      </c>
      <c r="J132">
        <f t="shared" si="2"/>
        <v>12</v>
      </c>
    </row>
    <row r="133" spans="1:10" x14ac:dyDescent="0.3">
      <c r="A133">
        <v>648</v>
      </c>
      <c r="B133" s="349">
        <v>44844</v>
      </c>
      <c r="E133" s="338">
        <v>14.5</v>
      </c>
      <c r="G133">
        <v>42</v>
      </c>
      <c r="H133">
        <v>10</v>
      </c>
      <c r="I133">
        <v>2022</v>
      </c>
      <c r="J133">
        <f t="shared" si="2"/>
        <v>14.5</v>
      </c>
    </row>
    <row r="134" spans="1:10" x14ac:dyDescent="0.3">
      <c r="A134">
        <v>649</v>
      </c>
      <c r="B134" s="349">
        <v>44845</v>
      </c>
      <c r="E134" s="338">
        <v>95</v>
      </c>
      <c r="G134">
        <v>42</v>
      </c>
      <c r="H134">
        <v>10</v>
      </c>
      <c r="I134">
        <v>2022</v>
      </c>
      <c r="J134">
        <f t="shared" si="2"/>
        <v>95</v>
      </c>
    </row>
    <row r="135" spans="1:10" x14ac:dyDescent="0.3">
      <c r="A135">
        <v>650</v>
      </c>
      <c r="B135" s="349">
        <v>44846</v>
      </c>
      <c r="E135" s="338">
        <v>0</v>
      </c>
      <c r="G135">
        <v>42</v>
      </c>
      <c r="H135">
        <v>10</v>
      </c>
      <c r="I135">
        <v>2022</v>
      </c>
      <c r="J135">
        <f t="shared" si="2"/>
        <v>0</v>
      </c>
    </row>
    <row r="136" spans="1:10" x14ac:dyDescent="0.3">
      <c r="A136">
        <v>651</v>
      </c>
      <c r="B136" s="349">
        <v>44847</v>
      </c>
      <c r="E136" s="338">
        <v>7.5</v>
      </c>
      <c r="G136">
        <v>42</v>
      </c>
      <c r="H136">
        <v>10</v>
      </c>
      <c r="I136">
        <v>2022</v>
      </c>
      <c r="J136">
        <f t="shared" si="2"/>
        <v>7.5</v>
      </c>
    </row>
    <row r="137" spans="1:10" x14ac:dyDescent="0.3">
      <c r="A137">
        <v>652</v>
      </c>
      <c r="B137" s="349">
        <v>44848</v>
      </c>
      <c r="E137" s="338">
        <v>0</v>
      </c>
      <c r="G137">
        <v>42</v>
      </c>
      <c r="H137">
        <v>10</v>
      </c>
      <c r="I137">
        <v>2022</v>
      </c>
      <c r="J137">
        <f t="shared" si="2"/>
        <v>0</v>
      </c>
    </row>
    <row r="138" spans="1:10" x14ac:dyDescent="0.3">
      <c r="A138">
        <v>653</v>
      </c>
      <c r="B138" s="349">
        <v>44849</v>
      </c>
      <c r="E138" s="338">
        <v>2.5</v>
      </c>
      <c r="G138">
        <v>42</v>
      </c>
      <c r="H138">
        <v>10</v>
      </c>
      <c r="I138">
        <v>2022</v>
      </c>
      <c r="J138">
        <f t="shared" si="2"/>
        <v>2.5</v>
      </c>
    </row>
    <row r="139" spans="1:10" x14ac:dyDescent="0.3">
      <c r="A139">
        <v>654</v>
      </c>
      <c r="B139" s="349">
        <v>44850</v>
      </c>
      <c r="E139" s="338">
        <v>0</v>
      </c>
      <c r="G139">
        <v>43</v>
      </c>
      <c r="H139">
        <v>10</v>
      </c>
      <c r="I139">
        <v>2022</v>
      </c>
      <c r="J139">
        <f t="shared" si="2"/>
        <v>0</v>
      </c>
    </row>
    <row r="140" spans="1:10" x14ac:dyDescent="0.3">
      <c r="A140">
        <v>655</v>
      </c>
      <c r="B140" s="349">
        <v>44851</v>
      </c>
      <c r="E140" s="338">
        <v>5.5</v>
      </c>
      <c r="G140">
        <v>43</v>
      </c>
      <c r="H140">
        <v>10</v>
      </c>
      <c r="I140">
        <v>2022</v>
      </c>
      <c r="J140">
        <f t="shared" si="2"/>
        <v>5.5</v>
      </c>
    </row>
    <row r="141" spans="1:10" x14ac:dyDescent="0.3">
      <c r="A141">
        <v>656</v>
      </c>
      <c r="B141" s="349">
        <v>44852</v>
      </c>
      <c r="E141" s="338">
        <v>26</v>
      </c>
      <c r="G141">
        <v>43</v>
      </c>
      <c r="H141">
        <v>10</v>
      </c>
      <c r="I141">
        <v>2022</v>
      </c>
      <c r="J141">
        <f t="shared" si="2"/>
        <v>26</v>
      </c>
    </row>
    <row r="142" spans="1:10" x14ac:dyDescent="0.3">
      <c r="A142">
        <v>657</v>
      </c>
      <c r="B142" s="349">
        <v>44853</v>
      </c>
      <c r="E142" s="338">
        <v>29</v>
      </c>
      <c r="G142">
        <v>43</v>
      </c>
      <c r="H142">
        <v>10</v>
      </c>
      <c r="I142">
        <v>2022</v>
      </c>
      <c r="J142">
        <f t="shared" si="2"/>
        <v>29</v>
      </c>
    </row>
    <row r="143" spans="1:10" x14ac:dyDescent="0.3">
      <c r="A143">
        <v>658</v>
      </c>
      <c r="B143" s="349">
        <v>44854</v>
      </c>
      <c r="E143" s="338">
        <v>5</v>
      </c>
      <c r="G143">
        <v>43</v>
      </c>
      <c r="H143">
        <v>10</v>
      </c>
      <c r="I143">
        <v>2022</v>
      </c>
      <c r="J143">
        <f t="shared" si="2"/>
        <v>5</v>
      </c>
    </row>
    <row r="144" spans="1:10" x14ac:dyDescent="0.3">
      <c r="A144">
        <v>659</v>
      </c>
      <c r="B144" s="349">
        <v>44855</v>
      </c>
      <c r="E144" s="338">
        <v>4.5</v>
      </c>
      <c r="G144">
        <v>43</v>
      </c>
      <c r="H144">
        <v>10</v>
      </c>
      <c r="I144">
        <v>2022</v>
      </c>
      <c r="J144">
        <f t="shared" si="2"/>
        <v>4.5</v>
      </c>
    </row>
    <row r="145" spans="1:10" x14ac:dyDescent="0.3">
      <c r="A145">
        <v>660</v>
      </c>
      <c r="B145" s="349">
        <v>44856</v>
      </c>
      <c r="E145" s="338">
        <v>0</v>
      </c>
      <c r="G145">
        <v>43</v>
      </c>
      <c r="H145">
        <v>10</v>
      </c>
      <c r="I145">
        <v>2022</v>
      </c>
      <c r="J145">
        <f t="shared" si="2"/>
        <v>0</v>
      </c>
    </row>
    <row r="146" spans="1:10" x14ac:dyDescent="0.3">
      <c r="A146">
        <v>661</v>
      </c>
      <c r="B146" s="349">
        <v>44857</v>
      </c>
      <c r="E146" s="338">
        <v>1</v>
      </c>
      <c r="G146">
        <v>44</v>
      </c>
      <c r="H146">
        <v>10</v>
      </c>
      <c r="I146">
        <v>2022</v>
      </c>
      <c r="J146">
        <f t="shared" si="2"/>
        <v>1</v>
      </c>
    </row>
    <row r="147" spans="1:10" x14ac:dyDescent="0.3">
      <c r="A147">
        <v>662</v>
      </c>
      <c r="B147" s="349">
        <v>44858</v>
      </c>
      <c r="E147" s="338">
        <v>0</v>
      </c>
      <c r="G147">
        <v>44</v>
      </c>
      <c r="H147">
        <v>10</v>
      </c>
      <c r="I147">
        <v>2022</v>
      </c>
      <c r="J147">
        <f t="shared" si="2"/>
        <v>0</v>
      </c>
    </row>
    <row r="148" spans="1:10" x14ac:dyDescent="0.3">
      <c r="A148">
        <v>663</v>
      </c>
      <c r="B148" s="349">
        <v>44859</v>
      </c>
      <c r="E148" s="338">
        <v>0</v>
      </c>
      <c r="G148">
        <v>44</v>
      </c>
      <c r="H148">
        <v>10</v>
      </c>
      <c r="I148">
        <v>2022</v>
      </c>
      <c r="J148">
        <f t="shared" si="2"/>
        <v>0</v>
      </c>
    </row>
    <row r="149" spans="1:10" x14ac:dyDescent="0.3">
      <c r="A149">
        <v>664</v>
      </c>
      <c r="B149" s="349">
        <v>44860</v>
      </c>
      <c r="E149" s="338">
        <v>0</v>
      </c>
      <c r="G149">
        <v>44</v>
      </c>
      <c r="H149">
        <v>10</v>
      </c>
      <c r="I149">
        <v>2022</v>
      </c>
      <c r="J149">
        <f t="shared" si="2"/>
        <v>0</v>
      </c>
    </row>
    <row r="150" spans="1:10" x14ac:dyDescent="0.3">
      <c r="A150">
        <v>665</v>
      </c>
      <c r="B150" s="349">
        <v>44861</v>
      </c>
      <c r="E150" s="338">
        <v>12</v>
      </c>
      <c r="G150">
        <v>44</v>
      </c>
      <c r="H150">
        <v>10</v>
      </c>
      <c r="I150">
        <v>2022</v>
      </c>
      <c r="J150">
        <f t="shared" si="2"/>
        <v>12</v>
      </c>
    </row>
    <row r="151" spans="1:10" x14ac:dyDescent="0.3">
      <c r="A151">
        <v>666</v>
      </c>
      <c r="B151" s="349">
        <v>44862</v>
      </c>
      <c r="E151" s="338">
        <v>0</v>
      </c>
      <c r="G151">
        <v>44</v>
      </c>
      <c r="H151">
        <v>10</v>
      </c>
      <c r="I151">
        <v>2022</v>
      </c>
      <c r="J151">
        <f t="shared" si="2"/>
        <v>0</v>
      </c>
    </row>
    <row r="152" spans="1:10" x14ac:dyDescent="0.3">
      <c r="A152">
        <v>667</v>
      </c>
      <c r="B152" s="349">
        <v>44863</v>
      </c>
      <c r="E152" s="338">
        <v>0</v>
      </c>
      <c r="G152">
        <v>44</v>
      </c>
      <c r="H152">
        <v>10</v>
      </c>
      <c r="I152">
        <v>2022</v>
      </c>
      <c r="J152">
        <f t="shared" si="2"/>
        <v>0</v>
      </c>
    </row>
    <row r="153" spans="1:10" x14ac:dyDescent="0.3">
      <c r="A153">
        <v>668</v>
      </c>
      <c r="B153" s="349">
        <v>44864</v>
      </c>
      <c r="E153" s="338">
        <v>0</v>
      </c>
      <c r="G153">
        <v>45</v>
      </c>
      <c r="H153">
        <v>10</v>
      </c>
      <c r="I153">
        <v>2022</v>
      </c>
      <c r="J153">
        <f t="shared" si="2"/>
        <v>0</v>
      </c>
    </row>
    <row r="154" spans="1:10" s="362" customFormat="1" x14ac:dyDescent="0.3">
      <c r="A154" s="362">
        <v>669</v>
      </c>
      <c r="B154" s="363">
        <v>44865</v>
      </c>
      <c r="E154" s="338">
        <v>10.5</v>
      </c>
      <c r="G154" s="362">
        <v>45</v>
      </c>
      <c r="H154" s="362">
        <v>10</v>
      </c>
      <c r="I154" s="362">
        <v>2022</v>
      </c>
      <c r="J154">
        <f t="shared" si="2"/>
        <v>10.5</v>
      </c>
    </row>
    <row r="155" spans="1:10" x14ac:dyDescent="0.3">
      <c r="A155">
        <v>670</v>
      </c>
      <c r="B155" s="349">
        <v>44866</v>
      </c>
      <c r="E155" s="338">
        <v>3</v>
      </c>
      <c r="G155">
        <v>45</v>
      </c>
      <c r="H155">
        <v>11</v>
      </c>
      <c r="I155">
        <v>2022</v>
      </c>
      <c r="J155">
        <f t="shared" si="2"/>
        <v>3</v>
      </c>
    </row>
    <row r="156" spans="1:10" x14ac:dyDescent="0.3">
      <c r="A156">
        <v>671</v>
      </c>
      <c r="B156" s="349">
        <v>44867</v>
      </c>
      <c r="E156" s="338">
        <v>17.5</v>
      </c>
      <c r="G156">
        <v>45</v>
      </c>
      <c r="H156">
        <v>11</v>
      </c>
      <c r="I156">
        <v>2022</v>
      </c>
      <c r="J156">
        <f t="shared" si="2"/>
        <v>17.5</v>
      </c>
    </row>
    <row r="157" spans="1:10" x14ac:dyDescent="0.3">
      <c r="A157">
        <v>672</v>
      </c>
      <c r="B157" s="349">
        <v>44868</v>
      </c>
      <c r="E157" s="338">
        <v>4.5</v>
      </c>
      <c r="G157">
        <v>45</v>
      </c>
      <c r="H157">
        <v>11</v>
      </c>
      <c r="I157">
        <v>2022</v>
      </c>
      <c r="J157">
        <f t="shared" si="2"/>
        <v>4.5</v>
      </c>
    </row>
    <row r="158" spans="1:10" x14ac:dyDescent="0.3">
      <c r="A158">
        <v>673</v>
      </c>
      <c r="B158" s="349">
        <v>44869</v>
      </c>
      <c r="E158" s="338">
        <v>0</v>
      </c>
      <c r="G158">
        <v>45</v>
      </c>
      <c r="H158">
        <v>11</v>
      </c>
      <c r="I158">
        <v>2022</v>
      </c>
      <c r="J158">
        <f t="shared" si="2"/>
        <v>0</v>
      </c>
    </row>
    <row r="159" spans="1:10" x14ac:dyDescent="0.3">
      <c r="A159">
        <v>674</v>
      </c>
      <c r="B159" s="349">
        <v>44870</v>
      </c>
      <c r="E159" s="338">
        <v>14.5</v>
      </c>
      <c r="G159">
        <v>45</v>
      </c>
      <c r="H159">
        <v>11</v>
      </c>
      <c r="I159">
        <v>2022</v>
      </c>
      <c r="J159">
        <f t="shared" si="2"/>
        <v>14.5</v>
      </c>
    </row>
    <row r="160" spans="1:10" x14ac:dyDescent="0.3">
      <c r="A160">
        <v>675</v>
      </c>
      <c r="B160" s="349">
        <v>44871</v>
      </c>
      <c r="E160" s="338">
        <v>7.5</v>
      </c>
      <c r="G160">
        <v>46</v>
      </c>
      <c r="H160">
        <v>11</v>
      </c>
      <c r="I160">
        <v>2022</v>
      </c>
      <c r="J160">
        <f t="shared" si="2"/>
        <v>7.5</v>
      </c>
    </row>
    <row r="161" spans="1:10" x14ac:dyDescent="0.3">
      <c r="A161">
        <v>676</v>
      </c>
      <c r="B161" s="349">
        <v>44872</v>
      </c>
      <c r="E161" s="338">
        <v>4</v>
      </c>
      <c r="G161">
        <v>46</v>
      </c>
      <c r="H161">
        <v>11</v>
      </c>
      <c r="I161">
        <v>2022</v>
      </c>
      <c r="J161">
        <f t="shared" si="2"/>
        <v>4</v>
      </c>
    </row>
    <row r="162" spans="1:10" x14ac:dyDescent="0.3">
      <c r="A162">
        <v>677</v>
      </c>
      <c r="B162" s="349">
        <v>44873</v>
      </c>
      <c r="E162" s="338">
        <v>14.5</v>
      </c>
      <c r="G162">
        <v>46</v>
      </c>
      <c r="H162">
        <v>11</v>
      </c>
      <c r="I162">
        <v>2022</v>
      </c>
      <c r="J162">
        <f t="shared" si="2"/>
        <v>14.5</v>
      </c>
    </row>
    <row r="163" spans="1:10" x14ac:dyDescent="0.3">
      <c r="A163">
        <v>678</v>
      </c>
      <c r="B163" s="349">
        <v>44874</v>
      </c>
      <c r="E163" s="338">
        <v>1</v>
      </c>
      <c r="G163">
        <v>46</v>
      </c>
      <c r="H163">
        <v>11</v>
      </c>
      <c r="I163">
        <v>2022</v>
      </c>
      <c r="J163">
        <f t="shared" si="2"/>
        <v>1</v>
      </c>
    </row>
    <row r="164" spans="1:10" x14ac:dyDescent="0.3">
      <c r="A164">
        <v>679</v>
      </c>
      <c r="B164" s="349">
        <v>44875</v>
      </c>
      <c r="E164" s="338">
        <v>4</v>
      </c>
      <c r="G164">
        <v>46</v>
      </c>
      <c r="H164">
        <v>11</v>
      </c>
      <c r="I164">
        <v>2022</v>
      </c>
      <c r="J164">
        <f t="shared" si="2"/>
        <v>4</v>
      </c>
    </row>
    <row r="165" spans="1:10" x14ac:dyDescent="0.3">
      <c r="A165">
        <v>680</v>
      </c>
      <c r="B165" s="349">
        <v>44876</v>
      </c>
      <c r="E165" s="338">
        <v>2</v>
      </c>
      <c r="G165">
        <v>46</v>
      </c>
      <c r="H165">
        <v>11</v>
      </c>
      <c r="I165">
        <v>2022</v>
      </c>
      <c r="J165">
        <f t="shared" si="2"/>
        <v>2</v>
      </c>
    </row>
    <row r="166" spans="1:10" x14ac:dyDescent="0.3">
      <c r="A166">
        <v>681</v>
      </c>
      <c r="B166" s="349">
        <v>44877</v>
      </c>
      <c r="E166" s="338">
        <v>21.5</v>
      </c>
      <c r="G166">
        <v>46</v>
      </c>
      <c r="H166">
        <v>11</v>
      </c>
      <c r="I166">
        <v>2022</v>
      </c>
      <c r="J166">
        <f t="shared" si="2"/>
        <v>21.5</v>
      </c>
    </row>
    <row r="167" spans="1:10" x14ac:dyDescent="0.3">
      <c r="A167">
        <v>682</v>
      </c>
      <c r="B167" s="349">
        <v>44878</v>
      </c>
      <c r="E167" s="338">
        <v>2</v>
      </c>
      <c r="G167">
        <v>47</v>
      </c>
      <c r="H167">
        <v>11</v>
      </c>
      <c r="I167">
        <v>2022</v>
      </c>
      <c r="J167">
        <f t="shared" si="2"/>
        <v>2</v>
      </c>
    </row>
    <row r="168" spans="1:10" x14ac:dyDescent="0.3">
      <c r="A168">
        <v>683</v>
      </c>
      <c r="B168" s="349">
        <v>44879</v>
      </c>
      <c r="E168" s="338">
        <v>27</v>
      </c>
      <c r="G168">
        <v>47</v>
      </c>
      <c r="H168">
        <v>11</v>
      </c>
      <c r="I168">
        <v>2022</v>
      </c>
      <c r="J168">
        <f t="shared" si="2"/>
        <v>27</v>
      </c>
    </row>
    <row r="169" spans="1:10" x14ac:dyDescent="0.3">
      <c r="A169">
        <v>684</v>
      </c>
      <c r="B169" s="349">
        <v>44880</v>
      </c>
      <c r="E169" s="338">
        <v>1</v>
      </c>
      <c r="G169">
        <v>47</v>
      </c>
      <c r="H169">
        <v>11</v>
      </c>
      <c r="I169">
        <v>2022</v>
      </c>
      <c r="J169">
        <f t="shared" si="2"/>
        <v>1</v>
      </c>
    </row>
    <row r="170" spans="1:10" x14ac:dyDescent="0.3">
      <c r="A170">
        <v>685</v>
      </c>
      <c r="B170" s="349">
        <v>44881</v>
      </c>
      <c r="E170" s="338">
        <v>27</v>
      </c>
      <c r="G170">
        <v>47</v>
      </c>
      <c r="H170">
        <v>11</v>
      </c>
      <c r="I170">
        <v>2022</v>
      </c>
      <c r="J170">
        <f t="shared" si="2"/>
        <v>27</v>
      </c>
    </row>
    <row r="171" spans="1:10" x14ac:dyDescent="0.3">
      <c r="A171">
        <v>686</v>
      </c>
      <c r="B171" s="349">
        <v>44882</v>
      </c>
      <c r="E171" s="338">
        <v>6.5</v>
      </c>
      <c r="G171">
        <v>47</v>
      </c>
      <c r="H171">
        <v>11</v>
      </c>
      <c r="I171">
        <v>2022</v>
      </c>
      <c r="J171">
        <f t="shared" si="2"/>
        <v>6.5</v>
      </c>
    </row>
    <row r="172" spans="1:10" x14ac:dyDescent="0.3">
      <c r="A172">
        <v>687</v>
      </c>
      <c r="B172" s="349">
        <v>44883</v>
      </c>
      <c r="E172" s="338">
        <v>1.5</v>
      </c>
      <c r="G172">
        <v>47</v>
      </c>
      <c r="H172">
        <v>11</v>
      </c>
      <c r="I172">
        <v>2022</v>
      </c>
      <c r="J172">
        <f t="shared" si="2"/>
        <v>1.5</v>
      </c>
    </row>
    <row r="173" spans="1:10" x14ac:dyDescent="0.3">
      <c r="A173">
        <v>688</v>
      </c>
      <c r="B173" s="349">
        <v>44884</v>
      </c>
      <c r="E173" s="338">
        <v>1.5</v>
      </c>
      <c r="G173">
        <v>47</v>
      </c>
      <c r="H173">
        <v>11</v>
      </c>
      <c r="I173">
        <v>2022</v>
      </c>
      <c r="J173">
        <f t="shared" si="2"/>
        <v>1.5</v>
      </c>
    </row>
    <row r="174" spans="1:10" x14ac:dyDescent="0.3">
      <c r="A174">
        <v>689</v>
      </c>
      <c r="B174" s="349">
        <v>44885</v>
      </c>
      <c r="E174" s="338">
        <v>5</v>
      </c>
      <c r="G174">
        <v>48</v>
      </c>
      <c r="H174">
        <v>11</v>
      </c>
      <c r="I174">
        <v>2022</v>
      </c>
      <c r="J174">
        <f t="shared" si="2"/>
        <v>5</v>
      </c>
    </row>
    <row r="175" spans="1:10" x14ac:dyDescent="0.3">
      <c r="A175">
        <v>690</v>
      </c>
      <c r="B175" s="349">
        <v>44886</v>
      </c>
      <c r="E175" s="338">
        <v>17</v>
      </c>
      <c r="G175">
        <v>48</v>
      </c>
      <c r="H175">
        <v>11</v>
      </c>
      <c r="I175">
        <v>2022</v>
      </c>
      <c r="J175">
        <f t="shared" si="2"/>
        <v>17</v>
      </c>
    </row>
    <row r="176" spans="1:10" x14ac:dyDescent="0.3">
      <c r="A176">
        <v>691</v>
      </c>
      <c r="B176" s="349">
        <v>44887</v>
      </c>
      <c r="E176" s="338">
        <v>15</v>
      </c>
      <c r="G176">
        <v>48</v>
      </c>
      <c r="H176">
        <v>11</v>
      </c>
      <c r="I176">
        <v>2022</v>
      </c>
      <c r="J176">
        <f t="shared" si="2"/>
        <v>15</v>
      </c>
    </row>
    <row r="177" spans="1:10" x14ac:dyDescent="0.3">
      <c r="A177">
        <v>692</v>
      </c>
      <c r="B177" s="349">
        <v>44888</v>
      </c>
      <c r="E177" s="338">
        <v>76</v>
      </c>
      <c r="G177">
        <v>48</v>
      </c>
      <c r="H177">
        <v>11</v>
      </c>
      <c r="I177">
        <v>2022</v>
      </c>
      <c r="J177">
        <f t="shared" si="2"/>
        <v>76</v>
      </c>
    </row>
    <row r="178" spans="1:10" x14ac:dyDescent="0.3">
      <c r="A178">
        <v>693</v>
      </c>
      <c r="B178" s="349">
        <v>44889</v>
      </c>
      <c r="E178" s="338">
        <v>56.5</v>
      </c>
      <c r="G178">
        <v>48</v>
      </c>
      <c r="H178">
        <v>11</v>
      </c>
      <c r="I178">
        <v>2022</v>
      </c>
      <c r="J178">
        <f t="shared" si="2"/>
        <v>56.5</v>
      </c>
    </row>
    <row r="179" spans="1:10" x14ac:dyDescent="0.3">
      <c r="A179">
        <v>694</v>
      </c>
      <c r="B179" s="349">
        <v>44890</v>
      </c>
      <c r="E179" s="338">
        <v>18</v>
      </c>
      <c r="G179">
        <v>48</v>
      </c>
      <c r="H179">
        <v>11</v>
      </c>
      <c r="I179">
        <v>2022</v>
      </c>
      <c r="J179">
        <f t="shared" si="2"/>
        <v>18</v>
      </c>
    </row>
    <row r="180" spans="1:10" x14ac:dyDescent="0.3">
      <c r="A180">
        <v>695</v>
      </c>
      <c r="B180" s="349">
        <v>44891</v>
      </c>
      <c r="E180" s="338">
        <v>5.5</v>
      </c>
      <c r="G180">
        <v>48</v>
      </c>
      <c r="H180">
        <v>11</v>
      </c>
      <c r="I180">
        <v>2022</v>
      </c>
      <c r="J180">
        <f t="shared" si="2"/>
        <v>5.5</v>
      </c>
    </row>
    <row r="181" spans="1:10" x14ac:dyDescent="0.3">
      <c r="A181">
        <v>696</v>
      </c>
      <c r="B181" s="349">
        <v>44892</v>
      </c>
      <c r="E181" s="338">
        <v>2</v>
      </c>
      <c r="G181">
        <v>49</v>
      </c>
      <c r="H181">
        <v>11</v>
      </c>
      <c r="I181">
        <v>2022</v>
      </c>
      <c r="J181">
        <f t="shared" si="2"/>
        <v>2</v>
      </c>
    </row>
    <row r="182" spans="1:10" x14ac:dyDescent="0.3">
      <c r="A182">
        <v>697</v>
      </c>
      <c r="B182" s="349">
        <v>44893</v>
      </c>
      <c r="E182" s="338">
        <v>18</v>
      </c>
      <c r="G182">
        <v>49</v>
      </c>
      <c r="H182">
        <v>11</v>
      </c>
      <c r="I182">
        <v>2022</v>
      </c>
      <c r="J182">
        <f t="shared" si="2"/>
        <v>18</v>
      </c>
    </row>
    <row r="183" spans="1:10" x14ac:dyDescent="0.3">
      <c r="A183">
        <v>698</v>
      </c>
      <c r="B183" s="349">
        <v>44894</v>
      </c>
      <c r="E183" s="338">
        <v>28.5</v>
      </c>
      <c r="G183">
        <v>49</v>
      </c>
      <c r="H183">
        <v>11</v>
      </c>
      <c r="I183">
        <v>2022</v>
      </c>
      <c r="J183">
        <f t="shared" si="2"/>
        <v>28.5</v>
      </c>
    </row>
    <row r="184" spans="1:10" s="362" customFormat="1" x14ac:dyDescent="0.3">
      <c r="A184" s="362">
        <v>699</v>
      </c>
      <c r="B184" s="363">
        <v>44895</v>
      </c>
      <c r="E184" s="338">
        <v>0.5</v>
      </c>
      <c r="G184" s="362">
        <v>49</v>
      </c>
      <c r="H184" s="362">
        <v>11</v>
      </c>
      <c r="I184" s="362">
        <v>2022</v>
      </c>
      <c r="J184">
        <f t="shared" si="2"/>
        <v>0.5</v>
      </c>
    </row>
    <row r="185" spans="1:10" x14ac:dyDescent="0.3">
      <c r="A185">
        <v>700</v>
      </c>
      <c r="B185" s="349">
        <v>44896</v>
      </c>
      <c r="E185" s="338">
        <v>3</v>
      </c>
      <c r="G185">
        <v>49</v>
      </c>
      <c r="H185">
        <v>12</v>
      </c>
      <c r="I185">
        <v>2022</v>
      </c>
      <c r="J185">
        <f t="shared" si="2"/>
        <v>3</v>
      </c>
    </row>
    <row r="186" spans="1:10" x14ac:dyDescent="0.3">
      <c r="A186">
        <v>701</v>
      </c>
      <c r="B186" s="349">
        <v>44897</v>
      </c>
      <c r="E186" s="338">
        <v>4</v>
      </c>
      <c r="G186">
        <v>49</v>
      </c>
      <c r="H186">
        <v>12</v>
      </c>
      <c r="I186">
        <v>2022</v>
      </c>
      <c r="J186">
        <f t="shared" si="2"/>
        <v>4</v>
      </c>
    </row>
    <row r="187" spans="1:10" x14ac:dyDescent="0.3">
      <c r="A187">
        <v>702</v>
      </c>
      <c r="B187" s="349">
        <v>44898</v>
      </c>
      <c r="E187" s="338">
        <v>33.5</v>
      </c>
      <c r="G187">
        <v>49</v>
      </c>
      <c r="H187">
        <v>12</v>
      </c>
      <c r="I187">
        <v>2022</v>
      </c>
      <c r="J187">
        <f t="shared" si="2"/>
        <v>33.5</v>
      </c>
    </row>
    <row r="188" spans="1:10" x14ac:dyDescent="0.3">
      <c r="A188">
        <v>703</v>
      </c>
      <c r="B188" s="349">
        <v>44899</v>
      </c>
      <c r="E188" s="338">
        <v>4</v>
      </c>
      <c r="G188">
        <v>50</v>
      </c>
      <c r="H188">
        <v>12</v>
      </c>
      <c r="I188">
        <v>2022</v>
      </c>
      <c r="J188">
        <f t="shared" si="2"/>
        <v>4</v>
      </c>
    </row>
    <row r="189" spans="1:10" x14ac:dyDescent="0.3">
      <c r="A189">
        <v>704</v>
      </c>
      <c r="B189" s="349">
        <v>44900</v>
      </c>
      <c r="E189" s="338">
        <v>4</v>
      </c>
      <c r="G189">
        <v>50</v>
      </c>
      <c r="H189">
        <v>12</v>
      </c>
      <c r="I189">
        <v>2022</v>
      </c>
      <c r="J189">
        <f t="shared" si="2"/>
        <v>4</v>
      </c>
    </row>
    <row r="190" spans="1:10" x14ac:dyDescent="0.3">
      <c r="A190">
        <v>705</v>
      </c>
      <c r="B190" s="349">
        <v>44901</v>
      </c>
      <c r="E190" s="338">
        <v>8.5</v>
      </c>
      <c r="G190">
        <v>50</v>
      </c>
      <c r="H190">
        <v>12</v>
      </c>
      <c r="I190">
        <v>2022</v>
      </c>
      <c r="J190">
        <f t="shared" si="2"/>
        <v>8.5</v>
      </c>
    </row>
    <row r="191" spans="1:10" x14ac:dyDescent="0.3">
      <c r="A191">
        <v>706</v>
      </c>
      <c r="B191" s="349">
        <v>44902</v>
      </c>
      <c r="E191" s="338">
        <v>0</v>
      </c>
      <c r="G191">
        <v>50</v>
      </c>
      <c r="H191">
        <v>12</v>
      </c>
      <c r="I191">
        <v>2022</v>
      </c>
      <c r="J191">
        <f t="shared" si="2"/>
        <v>0</v>
      </c>
    </row>
    <row r="192" spans="1:10" x14ac:dyDescent="0.3">
      <c r="A192">
        <v>707</v>
      </c>
      <c r="B192" s="349">
        <v>44903</v>
      </c>
      <c r="E192" s="338">
        <v>0</v>
      </c>
      <c r="G192">
        <v>50</v>
      </c>
      <c r="H192">
        <v>12</v>
      </c>
      <c r="I192">
        <v>2022</v>
      </c>
      <c r="J192">
        <f t="shared" si="2"/>
        <v>0</v>
      </c>
    </row>
    <row r="193" spans="1:10" x14ac:dyDescent="0.3">
      <c r="A193">
        <v>708</v>
      </c>
      <c r="B193" s="349">
        <v>44904</v>
      </c>
      <c r="E193" s="338">
        <v>0</v>
      </c>
      <c r="G193">
        <v>50</v>
      </c>
      <c r="H193">
        <v>12</v>
      </c>
      <c r="I193">
        <v>2022</v>
      </c>
      <c r="J193">
        <f t="shared" si="2"/>
        <v>0</v>
      </c>
    </row>
    <row r="194" spans="1:10" x14ac:dyDescent="0.3">
      <c r="A194">
        <v>709</v>
      </c>
      <c r="B194" s="349">
        <v>44905</v>
      </c>
      <c r="E194" s="338">
        <v>0</v>
      </c>
      <c r="G194">
        <v>50</v>
      </c>
      <c r="H194">
        <v>12</v>
      </c>
      <c r="I194">
        <v>2022</v>
      </c>
      <c r="J194">
        <f t="shared" si="2"/>
        <v>0</v>
      </c>
    </row>
    <row r="195" spans="1:10" x14ac:dyDescent="0.3">
      <c r="A195">
        <v>710</v>
      </c>
      <c r="B195" s="349">
        <v>44906</v>
      </c>
      <c r="E195" s="338">
        <v>0</v>
      </c>
      <c r="G195">
        <v>51</v>
      </c>
      <c r="H195">
        <v>12</v>
      </c>
      <c r="I195">
        <v>2022</v>
      </c>
      <c r="J195">
        <f t="shared" ref="J195:J258" si="3">MAX(C195:F195)</f>
        <v>0</v>
      </c>
    </row>
    <row r="196" spans="1:10" x14ac:dyDescent="0.3">
      <c r="A196">
        <v>711</v>
      </c>
      <c r="B196" s="349">
        <v>44907</v>
      </c>
      <c r="E196" s="338">
        <v>0</v>
      </c>
      <c r="G196">
        <v>51</v>
      </c>
      <c r="H196">
        <v>12</v>
      </c>
      <c r="I196">
        <v>2022</v>
      </c>
      <c r="J196">
        <f t="shared" si="3"/>
        <v>0</v>
      </c>
    </row>
    <row r="197" spans="1:10" x14ac:dyDescent="0.3">
      <c r="A197">
        <v>712</v>
      </c>
      <c r="B197" s="349">
        <v>44908</v>
      </c>
      <c r="E197" s="338">
        <v>0</v>
      </c>
      <c r="G197">
        <v>51</v>
      </c>
      <c r="H197">
        <v>12</v>
      </c>
      <c r="I197">
        <v>2022</v>
      </c>
      <c r="J197">
        <f t="shared" si="3"/>
        <v>0</v>
      </c>
    </row>
    <row r="198" spans="1:10" x14ac:dyDescent="0.3">
      <c r="A198">
        <v>713</v>
      </c>
      <c r="B198" s="349">
        <v>44909</v>
      </c>
      <c r="E198" s="338">
        <v>1.5</v>
      </c>
      <c r="G198">
        <v>51</v>
      </c>
      <c r="H198">
        <v>12</v>
      </c>
      <c r="I198">
        <v>2022</v>
      </c>
      <c r="J198">
        <f t="shared" si="3"/>
        <v>1.5</v>
      </c>
    </row>
    <row r="199" spans="1:10" x14ac:dyDescent="0.3">
      <c r="A199">
        <v>714</v>
      </c>
      <c r="B199" s="349">
        <v>44910</v>
      </c>
      <c r="E199" s="338">
        <v>4.5</v>
      </c>
      <c r="G199">
        <v>51</v>
      </c>
      <c r="H199">
        <v>12</v>
      </c>
      <c r="I199">
        <v>2022</v>
      </c>
      <c r="J199">
        <f t="shared" si="3"/>
        <v>4.5</v>
      </c>
    </row>
    <row r="200" spans="1:10" x14ac:dyDescent="0.3">
      <c r="A200">
        <v>715</v>
      </c>
      <c r="B200" s="349">
        <v>44911</v>
      </c>
      <c r="E200" s="338">
        <v>2.5</v>
      </c>
      <c r="G200">
        <v>51</v>
      </c>
      <c r="H200">
        <v>12</v>
      </c>
      <c r="I200">
        <v>2022</v>
      </c>
      <c r="J200">
        <f t="shared" si="3"/>
        <v>2.5</v>
      </c>
    </row>
    <row r="201" spans="1:10" x14ac:dyDescent="0.3">
      <c r="A201">
        <v>716</v>
      </c>
      <c r="B201" s="349">
        <v>44912</v>
      </c>
      <c r="E201" s="338">
        <v>20.5</v>
      </c>
      <c r="G201">
        <v>51</v>
      </c>
      <c r="H201">
        <v>12</v>
      </c>
      <c r="I201">
        <v>2022</v>
      </c>
      <c r="J201">
        <f t="shared" si="3"/>
        <v>20.5</v>
      </c>
    </row>
    <row r="202" spans="1:10" x14ac:dyDescent="0.3">
      <c r="A202">
        <v>717</v>
      </c>
      <c r="B202" s="349">
        <v>44913</v>
      </c>
      <c r="E202" s="338">
        <v>5.5</v>
      </c>
      <c r="G202">
        <v>52</v>
      </c>
      <c r="H202">
        <v>12</v>
      </c>
      <c r="I202">
        <v>2022</v>
      </c>
      <c r="J202">
        <f t="shared" si="3"/>
        <v>5.5</v>
      </c>
    </row>
    <row r="203" spans="1:10" x14ac:dyDescent="0.3">
      <c r="A203">
        <v>718</v>
      </c>
      <c r="B203" s="349">
        <v>44914</v>
      </c>
      <c r="E203" s="338">
        <v>0</v>
      </c>
      <c r="G203">
        <v>52</v>
      </c>
      <c r="H203">
        <v>12</v>
      </c>
      <c r="I203">
        <v>2022</v>
      </c>
      <c r="J203">
        <f t="shared" si="3"/>
        <v>0</v>
      </c>
    </row>
    <row r="204" spans="1:10" x14ac:dyDescent="0.3">
      <c r="A204">
        <v>719</v>
      </c>
      <c r="B204" s="349">
        <v>44915</v>
      </c>
      <c r="E204" s="338">
        <v>1</v>
      </c>
      <c r="G204">
        <v>52</v>
      </c>
      <c r="H204">
        <v>12</v>
      </c>
      <c r="I204">
        <v>2022</v>
      </c>
      <c r="J204">
        <f t="shared" si="3"/>
        <v>1</v>
      </c>
    </row>
    <row r="205" spans="1:10" x14ac:dyDescent="0.3">
      <c r="A205">
        <v>720</v>
      </c>
      <c r="B205" s="349">
        <v>44916</v>
      </c>
      <c r="E205" s="338">
        <v>4.5</v>
      </c>
      <c r="G205">
        <v>52</v>
      </c>
      <c r="H205">
        <v>12</v>
      </c>
      <c r="I205">
        <v>2022</v>
      </c>
      <c r="J205">
        <f t="shared" si="3"/>
        <v>4.5</v>
      </c>
    </row>
    <row r="206" spans="1:10" x14ac:dyDescent="0.3">
      <c r="A206">
        <v>721</v>
      </c>
      <c r="B206" s="349">
        <v>44917</v>
      </c>
      <c r="E206" s="338">
        <v>0</v>
      </c>
      <c r="G206">
        <v>52</v>
      </c>
      <c r="H206">
        <v>12</v>
      </c>
      <c r="I206">
        <v>2022</v>
      </c>
      <c r="J206">
        <f t="shared" si="3"/>
        <v>0</v>
      </c>
    </row>
    <row r="207" spans="1:10" x14ac:dyDescent="0.3">
      <c r="A207">
        <v>722</v>
      </c>
      <c r="B207" s="349">
        <v>44918</v>
      </c>
      <c r="E207" s="338">
        <v>25</v>
      </c>
      <c r="G207">
        <v>52</v>
      </c>
      <c r="H207">
        <v>12</v>
      </c>
      <c r="I207">
        <v>2022</v>
      </c>
      <c r="J207">
        <f t="shared" si="3"/>
        <v>25</v>
      </c>
    </row>
    <row r="208" spans="1:10" x14ac:dyDescent="0.3">
      <c r="A208">
        <v>723</v>
      </c>
      <c r="B208" s="349">
        <v>44919</v>
      </c>
      <c r="E208" s="338">
        <v>0.5</v>
      </c>
      <c r="G208">
        <v>52</v>
      </c>
      <c r="H208">
        <v>12</v>
      </c>
      <c r="I208">
        <v>2022</v>
      </c>
      <c r="J208">
        <f t="shared" si="3"/>
        <v>0.5</v>
      </c>
    </row>
    <row r="209" spans="1:10" x14ac:dyDescent="0.3">
      <c r="A209">
        <v>724</v>
      </c>
      <c r="B209" s="349">
        <v>44920</v>
      </c>
      <c r="E209" s="338">
        <v>0</v>
      </c>
      <c r="H209">
        <v>12</v>
      </c>
      <c r="I209">
        <v>2022</v>
      </c>
      <c r="J209">
        <f t="shared" si="3"/>
        <v>0</v>
      </c>
    </row>
    <row r="210" spans="1:10" ht="15" thickBot="1" x14ac:dyDescent="0.35">
      <c r="A210">
        <v>725</v>
      </c>
      <c r="B210" s="350">
        <v>44921</v>
      </c>
      <c r="E210" s="338">
        <v>0</v>
      </c>
      <c r="H210">
        <v>12</v>
      </c>
      <c r="I210">
        <v>2022</v>
      </c>
      <c r="J210">
        <f t="shared" si="3"/>
        <v>0</v>
      </c>
    </row>
    <row r="211" spans="1:10" x14ac:dyDescent="0.3">
      <c r="A211">
        <v>726</v>
      </c>
      <c r="B211" s="351">
        <v>44922</v>
      </c>
      <c r="E211" s="338">
        <v>0</v>
      </c>
      <c r="G211">
        <v>53</v>
      </c>
      <c r="H211">
        <v>12</v>
      </c>
      <c r="I211">
        <v>2022</v>
      </c>
      <c r="J211">
        <f t="shared" si="3"/>
        <v>0</v>
      </c>
    </row>
    <row r="212" spans="1:10" x14ac:dyDescent="0.3">
      <c r="A212">
        <v>727</v>
      </c>
      <c r="B212" s="351">
        <v>44923</v>
      </c>
      <c r="E212" s="338">
        <v>0</v>
      </c>
      <c r="G212">
        <v>53</v>
      </c>
      <c r="H212">
        <v>12</v>
      </c>
      <c r="I212">
        <v>2022</v>
      </c>
      <c r="J212">
        <f t="shared" si="3"/>
        <v>0</v>
      </c>
    </row>
    <row r="213" spans="1:10" x14ac:dyDescent="0.3">
      <c r="A213">
        <v>728</v>
      </c>
      <c r="B213" s="351">
        <v>44924</v>
      </c>
      <c r="E213" s="338">
        <v>0</v>
      </c>
      <c r="G213">
        <v>53</v>
      </c>
      <c r="H213">
        <v>12</v>
      </c>
      <c r="I213">
        <v>2022</v>
      </c>
      <c r="J213">
        <f t="shared" si="3"/>
        <v>0</v>
      </c>
    </row>
    <row r="214" spans="1:10" x14ac:dyDescent="0.3">
      <c r="A214">
        <v>729</v>
      </c>
      <c r="B214" s="351">
        <v>44925</v>
      </c>
      <c r="E214" s="338">
        <v>3.5</v>
      </c>
      <c r="G214">
        <v>53</v>
      </c>
      <c r="H214">
        <v>12</v>
      </c>
      <c r="I214">
        <v>2022</v>
      </c>
      <c r="J214">
        <f t="shared" si="3"/>
        <v>3.5</v>
      </c>
    </row>
    <row r="215" spans="1:10" s="362" customFormat="1" x14ac:dyDescent="0.3">
      <c r="A215" s="362">
        <v>730</v>
      </c>
      <c r="B215" s="364">
        <v>44926</v>
      </c>
      <c r="E215" s="338">
        <v>0</v>
      </c>
      <c r="G215" s="362">
        <v>53</v>
      </c>
      <c r="H215" s="362">
        <v>12</v>
      </c>
      <c r="I215" s="362">
        <v>2022</v>
      </c>
      <c r="J215">
        <f t="shared" si="3"/>
        <v>0</v>
      </c>
    </row>
    <row r="216" spans="1:10" x14ac:dyDescent="0.3">
      <c r="A216">
        <v>731</v>
      </c>
      <c r="B216" s="351">
        <v>44927</v>
      </c>
      <c r="E216" s="338">
        <v>0</v>
      </c>
      <c r="G216">
        <v>1</v>
      </c>
      <c r="H216">
        <v>1</v>
      </c>
      <c r="I216">
        <v>2023</v>
      </c>
      <c r="J216">
        <f t="shared" si="3"/>
        <v>0</v>
      </c>
    </row>
    <row r="217" spans="1:10" x14ac:dyDescent="0.3">
      <c r="A217">
        <v>732</v>
      </c>
      <c r="B217" s="351">
        <v>44928</v>
      </c>
      <c r="E217" s="338">
        <v>0</v>
      </c>
      <c r="G217">
        <v>1</v>
      </c>
      <c r="H217">
        <v>1</v>
      </c>
      <c r="I217">
        <v>2023</v>
      </c>
      <c r="J217">
        <f t="shared" si="3"/>
        <v>0</v>
      </c>
    </row>
    <row r="218" spans="1:10" x14ac:dyDescent="0.3">
      <c r="A218">
        <v>733</v>
      </c>
      <c r="B218" s="351">
        <v>44929</v>
      </c>
      <c r="E218" s="338">
        <v>0</v>
      </c>
      <c r="G218">
        <v>1</v>
      </c>
      <c r="H218">
        <v>1</v>
      </c>
      <c r="I218">
        <v>2023</v>
      </c>
      <c r="J218">
        <f t="shared" si="3"/>
        <v>0</v>
      </c>
    </row>
    <row r="219" spans="1:10" x14ac:dyDescent="0.3">
      <c r="A219">
        <v>734</v>
      </c>
      <c r="B219" s="351">
        <v>44930</v>
      </c>
      <c r="E219" s="338">
        <v>0</v>
      </c>
      <c r="G219">
        <v>1</v>
      </c>
      <c r="H219">
        <v>1</v>
      </c>
      <c r="I219">
        <v>2023</v>
      </c>
      <c r="J219">
        <f t="shared" si="3"/>
        <v>0</v>
      </c>
    </row>
    <row r="220" spans="1:10" x14ac:dyDescent="0.3">
      <c r="A220">
        <v>735</v>
      </c>
      <c r="B220" s="351">
        <v>44931</v>
      </c>
      <c r="E220" s="338">
        <v>0</v>
      </c>
      <c r="G220">
        <v>1</v>
      </c>
      <c r="H220">
        <v>1</v>
      </c>
      <c r="I220">
        <v>2023</v>
      </c>
      <c r="J220">
        <f t="shared" si="3"/>
        <v>0</v>
      </c>
    </row>
    <row r="221" spans="1:10" x14ac:dyDescent="0.3">
      <c r="A221">
        <v>736</v>
      </c>
      <c r="B221" s="351">
        <v>44932</v>
      </c>
      <c r="E221" s="338">
        <v>27</v>
      </c>
      <c r="G221">
        <v>1</v>
      </c>
      <c r="H221">
        <v>1</v>
      </c>
      <c r="I221">
        <v>2023</v>
      </c>
      <c r="J221">
        <f t="shared" si="3"/>
        <v>27</v>
      </c>
    </row>
    <row r="222" spans="1:10" x14ac:dyDescent="0.3">
      <c r="A222">
        <v>737</v>
      </c>
      <c r="B222" s="351">
        <v>44933</v>
      </c>
      <c r="E222" s="338">
        <v>1.5</v>
      </c>
      <c r="G222">
        <v>1</v>
      </c>
      <c r="H222">
        <v>1</v>
      </c>
      <c r="I222">
        <v>2023</v>
      </c>
      <c r="J222">
        <f t="shared" si="3"/>
        <v>1.5</v>
      </c>
    </row>
    <row r="223" spans="1:10" x14ac:dyDescent="0.3">
      <c r="A223">
        <v>738</v>
      </c>
      <c r="B223" s="351">
        <v>44934</v>
      </c>
      <c r="E223" s="338">
        <v>4.5</v>
      </c>
      <c r="G223">
        <v>2</v>
      </c>
      <c r="H223">
        <v>1</v>
      </c>
      <c r="I223">
        <v>2023</v>
      </c>
      <c r="J223">
        <f t="shared" si="3"/>
        <v>4.5</v>
      </c>
    </row>
    <row r="224" spans="1:10" x14ac:dyDescent="0.3">
      <c r="A224">
        <v>739</v>
      </c>
      <c r="B224" s="351">
        <v>44935</v>
      </c>
      <c r="E224" s="338">
        <v>1</v>
      </c>
      <c r="G224">
        <v>2</v>
      </c>
      <c r="H224">
        <v>1</v>
      </c>
      <c r="I224">
        <v>2023</v>
      </c>
      <c r="J224">
        <f t="shared" si="3"/>
        <v>1</v>
      </c>
    </row>
    <row r="225" spans="1:10" x14ac:dyDescent="0.3">
      <c r="A225">
        <v>740</v>
      </c>
      <c r="B225" s="351">
        <v>44936</v>
      </c>
      <c r="E225" s="338">
        <v>36</v>
      </c>
      <c r="G225">
        <v>2</v>
      </c>
      <c r="H225">
        <v>1</v>
      </c>
      <c r="I225">
        <v>2023</v>
      </c>
      <c r="J225">
        <f t="shared" si="3"/>
        <v>36</v>
      </c>
    </row>
    <row r="226" spans="1:10" x14ac:dyDescent="0.3">
      <c r="A226">
        <v>741</v>
      </c>
      <c r="B226" s="351">
        <v>44937</v>
      </c>
      <c r="E226" s="338">
        <v>0.5</v>
      </c>
      <c r="G226">
        <v>2</v>
      </c>
      <c r="H226">
        <v>1</v>
      </c>
      <c r="I226">
        <v>2023</v>
      </c>
      <c r="J226">
        <f t="shared" si="3"/>
        <v>0.5</v>
      </c>
    </row>
    <row r="227" spans="1:10" x14ac:dyDescent="0.3">
      <c r="A227">
        <v>742</v>
      </c>
      <c r="B227" s="351">
        <v>44938</v>
      </c>
      <c r="E227" s="338">
        <v>6.5</v>
      </c>
      <c r="G227">
        <v>2</v>
      </c>
      <c r="H227">
        <v>1</v>
      </c>
      <c r="I227">
        <v>2023</v>
      </c>
      <c r="J227">
        <f t="shared" si="3"/>
        <v>6.5</v>
      </c>
    </row>
    <row r="228" spans="1:10" x14ac:dyDescent="0.3">
      <c r="A228">
        <v>743</v>
      </c>
      <c r="B228" s="351">
        <v>44939</v>
      </c>
      <c r="E228" s="338">
        <v>0</v>
      </c>
      <c r="G228">
        <v>2</v>
      </c>
      <c r="H228">
        <v>1</v>
      </c>
      <c r="I228">
        <v>2023</v>
      </c>
      <c r="J228">
        <f t="shared" si="3"/>
        <v>0</v>
      </c>
    </row>
    <row r="229" spans="1:10" x14ac:dyDescent="0.3">
      <c r="A229">
        <v>744</v>
      </c>
      <c r="B229" s="351">
        <v>44940</v>
      </c>
      <c r="E229" s="338">
        <v>0</v>
      </c>
      <c r="G229">
        <v>2</v>
      </c>
      <c r="H229">
        <v>1</v>
      </c>
      <c r="I229">
        <v>2023</v>
      </c>
      <c r="J229">
        <f t="shared" si="3"/>
        <v>0</v>
      </c>
    </row>
    <row r="230" spans="1:10" x14ac:dyDescent="0.3">
      <c r="A230">
        <v>745</v>
      </c>
      <c r="B230" s="351">
        <v>44941</v>
      </c>
      <c r="E230" s="338">
        <v>14</v>
      </c>
      <c r="G230">
        <v>3</v>
      </c>
      <c r="H230">
        <v>1</v>
      </c>
      <c r="I230">
        <v>2023</v>
      </c>
      <c r="J230">
        <f t="shared" si="3"/>
        <v>14</v>
      </c>
    </row>
    <row r="231" spans="1:10" x14ac:dyDescent="0.3">
      <c r="A231">
        <v>746</v>
      </c>
      <c r="B231" s="351">
        <v>44942</v>
      </c>
      <c r="E231" s="338">
        <v>0.5</v>
      </c>
      <c r="G231">
        <v>3</v>
      </c>
      <c r="H231">
        <v>1</v>
      </c>
      <c r="I231">
        <v>2023</v>
      </c>
      <c r="J231">
        <f t="shared" si="3"/>
        <v>0.5</v>
      </c>
    </row>
    <row r="232" spans="1:10" x14ac:dyDescent="0.3">
      <c r="A232">
        <v>747</v>
      </c>
      <c r="B232" s="351">
        <v>44943</v>
      </c>
      <c r="E232" s="338">
        <v>15.5</v>
      </c>
      <c r="G232">
        <v>3</v>
      </c>
      <c r="H232">
        <v>1</v>
      </c>
      <c r="I232">
        <v>2023</v>
      </c>
      <c r="J232">
        <f t="shared" si="3"/>
        <v>15.5</v>
      </c>
    </row>
    <row r="233" spans="1:10" x14ac:dyDescent="0.3">
      <c r="A233">
        <v>748</v>
      </c>
      <c r="B233" s="351">
        <v>44944</v>
      </c>
      <c r="E233" s="338">
        <v>2.5</v>
      </c>
      <c r="G233">
        <v>3</v>
      </c>
      <c r="H233">
        <v>1</v>
      </c>
      <c r="I233">
        <v>2023</v>
      </c>
      <c r="J233">
        <f t="shared" si="3"/>
        <v>2.5</v>
      </c>
    </row>
    <row r="234" spans="1:10" x14ac:dyDescent="0.3">
      <c r="A234">
        <v>749</v>
      </c>
      <c r="B234" s="351">
        <v>44945</v>
      </c>
      <c r="E234" s="338">
        <v>0</v>
      </c>
      <c r="G234">
        <v>3</v>
      </c>
      <c r="H234">
        <v>1</v>
      </c>
      <c r="I234">
        <v>2023</v>
      </c>
      <c r="J234">
        <f t="shared" si="3"/>
        <v>0</v>
      </c>
    </row>
    <row r="235" spans="1:10" x14ac:dyDescent="0.3">
      <c r="A235">
        <v>750</v>
      </c>
      <c r="B235" s="351">
        <v>44946</v>
      </c>
      <c r="E235" s="338">
        <v>96.5</v>
      </c>
      <c r="G235">
        <v>3</v>
      </c>
      <c r="H235">
        <v>1</v>
      </c>
      <c r="I235">
        <v>2023</v>
      </c>
      <c r="J235">
        <f t="shared" si="3"/>
        <v>96.5</v>
      </c>
    </row>
    <row r="236" spans="1:10" x14ac:dyDescent="0.3">
      <c r="A236">
        <v>751</v>
      </c>
      <c r="B236" s="351">
        <v>44947</v>
      </c>
      <c r="E236" s="338">
        <v>0.5</v>
      </c>
      <c r="G236">
        <v>3</v>
      </c>
      <c r="H236">
        <v>1</v>
      </c>
      <c r="I236">
        <v>2023</v>
      </c>
      <c r="J236">
        <f t="shared" si="3"/>
        <v>0.5</v>
      </c>
    </row>
    <row r="237" spans="1:10" x14ac:dyDescent="0.3">
      <c r="A237">
        <v>752</v>
      </c>
      <c r="B237" s="351">
        <v>44948</v>
      </c>
      <c r="E237" s="338">
        <v>0</v>
      </c>
      <c r="G237">
        <v>4</v>
      </c>
      <c r="H237">
        <v>1</v>
      </c>
      <c r="I237">
        <v>2023</v>
      </c>
      <c r="J237">
        <f t="shared" si="3"/>
        <v>0</v>
      </c>
    </row>
    <row r="238" spans="1:10" x14ac:dyDescent="0.3">
      <c r="A238">
        <v>753</v>
      </c>
      <c r="B238" s="351">
        <v>44949</v>
      </c>
      <c r="E238" s="338">
        <v>10.5</v>
      </c>
      <c r="G238">
        <v>4</v>
      </c>
      <c r="H238">
        <v>1</v>
      </c>
      <c r="I238">
        <v>2023</v>
      </c>
      <c r="J238">
        <f t="shared" si="3"/>
        <v>10.5</v>
      </c>
    </row>
    <row r="239" spans="1:10" x14ac:dyDescent="0.3">
      <c r="A239">
        <v>754</v>
      </c>
      <c r="B239" s="351">
        <v>44950</v>
      </c>
      <c r="E239" s="338">
        <v>36.5</v>
      </c>
      <c r="G239">
        <v>4</v>
      </c>
      <c r="H239">
        <v>1</v>
      </c>
      <c r="I239">
        <v>2023</v>
      </c>
      <c r="J239">
        <f t="shared" si="3"/>
        <v>36.5</v>
      </c>
    </row>
    <row r="240" spans="1:10" x14ac:dyDescent="0.3">
      <c r="A240">
        <v>755</v>
      </c>
      <c r="B240" s="351">
        <v>44951</v>
      </c>
      <c r="E240" s="338">
        <v>2</v>
      </c>
      <c r="G240">
        <v>4</v>
      </c>
      <c r="H240">
        <v>1</v>
      </c>
      <c r="I240">
        <v>2023</v>
      </c>
      <c r="J240">
        <f t="shared" si="3"/>
        <v>2</v>
      </c>
    </row>
    <row r="241" spans="1:10" x14ac:dyDescent="0.3">
      <c r="A241">
        <v>756</v>
      </c>
      <c r="B241" s="351">
        <v>44952</v>
      </c>
      <c r="E241" s="338">
        <v>4.5</v>
      </c>
      <c r="G241">
        <v>4</v>
      </c>
      <c r="H241">
        <v>1</v>
      </c>
      <c r="I241">
        <v>2023</v>
      </c>
      <c r="J241">
        <f t="shared" si="3"/>
        <v>4.5</v>
      </c>
    </row>
    <row r="242" spans="1:10" x14ac:dyDescent="0.3">
      <c r="A242">
        <v>757</v>
      </c>
      <c r="B242" s="351">
        <v>44953</v>
      </c>
      <c r="E242" s="338">
        <v>1.5</v>
      </c>
      <c r="G242">
        <v>4</v>
      </c>
      <c r="H242">
        <v>1</v>
      </c>
      <c r="I242">
        <v>2023</v>
      </c>
      <c r="J242">
        <f t="shared" si="3"/>
        <v>1.5</v>
      </c>
    </row>
    <row r="243" spans="1:10" x14ac:dyDescent="0.3">
      <c r="A243">
        <v>758</v>
      </c>
      <c r="B243" s="351">
        <v>44954</v>
      </c>
      <c r="E243" s="338">
        <v>20</v>
      </c>
      <c r="G243">
        <v>4</v>
      </c>
      <c r="H243">
        <v>1</v>
      </c>
      <c r="I243">
        <v>2023</v>
      </c>
      <c r="J243">
        <f t="shared" si="3"/>
        <v>20</v>
      </c>
    </row>
    <row r="244" spans="1:10" x14ac:dyDescent="0.3">
      <c r="A244">
        <v>759</v>
      </c>
      <c r="B244" s="351">
        <v>44955</v>
      </c>
      <c r="E244" s="338">
        <v>5.5</v>
      </c>
      <c r="G244">
        <v>5</v>
      </c>
      <c r="H244">
        <v>1</v>
      </c>
      <c r="I244">
        <v>2023</v>
      </c>
      <c r="J244">
        <f t="shared" si="3"/>
        <v>5.5</v>
      </c>
    </row>
    <row r="245" spans="1:10" x14ac:dyDescent="0.3">
      <c r="A245">
        <v>760</v>
      </c>
      <c r="B245" s="351">
        <v>44956</v>
      </c>
      <c r="E245" s="338">
        <v>0</v>
      </c>
      <c r="G245">
        <v>5</v>
      </c>
      <c r="H245">
        <v>1</v>
      </c>
      <c r="I245">
        <v>2023</v>
      </c>
      <c r="J245">
        <f t="shared" si="3"/>
        <v>0</v>
      </c>
    </row>
    <row r="246" spans="1:10" s="362" customFormat="1" x14ac:dyDescent="0.3">
      <c r="A246" s="362">
        <v>761</v>
      </c>
      <c r="B246" s="364">
        <v>44957</v>
      </c>
      <c r="E246" s="338">
        <v>0.5</v>
      </c>
      <c r="G246" s="362">
        <v>5</v>
      </c>
      <c r="H246" s="362">
        <v>1</v>
      </c>
      <c r="I246" s="362">
        <v>2023</v>
      </c>
      <c r="J246">
        <f t="shared" si="3"/>
        <v>0.5</v>
      </c>
    </row>
    <row r="247" spans="1:10" x14ac:dyDescent="0.3">
      <c r="A247">
        <v>762</v>
      </c>
      <c r="B247" s="351">
        <v>44958</v>
      </c>
      <c r="E247" s="338">
        <v>6.5</v>
      </c>
      <c r="G247">
        <v>5</v>
      </c>
      <c r="H247">
        <v>2</v>
      </c>
      <c r="I247">
        <v>2023</v>
      </c>
      <c r="J247">
        <f t="shared" si="3"/>
        <v>6.5</v>
      </c>
    </row>
    <row r="248" spans="1:10" x14ac:dyDescent="0.3">
      <c r="A248">
        <v>763</v>
      </c>
      <c r="B248" s="351">
        <v>44959</v>
      </c>
      <c r="E248" s="338">
        <v>2</v>
      </c>
      <c r="G248">
        <v>5</v>
      </c>
      <c r="H248">
        <v>2</v>
      </c>
      <c r="I248">
        <v>2023</v>
      </c>
      <c r="J248">
        <f t="shared" si="3"/>
        <v>2</v>
      </c>
    </row>
    <row r="249" spans="1:10" x14ac:dyDescent="0.3">
      <c r="A249">
        <v>764</v>
      </c>
      <c r="B249" s="351">
        <v>44960</v>
      </c>
      <c r="E249" s="338">
        <v>10</v>
      </c>
      <c r="G249">
        <v>5</v>
      </c>
      <c r="H249">
        <v>2</v>
      </c>
      <c r="I249">
        <v>2023</v>
      </c>
      <c r="J249">
        <f t="shared" si="3"/>
        <v>10</v>
      </c>
    </row>
    <row r="250" spans="1:10" x14ac:dyDescent="0.3">
      <c r="A250">
        <v>765</v>
      </c>
      <c r="B250" s="351">
        <v>44961</v>
      </c>
      <c r="E250" s="338">
        <v>5</v>
      </c>
      <c r="G250">
        <v>5</v>
      </c>
      <c r="H250">
        <v>2</v>
      </c>
      <c r="I250">
        <v>2023</v>
      </c>
      <c r="J250">
        <f t="shared" si="3"/>
        <v>5</v>
      </c>
    </row>
    <row r="251" spans="1:10" x14ac:dyDescent="0.3">
      <c r="A251">
        <v>766</v>
      </c>
      <c r="B251" s="351">
        <v>44962</v>
      </c>
      <c r="E251" s="338">
        <v>0</v>
      </c>
      <c r="G251">
        <v>6</v>
      </c>
      <c r="H251">
        <v>2</v>
      </c>
      <c r="I251">
        <v>2023</v>
      </c>
      <c r="J251">
        <f t="shared" si="3"/>
        <v>0</v>
      </c>
    </row>
    <row r="252" spans="1:10" x14ac:dyDescent="0.3">
      <c r="A252">
        <v>767</v>
      </c>
      <c r="B252" s="351">
        <v>44963</v>
      </c>
      <c r="E252" s="338">
        <v>0</v>
      </c>
      <c r="G252">
        <v>6</v>
      </c>
      <c r="H252">
        <v>2</v>
      </c>
      <c r="I252">
        <v>2023</v>
      </c>
      <c r="J252">
        <f t="shared" si="3"/>
        <v>0</v>
      </c>
    </row>
    <row r="253" spans="1:10" x14ac:dyDescent="0.3">
      <c r="A253">
        <v>768</v>
      </c>
      <c r="B253" s="351">
        <v>44964</v>
      </c>
      <c r="E253" s="338">
        <v>11.5</v>
      </c>
      <c r="G253">
        <v>6</v>
      </c>
      <c r="H253">
        <v>2</v>
      </c>
      <c r="I253">
        <v>2023</v>
      </c>
      <c r="J253">
        <f t="shared" si="3"/>
        <v>11.5</v>
      </c>
    </row>
    <row r="254" spans="1:10" x14ac:dyDescent="0.3">
      <c r="A254">
        <v>769</v>
      </c>
      <c r="B254" s="351">
        <v>44965</v>
      </c>
      <c r="E254" s="338">
        <v>9</v>
      </c>
      <c r="G254">
        <v>6</v>
      </c>
      <c r="H254">
        <v>2</v>
      </c>
      <c r="I254">
        <v>2023</v>
      </c>
      <c r="J254">
        <f t="shared" si="3"/>
        <v>9</v>
      </c>
    </row>
    <row r="255" spans="1:10" x14ac:dyDescent="0.3">
      <c r="A255">
        <v>770</v>
      </c>
      <c r="B255" s="351">
        <v>44966</v>
      </c>
      <c r="E255" s="338">
        <v>0</v>
      </c>
      <c r="G255">
        <v>6</v>
      </c>
      <c r="H255">
        <v>2</v>
      </c>
      <c r="I255">
        <v>2023</v>
      </c>
      <c r="J255">
        <f t="shared" si="3"/>
        <v>0</v>
      </c>
    </row>
    <row r="256" spans="1:10" x14ac:dyDescent="0.3">
      <c r="A256">
        <v>771</v>
      </c>
      <c r="B256" s="351">
        <v>44967</v>
      </c>
      <c r="E256" s="338">
        <v>0</v>
      </c>
      <c r="G256">
        <v>6</v>
      </c>
      <c r="H256">
        <v>2</v>
      </c>
      <c r="I256">
        <v>2023</v>
      </c>
      <c r="J256">
        <f t="shared" si="3"/>
        <v>0</v>
      </c>
    </row>
    <row r="257" spans="1:10" x14ac:dyDescent="0.3">
      <c r="A257">
        <v>772</v>
      </c>
      <c r="B257" s="351">
        <v>44968</v>
      </c>
      <c r="E257" s="338">
        <v>0</v>
      </c>
      <c r="G257">
        <v>6</v>
      </c>
      <c r="H257">
        <v>2</v>
      </c>
      <c r="I257">
        <v>2023</v>
      </c>
      <c r="J257">
        <f t="shared" si="3"/>
        <v>0</v>
      </c>
    </row>
    <row r="258" spans="1:10" x14ac:dyDescent="0.3">
      <c r="A258">
        <v>773</v>
      </c>
      <c r="B258" s="351">
        <v>44969</v>
      </c>
      <c r="E258" s="338">
        <v>0</v>
      </c>
      <c r="G258">
        <v>7</v>
      </c>
      <c r="H258">
        <v>2</v>
      </c>
      <c r="I258">
        <v>2023</v>
      </c>
      <c r="J258">
        <f t="shared" si="3"/>
        <v>0</v>
      </c>
    </row>
    <row r="259" spans="1:10" x14ac:dyDescent="0.3">
      <c r="A259">
        <v>774</v>
      </c>
      <c r="B259" s="351">
        <v>44970</v>
      </c>
      <c r="E259" s="338">
        <v>0</v>
      </c>
      <c r="G259">
        <v>7</v>
      </c>
      <c r="H259">
        <v>2</v>
      </c>
      <c r="I259">
        <v>2023</v>
      </c>
      <c r="J259">
        <f t="shared" ref="J259:J322" si="4">MAX(C259:F259)</f>
        <v>0</v>
      </c>
    </row>
    <row r="260" spans="1:10" x14ac:dyDescent="0.3">
      <c r="A260">
        <v>775</v>
      </c>
      <c r="B260" s="351">
        <v>44971</v>
      </c>
      <c r="E260" s="338">
        <v>7</v>
      </c>
      <c r="G260">
        <v>7</v>
      </c>
      <c r="H260">
        <v>2</v>
      </c>
      <c r="I260">
        <v>2023</v>
      </c>
      <c r="J260">
        <f t="shared" si="4"/>
        <v>7</v>
      </c>
    </row>
    <row r="261" spans="1:10" x14ac:dyDescent="0.3">
      <c r="A261">
        <v>776</v>
      </c>
      <c r="B261" s="351">
        <v>44972</v>
      </c>
      <c r="E261" s="338">
        <v>2</v>
      </c>
      <c r="G261">
        <v>7</v>
      </c>
      <c r="H261">
        <v>2</v>
      </c>
      <c r="I261">
        <v>2023</v>
      </c>
      <c r="J261">
        <f t="shared" si="4"/>
        <v>2</v>
      </c>
    </row>
    <row r="262" spans="1:10" x14ac:dyDescent="0.3">
      <c r="A262">
        <v>777</v>
      </c>
      <c r="B262" s="351">
        <v>44973</v>
      </c>
      <c r="E262" s="338">
        <v>8.5</v>
      </c>
      <c r="G262">
        <v>7</v>
      </c>
      <c r="H262">
        <v>2</v>
      </c>
      <c r="I262">
        <v>2023</v>
      </c>
      <c r="J262">
        <f t="shared" si="4"/>
        <v>8.5</v>
      </c>
    </row>
    <row r="263" spans="1:10" x14ac:dyDescent="0.3">
      <c r="A263">
        <v>778</v>
      </c>
      <c r="B263" s="351">
        <v>44974</v>
      </c>
      <c r="E263" s="338">
        <v>44.5</v>
      </c>
      <c r="G263">
        <v>7</v>
      </c>
      <c r="H263">
        <v>2</v>
      </c>
      <c r="I263">
        <v>2023</v>
      </c>
      <c r="J263">
        <f t="shared" si="4"/>
        <v>44.5</v>
      </c>
    </row>
    <row r="264" spans="1:10" x14ac:dyDescent="0.3">
      <c r="A264">
        <v>779</v>
      </c>
      <c r="B264" s="351">
        <v>44975</v>
      </c>
      <c r="E264" s="338">
        <v>3</v>
      </c>
      <c r="G264">
        <v>7</v>
      </c>
      <c r="H264">
        <v>2</v>
      </c>
      <c r="I264">
        <v>2023</v>
      </c>
      <c r="J264">
        <f t="shared" si="4"/>
        <v>3</v>
      </c>
    </row>
    <row r="265" spans="1:10" x14ac:dyDescent="0.3">
      <c r="A265">
        <v>780</v>
      </c>
      <c r="B265" s="351">
        <v>44976</v>
      </c>
      <c r="E265" s="338">
        <v>15</v>
      </c>
      <c r="G265">
        <v>8</v>
      </c>
      <c r="H265">
        <v>2</v>
      </c>
      <c r="I265">
        <v>2023</v>
      </c>
      <c r="J265">
        <f t="shared" si="4"/>
        <v>15</v>
      </c>
    </row>
    <row r="266" spans="1:10" x14ac:dyDescent="0.3">
      <c r="A266">
        <v>781</v>
      </c>
      <c r="B266" s="351">
        <v>44977</v>
      </c>
      <c r="E266" s="338">
        <v>72</v>
      </c>
      <c r="G266">
        <v>8</v>
      </c>
      <c r="H266">
        <v>2</v>
      </c>
      <c r="I266">
        <v>2023</v>
      </c>
      <c r="J266">
        <f t="shared" si="4"/>
        <v>72</v>
      </c>
    </row>
    <row r="267" spans="1:10" x14ac:dyDescent="0.3">
      <c r="A267">
        <v>782</v>
      </c>
      <c r="B267" s="351">
        <v>44978</v>
      </c>
      <c r="E267" s="338">
        <v>3.5</v>
      </c>
      <c r="G267">
        <v>8</v>
      </c>
      <c r="H267">
        <v>2</v>
      </c>
      <c r="I267">
        <v>2023</v>
      </c>
      <c r="J267">
        <f t="shared" si="4"/>
        <v>3.5</v>
      </c>
    </row>
    <row r="268" spans="1:10" x14ac:dyDescent="0.3">
      <c r="A268">
        <v>783</v>
      </c>
      <c r="B268" s="351">
        <v>44979</v>
      </c>
      <c r="E268" s="338">
        <v>0</v>
      </c>
      <c r="G268">
        <v>8</v>
      </c>
      <c r="H268">
        <v>2</v>
      </c>
      <c r="I268">
        <v>2023</v>
      </c>
      <c r="J268">
        <f t="shared" si="4"/>
        <v>0</v>
      </c>
    </row>
    <row r="269" spans="1:10" x14ac:dyDescent="0.3">
      <c r="A269">
        <v>784</v>
      </c>
      <c r="B269" s="351">
        <v>44980</v>
      </c>
      <c r="E269" s="338">
        <v>0</v>
      </c>
      <c r="G269">
        <v>8</v>
      </c>
      <c r="H269">
        <v>2</v>
      </c>
      <c r="I269">
        <v>2023</v>
      </c>
      <c r="J269">
        <f t="shared" si="4"/>
        <v>0</v>
      </c>
    </row>
    <row r="270" spans="1:10" x14ac:dyDescent="0.3">
      <c r="A270">
        <v>785</v>
      </c>
      <c r="B270" s="351">
        <v>44981</v>
      </c>
      <c r="E270" s="338">
        <v>0</v>
      </c>
      <c r="G270">
        <v>8</v>
      </c>
      <c r="H270">
        <v>2</v>
      </c>
      <c r="I270">
        <v>2023</v>
      </c>
      <c r="J270">
        <f t="shared" si="4"/>
        <v>0</v>
      </c>
    </row>
    <row r="271" spans="1:10" x14ac:dyDescent="0.3">
      <c r="A271">
        <v>786</v>
      </c>
      <c r="B271" s="351">
        <v>44982</v>
      </c>
      <c r="E271" s="338">
        <v>0</v>
      </c>
      <c r="G271">
        <v>8</v>
      </c>
      <c r="H271">
        <v>2</v>
      </c>
      <c r="I271">
        <v>2023</v>
      </c>
      <c r="J271">
        <f t="shared" si="4"/>
        <v>0</v>
      </c>
    </row>
    <row r="272" spans="1:10" x14ac:dyDescent="0.3">
      <c r="A272">
        <v>787</v>
      </c>
      <c r="B272" s="351">
        <v>44983</v>
      </c>
      <c r="E272" s="338">
        <v>12</v>
      </c>
      <c r="G272">
        <v>9</v>
      </c>
      <c r="H272">
        <v>2</v>
      </c>
      <c r="I272">
        <v>2023</v>
      </c>
      <c r="J272">
        <f t="shared" si="4"/>
        <v>12</v>
      </c>
    </row>
    <row r="273" spans="1:10" x14ac:dyDescent="0.3">
      <c r="A273">
        <v>788</v>
      </c>
      <c r="B273" s="351">
        <v>44984</v>
      </c>
      <c r="E273" s="338">
        <v>0</v>
      </c>
      <c r="G273">
        <v>9</v>
      </c>
      <c r="H273">
        <v>2</v>
      </c>
      <c r="I273">
        <v>2023</v>
      </c>
      <c r="J273">
        <f t="shared" si="4"/>
        <v>0</v>
      </c>
    </row>
    <row r="274" spans="1:10" s="362" customFormat="1" x14ac:dyDescent="0.3">
      <c r="A274" s="362">
        <v>789</v>
      </c>
      <c r="B274" s="364">
        <v>44985</v>
      </c>
      <c r="E274" s="338">
        <v>0</v>
      </c>
      <c r="G274" s="362">
        <v>9</v>
      </c>
      <c r="H274" s="362">
        <v>2</v>
      </c>
      <c r="I274" s="362">
        <v>2023</v>
      </c>
      <c r="J274">
        <f t="shared" si="4"/>
        <v>0</v>
      </c>
    </row>
    <row r="275" spans="1:10" x14ac:dyDescent="0.3">
      <c r="A275">
        <v>790</v>
      </c>
      <c r="B275" s="351">
        <v>44986</v>
      </c>
      <c r="E275" s="338">
        <v>0</v>
      </c>
      <c r="G275">
        <v>9</v>
      </c>
      <c r="H275">
        <v>3</v>
      </c>
      <c r="I275">
        <v>2023</v>
      </c>
      <c r="J275">
        <f t="shared" si="4"/>
        <v>0</v>
      </c>
    </row>
    <row r="276" spans="1:10" x14ac:dyDescent="0.3">
      <c r="A276">
        <v>791</v>
      </c>
      <c r="B276" s="351">
        <v>44987</v>
      </c>
      <c r="E276" s="338">
        <v>1.5</v>
      </c>
      <c r="G276">
        <v>9</v>
      </c>
      <c r="H276">
        <v>3</v>
      </c>
      <c r="I276">
        <v>2023</v>
      </c>
      <c r="J276">
        <f t="shared" si="4"/>
        <v>1.5</v>
      </c>
    </row>
    <row r="277" spans="1:10" x14ac:dyDescent="0.3">
      <c r="A277">
        <v>792</v>
      </c>
      <c r="B277" s="351">
        <v>44988</v>
      </c>
      <c r="E277" s="338">
        <v>42</v>
      </c>
      <c r="G277">
        <v>9</v>
      </c>
      <c r="H277">
        <v>3</v>
      </c>
      <c r="I277">
        <v>2023</v>
      </c>
      <c r="J277">
        <f t="shared" si="4"/>
        <v>42</v>
      </c>
    </row>
    <row r="278" spans="1:10" x14ac:dyDescent="0.3">
      <c r="A278">
        <v>793</v>
      </c>
      <c r="B278" s="351">
        <v>44989</v>
      </c>
      <c r="E278" s="338">
        <v>0.5</v>
      </c>
      <c r="G278">
        <v>9</v>
      </c>
      <c r="H278">
        <v>3</v>
      </c>
      <c r="I278">
        <v>2023</v>
      </c>
      <c r="J278">
        <f t="shared" si="4"/>
        <v>0.5</v>
      </c>
    </row>
    <row r="279" spans="1:10" x14ac:dyDescent="0.3">
      <c r="A279">
        <v>794</v>
      </c>
      <c r="B279" s="351">
        <v>44990</v>
      </c>
      <c r="E279" s="338">
        <v>0</v>
      </c>
      <c r="G279">
        <v>10</v>
      </c>
      <c r="H279">
        <v>3</v>
      </c>
      <c r="I279">
        <v>2023</v>
      </c>
      <c r="J279">
        <f t="shared" si="4"/>
        <v>0</v>
      </c>
    </row>
    <row r="280" spans="1:10" x14ac:dyDescent="0.3">
      <c r="A280">
        <v>795</v>
      </c>
      <c r="B280" s="351">
        <v>44991</v>
      </c>
      <c r="E280" s="338">
        <v>0</v>
      </c>
      <c r="G280">
        <v>10</v>
      </c>
      <c r="H280">
        <v>3</v>
      </c>
      <c r="I280">
        <v>2023</v>
      </c>
      <c r="J280">
        <f t="shared" si="4"/>
        <v>0</v>
      </c>
    </row>
    <row r="281" spans="1:10" x14ac:dyDescent="0.3">
      <c r="A281">
        <v>796</v>
      </c>
      <c r="B281" s="351">
        <v>44992</v>
      </c>
      <c r="E281" s="338">
        <v>0</v>
      </c>
      <c r="G281">
        <v>10</v>
      </c>
      <c r="H281">
        <v>3</v>
      </c>
      <c r="I281">
        <v>2023</v>
      </c>
      <c r="J281">
        <f t="shared" si="4"/>
        <v>0</v>
      </c>
    </row>
    <row r="282" spans="1:10" x14ac:dyDescent="0.3">
      <c r="A282">
        <v>797</v>
      </c>
      <c r="B282" s="351">
        <v>44993</v>
      </c>
      <c r="E282" s="338">
        <v>0</v>
      </c>
      <c r="G282">
        <v>10</v>
      </c>
      <c r="H282">
        <v>3</v>
      </c>
      <c r="I282">
        <v>2023</v>
      </c>
      <c r="J282">
        <f t="shared" si="4"/>
        <v>0</v>
      </c>
    </row>
    <row r="283" spans="1:10" x14ac:dyDescent="0.3">
      <c r="A283">
        <v>798</v>
      </c>
      <c r="B283" s="351">
        <v>44994</v>
      </c>
      <c r="E283" s="338">
        <v>8</v>
      </c>
      <c r="G283">
        <v>10</v>
      </c>
      <c r="H283">
        <v>3</v>
      </c>
      <c r="I283">
        <v>2023</v>
      </c>
      <c r="J283">
        <f t="shared" si="4"/>
        <v>8</v>
      </c>
    </row>
    <row r="284" spans="1:10" x14ac:dyDescent="0.3">
      <c r="A284">
        <v>799</v>
      </c>
      <c r="B284" s="351">
        <v>44995</v>
      </c>
      <c r="E284" s="338">
        <v>3.5</v>
      </c>
      <c r="G284">
        <v>10</v>
      </c>
      <c r="H284">
        <v>3</v>
      </c>
      <c r="I284">
        <v>2023</v>
      </c>
      <c r="J284">
        <f t="shared" si="4"/>
        <v>3.5</v>
      </c>
    </row>
    <row r="285" spans="1:10" x14ac:dyDescent="0.3">
      <c r="A285">
        <v>800</v>
      </c>
      <c r="B285" s="351">
        <v>44996</v>
      </c>
      <c r="E285" s="338">
        <v>27</v>
      </c>
      <c r="G285">
        <v>10</v>
      </c>
      <c r="H285">
        <v>3</v>
      </c>
      <c r="I285">
        <v>2023</v>
      </c>
      <c r="J285">
        <f t="shared" si="4"/>
        <v>27</v>
      </c>
    </row>
    <row r="286" spans="1:10" x14ac:dyDescent="0.3">
      <c r="A286">
        <v>801</v>
      </c>
      <c r="B286" s="351">
        <v>44997</v>
      </c>
      <c r="E286" s="338">
        <v>51</v>
      </c>
      <c r="G286">
        <v>11</v>
      </c>
      <c r="H286">
        <v>3</v>
      </c>
      <c r="I286">
        <v>2023</v>
      </c>
      <c r="J286">
        <f t="shared" si="4"/>
        <v>51</v>
      </c>
    </row>
    <row r="287" spans="1:10" x14ac:dyDescent="0.3">
      <c r="A287">
        <v>802</v>
      </c>
      <c r="B287" s="351">
        <v>44998</v>
      </c>
      <c r="E287" s="338">
        <v>6</v>
      </c>
      <c r="G287">
        <v>11</v>
      </c>
      <c r="H287">
        <v>3</v>
      </c>
      <c r="I287">
        <v>2023</v>
      </c>
      <c r="J287">
        <f t="shared" si="4"/>
        <v>6</v>
      </c>
    </row>
    <row r="288" spans="1:10" x14ac:dyDescent="0.3">
      <c r="A288">
        <v>803</v>
      </c>
      <c r="B288" s="351">
        <v>44999</v>
      </c>
      <c r="E288" s="338">
        <v>31</v>
      </c>
      <c r="G288">
        <v>11</v>
      </c>
      <c r="H288">
        <v>3</v>
      </c>
      <c r="I288">
        <v>2023</v>
      </c>
      <c r="J288">
        <f t="shared" si="4"/>
        <v>31</v>
      </c>
    </row>
    <row r="289" spans="1:10" x14ac:dyDescent="0.3">
      <c r="A289">
        <v>804</v>
      </c>
      <c r="B289" s="351">
        <v>45000</v>
      </c>
      <c r="E289" s="338">
        <v>7.5</v>
      </c>
      <c r="G289">
        <v>11</v>
      </c>
      <c r="H289">
        <v>3</v>
      </c>
      <c r="I289">
        <v>2023</v>
      </c>
      <c r="J289">
        <f t="shared" si="4"/>
        <v>7.5</v>
      </c>
    </row>
    <row r="290" spans="1:10" x14ac:dyDescent="0.3">
      <c r="A290">
        <v>805</v>
      </c>
      <c r="B290" s="351">
        <v>45001</v>
      </c>
      <c r="E290" s="338">
        <v>6.5</v>
      </c>
      <c r="G290">
        <v>11</v>
      </c>
      <c r="H290">
        <v>3</v>
      </c>
      <c r="I290">
        <v>2023</v>
      </c>
      <c r="J290">
        <f t="shared" si="4"/>
        <v>6.5</v>
      </c>
    </row>
    <row r="291" spans="1:10" x14ac:dyDescent="0.3">
      <c r="A291">
        <v>806</v>
      </c>
      <c r="B291" s="351">
        <v>45002</v>
      </c>
      <c r="E291" s="338">
        <v>13.5</v>
      </c>
      <c r="G291">
        <v>11</v>
      </c>
      <c r="H291">
        <v>3</v>
      </c>
      <c r="I291">
        <v>2023</v>
      </c>
      <c r="J291">
        <f t="shared" si="4"/>
        <v>13.5</v>
      </c>
    </row>
    <row r="292" spans="1:10" x14ac:dyDescent="0.3">
      <c r="A292">
        <v>807</v>
      </c>
      <c r="B292" s="351">
        <v>45003</v>
      </c>
      <c r="E292" s="338">
        <v>16.5</v>
      </c>
      <c r="G292">
        <v>11</v>
      </c>
      <c r="H292">
        <v>3</v>
      </c>
      <c r="I292">
        <v>2023</v>
      </c>
      <c r="J292">
        <f t="shared" si="4"/>
        <v>16.5</v>
      </c>
    </row>
    <row r="293" spans="1:10" x14ac:dyDescent="0.3">
      <c r="A293">
        <v>808</v>
      </c>
      <c r="B293" s="351">
        <v>45004</v>
      </c>
      <c r="E293" s="338">
        <v>32</v>
      </c>
      <c r="G293">
        <v>12</v>
      </c>
      <c r="H293">
        <v>3</v>
      </c>
      <c r="I293">
        <v>2023</v>
      </c>
      <c r="J293">
        <f t="shared" si="4"/>
        <v>32</v>
      </c>
    </row>
    <row r="294" spans="1:10" x14ac:dyDescent="0.3">
      <c r="A294">
        <v>809</v>
      </c>
      <c r="B294" s="351">
        <v>45005</v>
      </c>
      <c r="E294" s="338">
        <v>27</v>
      </c>
      <c r="G294">
        <v>12</v>
      </c>
      <c r="H294">
        <v>3</v>
      </c>
      <c r="I294">
        <v>2023</v>
      </c>
      <c r="J294">
        <f t="shared" si="4"/>
        <v>27</v>
      </c>
    </row>
    <row r="295" spans="1:10" x14ac:dyDescent="0.3">
      <c r="A295">
        <v>810</v>
      </c>
      <c r="B295" s="351">
        <v>45006</v>
      </c>
      <c r="E295" s="338">
        <v>58.5</v>
      </c>
      <c r="G295">
        <v>12</v>
      </c>
      <c r="H295">
        <v>3</v>
      </c>
      <c r="I295">
        <v>2023</v>
      </c>
      <c r="J295">
        <f t="shared" si="4"/>
        <v>58.5</v>
      </c>
    </row>
    <row r="296" spans="1:10" x14ac:dyDescent="0.3">
      <c r="A296">
        <v>811</v>
      </c>
      <c r="B296" s="351">
        <v>45007</v>
      </c>
      <c r="E296" s="338">
        <v>32.5</v>
      </c>
      <c r="G296">
        <v>12</v>
      </c>
      <c r="H296">
        <v>3</v>
      </c>
      <c r="I296">
        <v>2023</v>
      </c>
      <c r="J296">
        <f t="shared" si="4"/>
        <v>32.5</v>
      </c>
    </row>
    <row r="297" spans="1:10" x14ac:dyDescent="0.3">
      <c r="A297">
        <v>812</v>
      </c>
      <c r="B297" s="351">
        <v>45008</v>
      </c>
      <c r="E297" s="338">
        <v>0</v>
      </c>
      <c r="G297">
        <v>12</v>
      </c>
      <c r="H297">
        <v>3</v>
      </c>
      <c r="I297">
        <v>2023</v>
      </c>
      <c r="J297">
        <f t="shared" si="4"/>
        <v>0</v>
      </c>
    </row>
    <row r="298" spans="1:10" x14ac:dyDescent="0.3">
      <c r="A298">
        <v>813</v>
      </c>
      <c r="B298" s="351">
        <v>45009</v>
      </c>
      <c r="E298" s="338">
        <v>0</v>
      </c>
      <c r="G298">
        <v>12</v>
      </c>
      <c r="H298">
        <v>3</v>
      </c>
      <c r="I298">
        <v>2023</v>
      </c>
      <c r="J298">
        <f t="shared" si="4"/>
        <v>0</v>
      </c>
    </row>
    <row r="299" spans="1:10" x14ac:dyDescent="0.3">
      <c r="A299">
        <v>814</v>
      </c>
      <c r="B299" s="351">
        <v>45010</v>
      </c>
      <c r="E299" s="338">
        <v>48</v>
      </c>
      <c r="G299">
        <v>12</v>
      </c>
      <c r="H299">
        <v>3</v>
      </c>
      <c r="I299">
        <v>2023</v>
      </c>
      <c r="J299">
        <f t="shared" si="4"/>
        <v>48</v>
      </c>
    </row>
    <row r="300" spans="1:10" x14ac:dyDescent="0.3">
      <c r="A300">
        <v>815</v>
      </c>
      <c r="B300" s="351">
        <v>45011</v>
      </c>
      <c r="E300" s="338">
        <v>22.5</v>
      </c>
      <c r="G300">
        <v>13</v>
      </c>
      <c r="H300">
        <v>3</v>
      </c>
      <c r="I300">
        <v>2023</v>
      </c>
      <c r="J300">
        <f t="shared" si="4"/>
        <v>22.5</v>
      </c>
    </row>
    <row r="301" spans="1:10" x14ac:dyDescent="0.3">
      <c r="A301">
        <v>816</v>
      </c>
      <c r="B301" s="351">
        <v>45012</v>
      </c>
      <c r="E301" s="338">
        <v>0</v>
      </c>
      <c r="G301">
        <v>13</v>
      </c>
      <c r="H301">
        <v>3</v>
      </c>
      <c r="I301">
        <v>2023</v>
      </c>
      <c r="J301">
        <f t="shared" si="4"/>
        <v>0</v>
      </c>
    </row>
    <row r="302" spans="1:10" x14ac:dyDescent="0.3">
      <c r="A302">
        <v>817</v>
      </c>
      <c r="B302" s="351">
        <v>45013</v>
      </c>
      <c r="E302" s="338">
        <v>3</v>
      </c>
      <c r="G302">
        <v>13</v>
      </c>
      <c r="H302">
        <v>3</v>
      </c>
      <c r="I302">
        <v>2023</v>
      </c>
      <c r="J302">
        <f t="shared" si="4"/>
        <v>3</v>
      </c>
    </row>
    <row r="303" spans="1:10" x14ac:dyDescent="0.3">
      <c r="A303">
        <v>818</v>
      </c>
      <c r="B303" s="351">
        <v>45014</v>
      </c>
      <c r="E303" s="338">
        <v>0.5</v>
      </c>
      <c r="G303">
        <v>13</v>
      </c>
      <c r="H303">
        <v>3</v>
      </c>
      <c r="I303">
        <v>2023</v>
      </c>
      <c r="J303">
        <f t="shared" si="4"/>
        <v>0.5</v>
      </c>
    </row>
    <row r="304" spans="1:10" x14ac:dyDescent="0.3">
      <c r="A304">
        <v>819</v>
      </c>
      <c r="B304" s="351">
        <v>45015</v>
      </c>
      <c r="E304" s="338">
        <v>0</v>
      </c>
      <c r="G304">
        <v>13</v>
      </c>
      <c r="H304">
        <v>3</v>
      </c>
      <c r="I304">
        <v>2023</v>
      </c>
      <c r="J304">
        <f t="shared" si="4"/>
        <v>0</v>
      </c>
    </row>
    <row r="305" spans="1:10" s="362" customFormat="1" x14ac:dyDescent="0.3">
      <c r="A305" s="362">
        <v>820</v>
      </c>
      <c r="B305" s="364">
        <v>45016</v>
      </c>
      <c r="E305" s="338">
        <v>0.5</v>
      </c>
      <c r="G305" s="362">
        <v>13</v>
      </c>
      <c r="H305" s="362">
        <v>3</v>
      </c>
      <c r="I305" s="362">
        <v>2023</v>
      </c>
      <c r="J305">
        <f t="shared" si="4"/>
        <v>0.5</v>
      </c>
    </row>
    <row r="306" spans="1:10" x14ac:dyDescent="0.3">
      <c r="A306">
        <v>821</v>
      </c>
      <c r="B306" s="351">
        <v>45017</v>
      </c>
      <c r="E306" s="338">
        <v>0.5</v>
      </c>
      <c r="G306">
        <v>13</v>
      </c>
      <c r="H306">
        <v>4</v>
      </c>
      <c r="I306">
        <v>2023</v>
      </c>
      <c r="J306">
        <f t="shared" si="4"/>
        <v>0.5</v>
      </c>
    </row>
    <row r="307" spans="1:10" x14ac:dyDescent="0.3">
      <c r="A307">
        <v>822</v>
      </c>
      <c r="B307" s="351">
        <v>45018</v>
      </c>
      <c r="E307" s="338">
        <v>0</v>
      </c>
      <c r="G307">
        <v>14</v>
      </c>
      <c r="H307">
        <v>4</v>
      </c>
      <c r="I307">
        <v>2023</v>
      </c>
      <c r="J307">
        <f t="shared" si="4"/>
        <v>0</v>
      </c>
    </row>
    <row r="308" spans="1:10" x14ac:dyDescent="0.3">
      <c r="A308">
        <v>823</v>
      </c>
      <c r="B308" s="351">
        <v>45019</v>
      </c>
      <c r="E308" s="338">
        <v>0</v>
      </c>
      <c r="G308">
        <v>14</v>
      </c>
      <c r="H308">
        <v>4</v>
      </c>
      <c r="I308">
        <v>2023</v>
      </c>
      <c r="J308">
        <f t="shared" si="4"/>
        <v>0</v>
      </c>
    </row>
    <row r="309" spans="1:10" x14ac:dyDescent="0.3">
      <c r="A309">
        <v>824</v>
      </c>
      <c r="B309" s="351">
        <v>45020</v>
      </c>
      <c r="E309" s="338">
        <v>17</v>
      </c>
      <c r="G309">
        <v>14</v>
      </c>
      <c r="H309">
        <v>4</v>
      </c>
      <c r="I309">
        <v>2023</v>
      </c>
      <c r="J309">
        <f t="shared" si="4"/>
        <v>17</v>
      </c>
    </row>
    <row r="310" spans="1:10" x14ac:dyDescent="0.3">
      <c r="A310">
        <v>825</v>
      </c>
      <c r="B310" s="351">
        <v>45021</v>
      </c>
      <c r="E310" s="338">
        <v>0</v>
      </c>
      <c r="G310">
        <v>14</v>
      </c>
      <c r="H310">
        <v>4</v>
      </c>
      <c r="I310">
        <v>2023</v>
      </c>
      <c r="J310">
        <f t="shared" si="4"/>
        <v>0</v>
      </c>
    </row>
    <row r="311" spans="1:10" x14ac:dyDescent="0.3">
      <c r="A311">
        <v>826</v>
      </c>
      <c r="B311" s="351">
        <v>45022</v>
      </c>
      <c r="E311" s="338">
        <v>0</v>
      </c>
      <c r="G311">
        <v>14</v>
      </c>
      <c r="H311">
        <v>4</v>
      </c>
      <c r="I311">
        <v>2023</v>
      </c>
      <c r="J311">
        <f t="shared" si="4"/>
        <v>0</v>
      </c>
    </row>
    <row r="312" spans="1:10" x14ac:dyDescent="0.3">
      <c r="A312">
        <v>827</v>
      </c>
      <c r="B312" s="351">
        <v>45023</v>
      </c>
      <c r="E312" s="338">
        <v>0.5</v>
      </c>
      <c r="G312">
        <v>14</v>
      </c>
      <c r="H312">
        <v>4</v>
      </c>
      <c r="I312">
        <v>2023</v>
      </c>
      <c r="J312">
        <f t="shared" si="4"/>
        <v>0.5</v>
      </c>
    </row>
    <row r="313" spans="1:10" x14ac:dyDescent="0.3">
      <c r="A313">
        <v>828</v>
      </c>
      <c r="B313" s="351">
        <v>45024</v>
      </c>
      <c r="E313" s="338">
        <v>0</v>
      </c>
      <c r="G313">
        <v>14</v>
      </c>
      <c r="H313">
        <v>4</v>
      </c>
      <c r="I313">
        <v>2023</v>
      </c>
      <c r="J313">
        <f t="shared" si="4"/>
        <v>0</v>
      </c>
    </row>
    <row r="314" spans="1:10" x14ac:dyDescent="0.3">
      <c r="A314">
        <v>829</v>
      </c>
      <c r="B314" s="351">
        <v>45025</v>
      </c>
      <c r="E314" s="338">
        <v>0</v>
      </c>
      <c r="G314">
        <v>15</v>
      </c>
      <c r="H314">
        <v>4</v>
      </c>
      <c r="I314">
        <v>2023</v>
      </c>
      <c r="J314">
        <f t="shared" si="4"/>
        <v>0</v>
      </c>
    </row>
    <row r="315" spans="1:10" x14ac:dyDescent="0.3">
      <c r="A315">
        <v>830</v>
      </c>
      <c r="B315" s="351">
        <v>45026</v>
      </c>
      <c r="E315" s="338">
        <v>0</v>
      </c>
      <c r="G315">
        <v>15</v>
      </c>
      <c r="H315">
        <v>4</v>
      </c>
      <c r="I315">
        <v>2023</v>
      </c>
      <c r="J315">
        <f t="shared" si="4"/>
        <v>0</v>
      </c>
    </row>
    <row r="316" spans="1:10" x14ac:dyDescent="0.3">
      <c r="A316">
        <v>831</v>
      </c>
      <c r="B316" s="351">
        <v>45027</v>
      </c>
      <c r="E316" s="338">
        <v>0</v>
      </c>
      <c r="G316">
        <v>15</v>
      </c>
      <c r="H316">
        <v>4</v>
      </c>
      <c r="I316">
        <v>2023</v>
      </c>
      <c r="J316">
        <f t="shared" si="4"/>
        <v>0</v>
      </c>
    </row>
    <row r="317" spans="1:10" x14ac:dyDescent="0.3">
      <c r="A317">
        <v>832</v>
      </c>
      <c r="B317" s="351">
        <v>45028</v>
      </c>
      <c r="E317" s="338">
        <v>4</v>
      </c>
      <c r="G317">
        <v>15</v>
      </c>
      <c r="H317">
        <v>4</v>
      </c>
      <c r="I317">
        <v>2023</v>
      </c>
      <c r="J317">
        <f t="shared" si="4"/>
        <v>4</v>
      </c>
    </row>
    <row r="318" spans="1:10" x14ac:dyDescent="0.3">
      <c r="A318">
        <v>833</v>
      </c>
      <c r="B318" s="351">
        <v>45029</v>
      </c>
      <c r="E318" s="338">
        <v>6.5</v>
      </c>
      <c r="G318">
        <v>15</v>
      </c>
      <c r="H318">
        <v>4</v>
      </c>
      <c r="I318">
        <v>2023</v>
      </c>
      <c r="J318">
        <f t="shared" si="4"/>
        <v>6.5</v>
      </c>
    </row>
    <row r="319" spans="1:10" x14ac:dyDescent="0.3">
      <c r="A319">
        <v>834</v>
      </c>
      <c r="B319" s="351">
        <v>45030</v>
      </c>
      <c r="E319" s="338">
        <v>0.5</v>
      </c>
      <c r="G319">
        <v>15</v>
      </c>
      <c r="H319">
        <v>4</v>
      </c>
      <c r="I319">
        <v>2023</v>
      </c>
      <c r="J319">
        <f t="shared" si="4"/>
        <v>0.5</v>
      </c>
    </row>
    <row r="320" spans="1:10" x14ac:dyDescent="0.3">
      <c r="A320">
        <v>835</v>
      </c>
      <c r="B320" s="351">
        <v>45031</v>
      </c>
      <c r="E320" s="338">
        <v>0</v>
      </c>
      <c r="G320">
        <v>15</v>
      </c>
      <c r="H320">
        <v>4</v>
      </c>
      <c r="I320">
        <v>2023</v>
      </c>
      <c r="J320">
        <f t="shared" si="4"/>
        <v>0</v>
      </c>
    </row>
    <row r="321" spans="1:10" x14ac:dyDescent="0.3">
      <c r="A321">
        <v>836</v>
      </c>
      <c r="B321" s="351">
        <v>45032</v>
      </c>
      <c r="E321" s="338">
        <v>0.5</v>
      </c>
      <c r="G321">
        <v>16</v>
      </c>
      <c r="H321">
        <v>4</v>
      </c>
      <c r="I321">
        <v>2023</v>
      </c>
      <c r="J321">
        <f t="shared" si="4"/>
        <v>0.5</v>
      </c>
    </row>
    <row r="322" spans="1:10" x14ac:dyDescent="0.3">
      <c r="A322">
        <v>837</v>
      </c>
      <c r="B322" s="351">
        <v>45033</v>
      </c>
      <c r="E322" s="338">
        <v>0</v>
      </c>
      <c r="G322">
        <v>16</v>
      </c>
      <c r="H322">
        <v>4</v>
      </c>
      <c r="I322">
        <v>2023</v>
      </c>
      <c r="J322">
        <f t="shared" si="4"/>
        <v>0</v>
      </c>
    </row>
    <row r="323" spans="1:10" x14ac:dyDescent="0.3">
      <c r="A323">
        <v>838</v>
      </c>
      <c r="B323" s="351">
        <v>45034</v>
      </c>
      <c r="E323" s="338">
        <v>3.5</v>
      </c>
      <c r="G323">
        <v>16</v>
      </c>
      <c r="H323">
        <v>4</v>
      </c>
      <c r="I323">
        <v>2023</v>
      </c>
      <c r="J323">
        <f t="shared" ref="J323:J386" si="5">MAX(C323:F323)</f>
        <v>3.5</v>
      </c>
    </row>
    <row r="324" spans="1:10" x14ac:dyDescent="0.3">
      <c r="A324">
        <v>839</v>
      </c>
      <c r="B324" s="351">
        <v>45035</v>
      </c>
      <c r="E324" s="338">
        <v>0</v>
      </c>
      <c r="G324">
        <v>16</v>
      </c>
      <c r="H324">
        <v>4</v>
      </c>
      <c r="I324">
        <v>2023</v>
      </c>
      <c r="J324">
        <f t="shared" si="5"/>
        <v>0</v>
      </c>
    </row>
    <row r="325" spans="1:10" x14ac:dyDescent="0.3">
      <c r="A325">
        <v>840</v>
      </c>
      <c r="B325" s="351">
        <v>45036</v>
      </c>
      <c r="E325" s="338">
        <v>33</v>
      </c>
      <c r="G325">
        <v>16</v>
      </c>
      <c r="H325">
        <v>4</v>
      </c>
      <c r="I325">
        <v>2023</v>
      </c>
      <c r="J325">
        <f t="shared" si="5"/>
        <v>33</v>
      </c>
    </row>
    <row r="326" spans="1:10" x14ac:dyDescent="0.3">
      <c r="A326">
        <v>841</v>
      </c>
      <c r="B326" s="351">
        <v>45037</v>
      </c>
      <c r="E326" s="338">
        <v>47</v>
      </c>
      <c r="G326">
        <v>16</v>
      </c>
      <c r="H326">
        <v>4</v>
      </c>
      <c r="I326">
        <v>2023</v>
      </c>
      <c r="J326">
        <f t="shared" si="5"/>
        <v>47</v>
      </c>
    </row>
    <row r="327" spans="1:10" x14ac:dyDescent="0.3">
      <c r="A327">
        <v>842</v>
      </c>
      <c r="B327" s="351">
        <v>45038</v>
      </c>
      <c r="E327" s="338">
        <v>0</v>
      </c>
      <c r="G327">
        <v>16</v>
      </c>
      <c r="H327">
        <v>4</v>
      </c>
      <c r="I327">
        <v>2023</v>
      </c>
      <c r="J327">
        <f t="shared" si="5"/>
        <v>0</v>
      </c>
    </row>
    <row r="328" spans="1:10" x14ac:dyDescent="0.3">
      <c r="A328">
        <v>843</v>
      </c>
      <c r="B328" s="351">
        <v>45039</v>
      </c>
      <c r="E328" s="338">
        <v>0</v>
      </c>
      <c r="G328">
        <v>17</v>
      </c>
      <c r="H328">
        <v>4</v>
      </c>
      <c r="I328">
        <v>2023</v>
      </c>
      <c r="J328">
        <f t="shared" si="5"/>
        <v>0</v>
      </c>
    </row>
    <row r="329" spans="1:10" x14ac:dyDescent="0.3">
      <c r="A329">
        <v>844</v>
      </c>
      <c r="B329" s="351">
        <v>45040</v>
      </c>
      <c r="E329" s="338">
        <v>14</v>
      </c>
      <c r="G329">
        <v>17</v>
      </c>
      <c r="H329">
        <v>4</v>
      </c>
      <c r="I329">
        <v>2023</v>
      </c>
      <c r="J329">
        <f t="shared" si="5"/>
        <v>14</v>
      </c>
    </row>
    <row r="330" spans="1:10" x14ac:dyDescent="0.3">
      <c r="A330">
        <v>845</v>
      </c>
      <c r="B330" s="351">
        <v>45041</v>
      </c>
      <c r="E330" s="338">
        <v>0</v>
      </c>
      <c r="G330">
        <v>17</v>
      </c>
      <c r="H330">
        <v>4</v>
      </c>
      <c r="I330">
        <v>2023</v>
      </c>
      <c r="J330">
        <f t="shared" si="5"/>
        <v>0</v>
      </c>
    </row>
    <row r="331" spans="1:10" x14ac:dyDescent="0.3">
      <c r="A331">
        <v>846</v>
      </c>
      <c r="B331" s="351">
        <v>45042</v>
      </c>
      <c r="E331" s="338">
        <v>29.5</v>
      </c>
      <c r="G331">
        <v>17</v>
      </c>
      <c r="H331">
        <v>4</v>
      </c>
      <c r="I331">
        <v>2023</v>
      </c>
      <c r="J331">
        <f t="shared" si="5"/>
        <v>29.5</v>
      </c>
    </row>
    <row r="332" spans="1:10" x14ac:dyDescent="0.3">
      <c r="A332">
        <v>847</v>
      </c>
      <c r="B332" s="351">
        <v>45043</v>
      </c>
      <c r="E332" s="338">
        <v>8</v>
      </c>
      <c r="G332">
        <v>17</v>
      </c>
      <c r="H332">
        <v>4</v>
      </c>
      <c r="I332">
        <v>2023</v>
      </c>
      <c r="J332">
        <f t="shared" si="5"/>
        <v>8</v>
      </c>
    </row>
    <row r="333" spans="1:10" x14ac:dyDescent="0.3">
      <c r="A333">
        <v>848</v>
      </c>
      <c r="B333" s="351">
        <v>45044</v>
      </c>
      <c r="E333" s="338">
        <v>0.5</v>
      </c>
      <c r="G333">
        <v>17</v>
      </c>
      <c r="H333">
        <v>4</v>
      </c>
      <c r="I333">
        <v>2023</v>
      </c>
      <c r="J333">
        <f t="shared" si="5"/>
        <v>0.5</v>
      </c>
    </row>
    <row r="334" spans="1:10" x14ac:dyDescent="0.3">
      <c r="A334">
        <v>849</v>
      </c>
      <c r="B334" s="351">
        <v>45045</v>
      </c>
      <c r="E334" s="338">
        <v>21.5</v>
      </c>
      <c r="G334">
        <v>17</v>
      </c>
      <c r="H334">
        <v>4</v>
      </c>
      <c r="I334">
        <v>2023</v>
      </c>
      <c r="J334">
        <f t="shared" si="5"/>
        <v>21.5</v>
      </c>
    </row>
    <row r="335" spans="1:10" s="362" customFormat="1" x14ac:dyDescent="0.3">
      <c r="A335" s="362">
        <v>850</v>
      </c>
      <c r="B335" s="364">
        <v>45046</v>
      </c>
      <c r="E335" s="338">
        <v>0</v>
      </c>
      <c r="G335" s="362">
        <v>18</v>
      </c>
      <c r="H335" s="362">
        <v>4</v>
      </c>
      <c r="I335" s="362">
        <v>2023</v>
      </c>
      <c r="J335">
        <f t="shared" si="5"/>
        <v>0</v>
      </c>
    </row>
    <row r="336" spans="1:10" x14ac:dyDescent="0.3">
      <c r="A336">
        <v>851</v>
      </c>
      <c r="B336" s="351">
        <v>45047</v>
      </c>
      <c r="E336" s="338">
        <v>0.5</v>
      </c>
      <c r="G336">
        <v>18</v>
      </c>
      <c r="H336">
        <v>5</v>
      </c>
      <c r="I336">
        <v>2023</v>
      </c>
      <c r="J336">
        <f t="shared" si="5"/>
        <v>0.5</v>
      </c>
    </row>
    <row r="337" spans="1:10" x14ac:dyDescent="0.3">
      <c r="A337">
        <v>852</v>
      </c>
      <c r="B337" s="351">
        <v>45048</v>
      </c>
      <c r="E337" s="338">
        <v>0.5</v>
      </c>
      <c r="G337">
        <v>18</v>
      </c>
      <c r="H337">
        <v>5</v>
      </c>
      <c r="I337">
        <v>2023</v>
      </c>
      <c r="J337">
        <f t="shared" si="5"/>
        <v>0.5</v>
      </c>
    </row>
    <row r="338" spans="1:10" x14ac:dyDescent="0.3">
      <c r="A338">
        <v>853</v>
      </c>
      <c r="B338" s="351">
        <v>45049</v>
      </c>
      <c r="E338" s="338">
        <v>0</v>
      </c>
      <c r="G338">
        <v>18</v>
      </c>
      <c r="H338">
        <v>5</v>
      </c>
      <c r="I338">
        <v>2023</v>
      </c>
      <c r="J338">
        <f t="shared" si="5"/>
        <v>0</v>
      </c>
    </row>
    <row r="339" spans="1:10" x14ac:dyDescent="0.3">
      <c r="A339">
        <v>854</v>
      </c>
      <c r="B339" s="351">
        <v>45050</v>
      </c>
      <c r="E339" s="338">
        <v>64</v>
      </c>
      <c r="G339">
        <v>18</v>
      </c>
      <c r="H339">
        <v>5</v>
      </c>
      <c r="I339">
        <v>2023</v>
      </c>
      <c r="J339">
        <f t="shared" si="5"/>
        <v>64</v>
      </c>
    </row>
    <row r="340" spans="1:10" x14ac:dyDescent="0.3">
      <c r="A340">
        <v>855</v>
      </c>
      <c r="B340" s="351">
        <v>45051</v>
      </c>
      <c r="E340" s="338">
        <v>0</v>
      </c>
      <c r="G340">
        <v>18</v>
      </c>
      <c r="H340">
        <v>5</v>
      </c>
      <c r="I340">
        <v>2023</v>
      </c>
      <c r="J340">
        <f t="shared" si="5"/>
        <v>0</v>
      </c>
    </row>
    <row r="341" spans="1:10" x14ac:dyDescent="0.3">
      <c r="A341">
        <v>856</v>
      </c>
      <c r="B341" s="351">
        <v>45052</v>
      </c>
      <c r="E341" s="338">
        <v>0</v>
      </c>
      <c r="G341">
        <v>18</v>
      </c>
      <c r="H341">
        <v>5</v>
      </c>
      <c r="I341">
        <v>2023</v>
      </c>
      <c r="J341">
        <f t="shared" si="5"/>
        <v>0</v>
      </c>
    </row>
    <row r="342" spans="1:10" x14ac:dyDescent="0.3">
      <c r="A342">
        <v>857</v>
      </c>
      <c r="B342" s="351">
        <v>45053</v>
      </c>
      <c r="E342" s="338">
        <v>39.5</v>
      </c>
      <c r="G342">
        <v>19</v>
      </c>
      <c r="H342">
        <v>5</v>
      </c>
      <c r="I342">
        <v>2023</v>
      </c>
      <c r="J342">
        <f t="shared" si="5"/>
        <v>39.5</v>
      </c>
    </row>
    <row r="343" spans="1:10" x14ac:dyDescent="0.3">
      <c r="A343">
        <v>858</v>
      </c>
      <c r="B343" s="351">
        <v>45054</v>
      </c>
      <c r="E343" s="338">
        <v>12.5</v>
      </c>
      <c r="G343">
        <v>19</v>
      </c>
      <c r="H343">
        <v>5</v>
      </c>
      <c r="I343">
        <v>2023</v>
      </c>
      <c r="J343">
        <f t="shared" si="5"/>
        <v>12.5</v>
      </c>
    </row>
    <row r="344" spans="1:10" x14ac:dyDescent="0.3">
      <c r="A344">
        <v>859</v>
      </c>
      <c r="B344" s="351">
        <v>45055</v>
      </c>
      <c r="E344" s="338">
        <v>4</v>
      </c>
      <c r="G344">
        <v>19</v>
      </c>
      <c r="H344">
        <v>5</v>
      </c>
      <c r="I344">
        <v>2023</v>
      </c>
      <c r="J344">
        <f t="shared" si="5"/>
        <v>4</v>
      </c>
    </row>
    <row r="345" spans="1:10" x14ac:dyDescent="0.3">
      <c r="A345">
        <v>860</v>
      </c>
      <c r="B345" s="351">
        <v>45056</v>
      </c>
      <c r="E345" s="338">
        <v>0</v>
      </c>
      <c r="G345">
        <v>19</v>
      </c>
      <c r="H345">
        <v>5</v>
      </c>
      <c r="I345">
        <v>2023</v>
      </c>
      <c r="J345">
        <f t="shared" si="5"/>
        <v>0</v>
      </c>
    </row>
    <row r="346" spans="1:10" x14ac:dyDescent="0.3">
      <c r="A346">
        <v>861</v>
      </c>
      <c r="B346" s="351">
        <v>45057</v>
      </c>
      <c r="E346" s="338">
        <v>10</v>
      </c>
      <c r="G346">
        <v>19</v>
      </c>
      <c r="H346">
        <v>5</v>
      </c>
      <c r="I346">
        <v>2023</v>
      </c>
      <c r="J346">
        <f t="shared" si="5"/>
        <v>10</v>
      </c>
    </row>
    <row r="347" spans="1:10" x14ac:dyDescent="0.3">
      <c r="A347">
        <v>862</v>
      </c>
      <c r="B347" s="351">
        <v>45058</v>
      </c>
      <c r="E347" s="338">
        <v>28.5</v>
      </c>
      <c r="G347">
        <v>19</v>
      </c>
      <c r="H347">
        <v>5</v>
      </c>
      <c r="I347">
        <v>2023</v>
      </c>
      <c r="J347">
        <f t="shared" si="5"/>
        <v>28.5</v>
      </c>
    </row>
    <row r="348" spans="1:10" x14ac:dyDescent="0.3">
      <c r="A348">
        <v>863</v>
      </c>
      <c r="B348" s="351">
        <v>45059</v>
      </c>
      <c r="E348" s="338">
        <v>0</v>
      </c>
      <c r="G348">
        <v>19</v>
      </c>
      <c r="H348">
        <v>5</v>
      </c>
      <c r="I348">
        <v>2023</v>
      </c>
      <c r="J348">
        <f t="shared" si="5"/>
        <v>0</v>
      </c>
    </row>
    <row r="349" spans="1:10" x14ac:dyDescent="0.3">
      <c r="A349">
        <v>864</v>
      </c>
      <c r="B349" s="351">
        <v>45060</v>
      </c>
      <c r="E349" s="338">
        <v>0</v>
      </c>
      <c r="G349">
        <v>20</v>
      </c>
      <c r="H349">
        <v>5</v>
      </c>
      <c r="I349">
        <v>2023</v>
      </c>
      <c r="J349">
        <f t="shared" si="5"/>
        <v>0</v>
      </c>
    </row>
    <row r="350" spans="1:10" x14ac:dyDescent="0.3">
      <c r="A350">
        <v>865</v>
      </c>
      <c r="B350" s="351">
        <v>45061</v>
      </c>
      <c r="E350" s="338">
        <v>23</v>
      </c>
      <c r="G350">
        <v>20</v>
      </c>
      <c r="H350">
        <v>5</v>
      </c>
      <c r="I350">
        <v>2023</v>
      </c>
      <c r="J350">
        <f t="shared" si="5"/>
        <v>23</v>
      </c>
    </row>
    <row r="351" spans="1:10" x14ac:dyDescent="0.3">
      <c r="A351">
        <v>866</v>
      </c>
      <c r="B351" s="351">
        <v>45062</v>
      </c>
      <c r="E351" s="338">
        <v>12.5</v>
      </c>
      <c r="G351">
        <v>20</v>
      </c>
      <c r="H351">
        <v>5</v>
      </c>
      <c r="I351">
        <v>2023</v>
      </c>
      <c r="J351">
        <f t="shared" si="5"/>
        <v>12.5</v>
      </c>
    </row>
    <row r="352" spans="1:10" x14ac:dyDescent="0.3">
      <c r="A352">
        <v>867</v>
      </c>
      <c r="B352" s="351">
        <v>45063</v>
      </c>
      <c r="E352" s="338">
        <v>48</v>
      </c>
      <c r="G352">
        <v>20</v>
      </c>
      <c r="H352">
        <v>5</v>
      </c>
      <c r="I352">
        <v>2023</v>
      </c>
      <c r="J352">
        <f t="shared" si="5"/>
        <v>48</v>
      </c>
    </row>
    <row r="353" spans="1:10" x14ac:dyDescent="0.3">
      <c r="A353">
        <v>868</v>
      </c>
      <c r="B353" s="351">
        <v>45064</v>
      </c>
      <c r="E353" s="338">
        <v>20</v>
      </c>
      <c r="G353">
        <v>20</v>
      </c>
      <c r="H353">
        <v>5</v>
      </c>
      <c r="I353">
        <v>2023</v>
      </c>
      <c r="J353">
        <f t="shared" si="5"/>
        <v>20</v>
      </c>
    </row>
    <row r="354" spans="1:10" x14ac:dyDescent="0.3">
      <c r="A354">
        <v>869</v>
      </c>
      <c r="B354" s="351">
        <v>45065</v>
      </c>
      <c r="E354" s="338">
        <v>9</v>
      </c>
      <c r="G354">
        <v>20</v>
      </c>
      <c r="H354">
        <v>5</v>
      </c>
      <c r="I354">
        <v>2023</v>
      </c>
      <c r="J354">
        <f t="shared" si="5"/>
        <v>9</v>
      </c>
    </row>
    <row r="355" spans="1:10" x14ac:dyDescent="0.3">
      <c r="A355">
        <v>870</v>
      </c>
      <c r="B355" s="351">
        <v>45066</v>
      </c>
      <c r="E355" s="338">
        <v>6</v>
      </c>
      <c r="G355">
        <v>20</v>
      </c>
      <c r="H355">
        <v>5</v>
      </c>
      <c r="I355">
        <v>2023</v>
      </c>
      <c r="J355">
        <f t="shared" si="5"/>
        <v>6</v>
      </c>
    </row>
    <row r="356" spans="1:10" x14ac:dyDescent="0.3">
      <c r="A356">
        <v>871</v>
      </c>
      <c r="B356" s="351">
        <v>45067</v>
      </c>
      <c r="E356" s="338">
        <v>0</v>
      </c>
      <c r="G356">
        <v>21</v>
      </c>
      <c r="H356">
        <v>5</v>
      </c>
      <c r="I356">
        <v>2023</v>
      </c>
      <c r="J356">
        <f t="shared" si="5"/>
        <v>0</v>
      </c>
    </row>
    <row r="357" spans="1:10" x14ac:dyDescent="0.3">
      <c r="A357">
        <v>872</v>
      </c>
      <c r="B357" s="351">
        <v>45068</v>
      </c>
      <c r="E357" s="338">
        <v>0</v>
      </c>
      <c r="G357">
        <v>21</v>
      </c>
      <c r="H357">
        <v>5</v>
      </c>
      <c r="I357">
        <v>2023</v>
      </c>
      <c r="J357">
        <f t="shared" si="5"/>
        <v>0</v>
      </c>
    </row>
    <row r="358" spans="1:10" x14ac:dyDescent="0.3">
      <c r="A358">
        <v>873</v>
      </c>
      <c r="B358" s="351">
        <v>45069</v>
      </c>
      <c r="E358" s="338">
        <v>0</v>
      </c>
      <c r="G358">
        <v>21</v>
      </c>
      <c r="H358">
        <v>5</v>
      </c>
      <c r="I358">
        <v>2023</v>
      </c>
      <c r="J358">
        <f t="shared" si="5"/>
        <v>0</v>
      </c>
    </row>
    <row r="359" spans="1:10" x14ac:dyDescent="0.3">
      <c r="A359">
        <v>874</v>
      </c>
      <c r="B359" s="351">
        <v>45070</v>
      </c>
      <c r="E359" s="338">
        <v>0</v>
      </c>
      <c r="G359">
        <v>21</v>
      </c>
      <c r="H359">
        <v>5</v>
      </c>
      <c r="I359">
        <v>2023</v>
      </c>
      <c r="J359">
        <f t="shared" si="5"/>
        <v>0</v>
      </c>
    </row>
    <row r="360" spans="1:10" x14ac:dyDescent="0.3">
      <c r="A360">
        <v>875</v>
      </c>
      <c r="B360" s="351">
        <v>45071</v>
      </c>
      <c r="E360" s="338">
        <v>0</v>
      </c>
      <c r="G360">
        <v>21</v>
      </c>
      <c r="H360">
        <v>5</v>
      </c>
      <c r="I360">
        <v>2023</v>
      </c>
      <c r="J360">
        <f t="shared" si="5"/>
        <v>0</v>
      </c>
    </row>
    <row r="361" spans="1:10" x14ac:dyDescent="0.3">
      <c r="A361">
        <v>876</v>
      </c>
      <c r="B361" s="351">
        <v>45072</v>
      </c>
      <c r="E361" s="338">
        <v>0</v>
      </c>
      <c r="G361">
        <v>21</v>
      </c>
      <c r="H361">
        <v>5</v>
      </c>
      <c r="I361">
        <v>2023</v>
      </c>
      <c r="J361">
        <f t="shared" si="5"/>
        <v>0</v>
      </c>
    </row>
    <row r="362" spans="1:10" x14ac:dyDescent="0.3">
      <c r="A362">
        <v>877</v>
      </c>
      <c r="B362" s="351">
        <v>45073</v>
      </c>
      <c r="E362" s="338">
        <v>25.5</v>
      </c>
      <c r="G362">
        <v>21</v>
      </c>
      <c r="H362">
        <v>5</v>
      </c>
      <c r="I362">
        <v>2023</v>
      </c>
      <c r="J362">
        <f t="shared" si="5"/>
        <v>25.5</v>
      </c>
    </row>
    <row r="363" spans="1:10" x14ac:dyDescent="0.3">
      <c r="A363">
        <v>878</v>
      </c>
      <c r="B363" s="351">
        <v>45074</v>
      </c>
      <c r="E363" s="338">
        <v>0</v>
      </c>
      <c r="G363">
        <v>22</v>
      </c>
      <c r="H363">
        <v>5</v>
      </c>
      <c r="I363">
        <v>2023</v>
      </c>
      <c r="J363">
        <f t="shared" si="5"/>
        <v>0</v>
      </c>
    </row>
    <row r="364" spans="1:10" x14ac:dyDescent="0.3">
      <c r="A364">
        <v>879</v>
      </c>
      <c r="B364" s="351">
        <v>45075</v>
      </c>
      <c r="E364" s="338">
        <v>0</v>
      </c>
      <c r="G364">
        <v>22</v>
      </c>
      <c r="H364">
        <v>5</v>
      </c>
      <c r="I364">
        <v>2023</v>
      </c>
      <c r="J364">
        <f t="shared" si="5"/>
        <v>0</v>
      </c>
    </row>
    <row r="365" spans="1:10" x14ac:dyDescent="0.3">
      <c r="A365">
        <v>880</v>
      </c>
      <c r="B365" s="351">
        <v>45076</v>
      </c>
      <c r="E365" s="338">
        <v>0</v>
      </c>
      <c r="G365">
        <v>22</v>
      </c>
      <c r="H365">
        <v>5</v>
      </c>
      <c r="I365">
        <v>2023</v>
      </c>
      <c r="J365">
        <f t="shared" si="5"/>
        <v>0</v>
      </c>
    </row>
    <row r="366" spans="1:10" s="362" customFormat="1" x14ac:dyDescent="0.3">
      <c r="A366" s="362">
        <v>881</v>
      </c>
      <c r="B366" s="364">
        <v>45077</v>
      </c>
      <c r="E366" s="338">
        <v>0</v>
      </c>
      <c r="G366" s="362">
        <v>22</v>
      </c>
      <c r="H366" s="362">
        <v>5</v>
      </c>
      <c r="I366" s="362">
        <v>2023</v>
      </c>
      <c r="J366">
        <f t="shared" si="5"/>
        <v>0</v>
      </c>
    </row>
    <row r="367" spans="1:10" x14ac:dyDescent="0.3">
      <c r="A367">
        <v>882</v>
      </c>
      <c r="B367" s="351">
        <v>45078</v>
      </c>
      <c r="E367" s="338">
        <v>0</v>
      </c>
      <c r="G367">
        <v>22</v>
      </c>
      <c r="H367">
        <v>6</v>
      </c>
      <c r="I367">
        <v>2023</v>
      </c>
      <c r="J367">
        <f t="shared" si="5"/>
        <v>0</v>
      </c>
    </row>
    <row r="368" spans="1:10" x14ac:dyDescent="0.3">
      <c r="A368">
        <v>883</v>
      </c>
      <c r="B368" s="351">
        <v>45079</v>
      </c>
      <c r="E368" s="338">
        <v>0</v>
      </c>
      <c r="G368">
        <v>22</v>
      </c>
      <c r="H368">
        <v>6</v>
      </c>
      <c r="I368">
        <v>2023</v>
      </c>
      <c r="J368">
        <f t="shared" si="5"/>
        <v>0</v>
      </c>
    </row>
    <row r="369" spans="1:10" x14ac:dyDescent="0.3">
      <c r="A369">
        <v>884</v>
      </c>
      <c r="B369" s="351">
        <v>45080</v>
      </c>
      <c r="E369" s="338">
        <v>0</v>
      </c>
      <c r="G369">
        <v>22</v>
      </c>
      <c r="H369">
        <v>6</v>
      </c>
      <c r="I369">
        <v>2023</v>
      </c>
      <c r="J369">
        <f t="shared" si="5"/>
        <v>0</v>
      </c>
    </row>
    <row r="370" spans="1:10" x14ac:dyDescent="0.3">
      <c r="A370">
        <v>885</v>
      </c>
      <c r="B370" s="351">
        <v>45081</v>
      </c>
      <c r="E370" s="338">
        <v>0</v>
      </c>
      <c r="G370">
        <v>23</v>
      </c>
      <c r="H370">
        <v>6</v>
      </c>
      <c r="I370">
        <v>2023</v>
      </c>
      <c r="J370">
        <f t="shared" si="5"/>
        <v>0</v>
      </c>
    </row>
    <row r="371" spans="1:10" x14ac:dyDescent="0.3">
      <c r="A371">
        <v>886</v>
      </c>
      <c r="B371" s="351">
        <v>45082</v>
      </c>
      <c r="E371" s="338">
        <v>0</v>
      </c>
      <c r="G371">
        <v>23</v>
      </c>
      <c r="H371">
        <v>6</v>
      </c>
      <c r="I371">
        <v>2023</v>
      </c>
      <c r="J371">
        <f t="shared" si="5"/>
        <v>0</v>
      </c>
    </row>
    <row r="372" spans="1:10" x14ac:dyDescent="0.3">
      <c r="A372">
        <v>887</v>
      </c>
      <c r="B372" s="351">
        <v>45083</v>
      </c>
      <c r="E372" s="338">
        <v>9.5</v>
      </c>
      <c r="G372">
        <v>23</v>
      </c>
      <c r="H372">
        <v>6</v>
      </c>
      <c r="I372">
        <v>2023</v>
      </c>
      <c r="J372">
        <f t="shared" si="5"/>
        <v>9.5</v>
      </c>
    </row>
    <row r="373" spans="1:10" x14ac:dyDescent="0.3">
      <c r="A373">
        <v>888</v>
      </c>
      <c r="B373" s="351">
        <v>45084</v>
      </c>
      <c r="E373" s="338">
        <v>0</v>
      </c>
      <c r="G373">
        <v>23</v>
      </c>
      <c r="H373">
        <v>6</v>
      </c>
      <c r="I373">
        <v>2023</v>
      </c>
      <c r="J373">
        <f t="shared" si="5"/>
        <v>0</v>
      </c>
    </row>
    <row r="374" spans="1:10" x14ac:dyDescent="0.3">
      <c r="A374">
        <v>889</v>
      </c>
      <c r="B374" s="351">
        <v>45085</v>
      </c>
      <c r="E374" s="338">
        <v>0</v>
      </c>
      <c r="G374">
        <v>23</v>
      </c>
      <c r="H374">
        <v>6</v>
      </c>
      <c r="I374">
        <v>2023</v>
      </c>
      <c r="J374">
        <f t="shared" si="5"/>
        <v>0</v>
      </c>
    </row>
    <row r="375" spans="1:10" x14ac:dyDescent="0.3">
      <c r="A375">
        <v>890</v>
      </c>
      <c r="B375" s="351">
        <v>45086</v>
      </c>
      <c r="E375" s="338">
        <v>0</v>
      </c>
      <c r="G375">
        <v>23</v>
      </c>
      <c r="H375">
        <v>6</v>
      </c>
      <c r="I375">
        <v>2023</v>
      </c>
      <c r="J375">
        <f t="shared" si="5"/>
        <v>0</v>
      </c>
    </row>
    <row r="376" spans="1:10" x14ac:dyDescent="0.3">
      <c r="A376">
        <v>891</v>
      </c>
      <c r="B376" s="351">
        <v>45087</v>
      </c>
      <c r="E376" s="338">
        <v>0</v>
      </c>
      <c r="G376">
        <v>23</v>
      </c>
      <c r="H376">
        <v>6</v>
      </c>
      <c r="I376">
        <v>2023</v>
      </c>
      <c r="J376">
        <f t="shared" si="5"/>
        <v>0</v>
      </c>
    </row>
    <row r="377" spans="1:10" x14ac:dyDescent="0.3">
      <c r="A377">
        <v>892</v>
      </c>
      <c r="B377" s="351">
        <v>45088</v>
      </c>
      <c r="E377" s="338">
        <v>4.5</v>
      </c>
      <c r="G377">
        <v>24</v>
      </c>
      <c r="H377">
        <v>6</v>
      </c>
      <c r="I377">
        <v>2023</v>
      </c>
      <c r="J377">
        <f t="shared" si="5"/>
        <v>4.5</v>
      </c>
    </row>
    <row r="378" spans="1:10" x14ac:dyDescent="0.3">
      <c r="A378">
        <v>893</v>
      </c>
      <c r="B378" s="351">
        <v>45089</v>
      </c>
      <c r="E378" s="338">
        <v>4.5</v>
      </c>
      <c r="G378">
        <v>24</v>
      </c>
      <c r="H378">
        <v>6</v>
      </c>
      <c r="I378">
        <v>2023</v>
      </c>
      <c r="J378">
        <f t="shared" si="5"/>
        <v>4.5</v>
      </c>
    </row>
    <row r="379" spans="1:10" x14ac:dyDescent="0.3">
      <c r="A379">
        <v>894</v>
      </c>
      <c r="B379" s="351">
        <v>45090</v>
      </c>
      <c r="E379" s="338">
        <v>12</v>
      </c>
      <c r="G379">
        <v>24</v>
      </c>
      <c r="H379">
        <v>6</v>
      </c>
      <c r="I379">
        <v>2023</v>
      </c>
      <c r="J379">
        <f t="shared" si="5"/>
        <v>12</v>
      </c>
    </row>
    <row r="380" spans="1:10" x14ac:dyDescent="0.3">
      <c r="A380">
        <v>895</v>
      </c>
      <c r="B380" s="351">
        <v>45091</v>
      </c>
      <c r="E380" s="338">
        <v>0</v>
      </c>
      <c r="G380">
        <v>24</v>
      </c>
      <c r="H380">
        <v>6</v>
      </c>
      <c r="I380">
        <v>2023</v>
      </c>
      <c r="J380">
        <f t="shared" si="5"/>
        <v>0</v>
      </c>
    </row>
    <row r="381" spans="1:10" x14ac:dyDescent="0.3">
      <c r="A381">
        <v>896</v>
      </c>
      <c r="B381" s="351">
        <v>45092</v>
      </c>
      <c r="E381" s="338">
        <v>11</v>
      </c>
      <c r="G381">
        <v>24</v>
      </c>
      <c r="H381">
        <v>6</v>
      </c>
      <c r="I381">
        <v>2023</v>
      </c>
      <c r="J381">
        <f t="shared" si="5"/>
        <v>11</v>
      </c>
    </row>
    <row r="382" spans="1:10" x14ac:dyDescent="0.3">
      <c r="A382">
        <v>897</v>
      </c>
      <c r="B382" s="351">
        <v>45093</v>
      </c>
      <c r="E382" s="338">
        <v>93</v>
      </c>
      <c r="G382">
        <v>24</v>
      </c>
      <c r="H382">
        <v>6</v>
      </c>
      <c r="I382">
        <v>2023</v>
      </c>
      <c r="J382">
        <f t="shared" si="5"/>
        <v>93</v>
      </c>
    </row>
    <row r="383" spans="1:10" x14ac:dyDescent="0.3">
      <c r="A383">
        <v>898</v>
      </c>
      <c r="B383" s="351">
        <v>45094</v>
      </c>
      <c r="E383" s="338">
        <v>1</v>
      </c>
      <c r="G383">
        <v>24</v>
      </c>
      <c r="H383">
        <v>6</v>
      </c>
      <c r="I383">
        <v>2023</v>
      </c>
      <c r="J383">
        <f t="shared" si="5"/>
        <v>1</v>
      </c>
    </row>
    <row r="384" spans="1:10" x14ac:dyDescent="0.3">
      <c r="A384">
        <v>899</v>
      </c>
      <c r="B384" s="351">
        <v>45095</v>
      </c>
      <c r="E384" s="338">
        <v>16.5</v>
      </c>
      <c r="G384">
        <v>25</v>
      </c>
      <c r="H384">
        <v>6</v>
      </c>
      <c r="I384">
        <v>2023</v>
      </c>
      <c r="J384">
        <f t="shared" si="5"/>
        <v>16.5</v>
      </c>
    </row>
    <row r="385" spans="1:10" x14ac:dyDescent="0.3">
      <c r="A385">
        <v>900</v>
      </c>
      <c r="B385" s="351">
        <v>45096</v>
      </c>
      <c r="E385" s="338">
        <v>2</v>
      </c>
      <c r="G385">
        <v>25</v>
      </c>
      <c r="H385">
        <v>6</v>
      </c>
      <c r="I385">
        <v>2023</v>
      </c>
      <c r="J385">
        <f t="shared" si="5"/>
        <v>2</v>
      </c>
    </row>
    <row r="386" spans="1:10" x14ac:dyDescent="0.3">
      <c r="A386">
        <v>901</v>
      </c>
      <c r="B386" s="351">
        <v>45097</v>
      </c>
      <c r="E386" s="338">
        <v>11.5</v>
      </c>
      <c r="G386">
        <v>25</v>
      </c>
      <c r="H386">
        <v>6</v>
      </c>
      <c r="I386">
        <v>2023</v>
      </c>
      <c r="J386">
        <f t="shared" si="5"/>
        <v>11.5</v>
      </c>
    </row>
    <row r="387" spans="1:10" x14ac:dyDescent="0.3">
      <c r="A387">
        <v>902</v>
      </c>
      <c r="B387" s="351">
        <v>45098</v>
      </c>
      <c r="E387" s="338">
        <v>1.5</v>
      </c>
      <c r="G387">
        <v>25</v>
      </c>
      <c r="H387">
        <v>6</v>
      </c>
      <c r="I387">
        <v>2023</v>
      </c>
      <c r="J387">
        <f t="shared" ref="J387:J450" si="6">MAX(C387:F387)</f>
        <v>1.5</v>
      </c>
    </row>
    <row r="388" spans="1:10" x14ac:dyDescent="0.3">
      <c r="A388">
        <v>903</v>
      </c>
      <c r="B388" s="351">
        <v>45099</v>
      </c>
      <c r="E388" s="338">
        <v>0</v>
      </c>
      <c r="G388">
        <v>25</v>
      </c>
      <c r="H388">
        <v>6</v>
      </c>
      <c r="I388">
        <v>2023</v>
      </c>
      <c r="J388">
        <f t="shared" si="6"/>
        <v>0</v>
      </c>
    </row>
    <row r="389" spans="1:10" x14ac:dyDescent="0.3">
      <c r="A389">
        <v>904</v>
      </c>
      <c r="B389" s="351">
        <v>45100</v>
      </c>
      <c r="E389" s="338">
        <v>3</v>
      </c>
      <c r="G389">
        <v>25</v>
      </c>
      <c r="H389">
        <v>6</v>
      </c>
      <c r="I389">
        <v>2023</v>
      </c>
      <c r="J389">
        <f t="shared" si="6"/>
        <v>3</v>
      </c>
    </row>
    <row r="390" spans="1:10" x14ac:dyDescent="0.3">
      <c r="A390">
        <v>905</v>
      </c>
      <c r="B390" s="352">
        <v>45101</v>
      </c>
      <c r="E390" s="338">
        <v>0</v>
      </c>
      <c r="G390">
        <v>25</v>
      </c>
      <c r="H390">
        <v>6</v>
      </c>
      <c r="I390">
        <v>2023</v>
      </c>
      <c r="J390">
        <f t="shared" si="6"/>
        <v>0</v>
      </c>
    </row>
    <row r="391" spans="1:10" x14ac:dyDescent="0.3">
      <c r="A391">
        <v>906</v>
      </c>
      <c r="B391" s="352">
        <v>45102</v>
      </c>
      <c r="E391" s="338">
        <v>0</v>
      </c>
      <c r="G391">
        <v>26</v>
      </c>
      <c r="H391">
        <v>6</v>
      </c>
      <c r="I391">
        <v>2023</v>
      </c>
      <c r="J391">
        <f t="shared" si="6"/>
        <v>0</v>
      </c>
    </row>
    <row r="392" spans="1:10" x14ac:dyDescent="0.3">
      <c r="A392">
        <v>907</v>
      </c>
      <c r="B392" s="352">
        <v>45103</v>
      </c>
      <c r="E392" s="338">
        <v>0</v>
      </c>
      <c r="G392">
        <v>26</v>
      </c>
      <c r="H392">
        <v>6</v>
      </c>
      <c r="I392">
        <v>2023</v>
      </c>
      <c r="J392">
        <f t="shared" si="6"/>
        <v>0</v>
      </c>
    </row>
    <row r="393" spans="1:10" x14ac:dyDescent="0.3">
      <c r="A393">
        <v>908</v>
      </c>
      <c r="B393" s="352">
        <v>45104</v>
      </c>
      <c r="E393" s="338">
        <v>0</v>
      </c>
      <c r="G393">
        <v>26</v>
      </c>
      <c r="H393">
        <v>6</v>
      </c>
      <c r="I393">
        <v>2023</v>
      </c>
      <c r="J393">
        <f t="shared" si="6"/>
        <v>0</v>
      </c>
    </row>
    <row r="394" spans="1:10" x14ac:dyDescent="0.3">
      <c r="A394">
        <v>909</v>
      </c>
      <c r="B394" s="352">
        <v>45105</v>
      </c>
      <c r="E394" s="338">
        <v>5.5</v>
      </c>
      <c r="G394">
        <v>26</v>
      </c>
      <c r="H394">
        <v>6</v>
      </c>
      <c r="I394">
        <v>2023</v>
      </c>
      <c r="J394">
        <f t="shared" si="6"/>
        <v>5.5</v>
      </c>
    </row>
    <row r="395" spans="1:10" x14ac:dyDescent="0.3">
      <c r="A395">
        <v>910</v>
      </c>
      <c r="B395" s="352">
        <v>45106</v>
      </c>
      <c r="E395" s="338">
        <v>8</v>
      </c>
      <c r="G395">
        <v>26</v>
      </c>
      <c r="H395">
        <v>6</v>
      </c>
      <c r="I395">
        <v>2023</v>
      </c>
      <c r="J395">
        <f t="shared" si="6"/>
        <v>8</v>
      </c>
    </row>
    <row r="396" spans="1:10" s="362" customFormat="1" x14ac:dyDescent="0.3">
      <c r="A396" s="362">
        <v>911</v>
      </c>
      <c r="B396" s="365">
        <v>45107</v>
      </c>
      <c r="E396" s="338">
        <v>0</v>
      </c>
      <c r="G396" s="362">
        <v>26</v>
      </c>
      <c r="H396" s="362">
        <v>6</v>
      </c>
      <c r="I396" s="362">
        <v>2023</v>
      </c>
      <c r="J396">
        <f t="shared" si="6"/>
        <v>0</v>
      </c>
    </row>
    <row r="397" spans="1:10" x14ac:dyDescent="0.3">
      <c r="A397">
        <v>912</v>
      </c>
      <c r="B397" s="352">
        <v>45108</v>
      </c>
      <c r="E397" s="338">
        <v>0</v>
      </c>
      <c r="G397">
        <v>26</v>
      </c>
      <c r="H397">
        <v>7</v>
      </c>
      <c r="I397">
        <v>2023</v>
      </c>
      <c r="J397">
        <f t="shared" si="6"/>
        <v>0</v>
      </c>
    </row>
    <row r="398" spans="1:10" x14ac:dyDescent="0.3">
      <c r="A398">
        <v>913</v>
      </c>
      <c r="B398" s="352">
        <v>45109</v>
      </c>
      <c r="E398" s="338">
        <v>0</v>
      </c>
      <c r="G398">
        <v>27</v>
      </c>
      <c r="H398">
        <v>7</v>
      </c>
      <c r="I398">
        <v>2023</v>
      </c>
      <c r="J398">
        <f t="shared" si="6"/>
        <v>0</v>
      </c>
    </row>
    <row r="399" spans="1:10" x14ac:dyDescent="0.3">
      <c r="A399">
        <v>914</v>
      </c>
      <c r="B399" s="352">
        <v>45110</v>
      </c>
      <c r="E399" s="338">
        <v>0</v>
      </c>
      <c r="G399">
        <v>27</v>
      </c>
      <c r="H399">
        <v>7</v>
      </c>
      <c r="I399">
        <v>2023</v>
      </c>
      <c r="J399">
        <f t="shared" si="6"/>
        <v>0</v>
      </c>
    </row>
    <row r="400" spans="1:10" x14ac:dyDescent="0.3">
      <c r="A400">
        <v>915</v>
      </c>
      <c r="B400" s="352">
        <v>45111</v>
      </c>
      <c r="E400" s="338">
        <v>0</v>
      </c>
      <c r="G400">
        <v>27</v>
      </c>
      <c r="H400">
        <v>7</v>
      </c>
      <c r="I400">
        <v>2023</v>
      </c>
      <c r="J400">
        <f t="shared" si="6"/>
        <v>0</v>
      </c>
    </row>
    <row r="401" spans="1:10" x14ac:dyDescent="0.3">
      <c r="A401">
        <v>916</v>
      </c>
      <c r="B401" s="352">
        <v>45112</v>
      </c>
      <c r="E401" s="338">
        <v>0</v>
      </c>
      <c r="G401">
        <v>27</v>
      </c>
      <c r="H401">
        <v>7</v>
      </c>
      <c r="I401">
        <v>2023</v>
      </c>
      <c r="J401">
        <f t="shared" si="6"/>
        <v>0</v>
      </c>
    </row>
    <row r="402" spans="1:10" x14ac:dyDescent="0.3">
      <c r="A402">
        <v>917</v>
      </c>
      <c r="B402" s="352">
        <v>45113</v>
      </c>
      <c r="E402" s="338">
        <v>6</v>
      </c>
      <c r="G402">
        <v>27</v>
      </c>
      <c r="H402">
        <v>7</v>
      </c>
      <c r="I402">
        <v>2023</v>
      </c>
      <c r="J402">
        <f t="shared" si="6"/>
        <v>6</v>
      </c>
    </row>
    <row r="403" spans="1:10" x14ac:dyDescent="0.3">
      <c r="A403">
        <v>918</v>
      </c>
      <c r="B403" s="352">
        <v>45114</v>
      </c>
      <c r="E403" s="338">
        <v>0</v>
      </c>
      <c r="G403">
        <v>27</v>
      </c>
      <c r="H403">
        <v>7</v>
      </c>
      <c r="I403">
        <v>2023</v>
      </c>
      <c r="J403">
        <f t="shared" si="6"/>
        <v>0</v>
      </c>
    </row>
    <row r="404" spans="1:10" x14ac:dyDescent="0.3">
      <c r="A404">
        <v>919</v>
      </c>
      <c r="B404" s="352">
        <v>45115</v>
      </c>
      <c r="E404" s="338">
        <v>10.5</v>
      </c>
      <c r="G404">
        <v>27</v>
      </c>
      <c r="H404">
        <v>7</v>
      </c>
      <c r="I404">
        <v>2023</v>
      </c>
      <c r="J404">
        <f t="shared" si="6"/>
        <v>10.5</v>
      </c>
    </row>
    <row r="405" spans="1:10" x14ac:dyDescent="0.3">
      <c r="A405">
        <v>920</v>
      </c>
      <c r="B405" s="352">
        <v>45116</v>
      </c>
      <c r="E405" s="338">
        <v>74</v>
      </c>
      <c r="G405">
        <v>28</v>
      </c>
      <c r="H405">
        <v>7</v>
      </c>
      <c r="I405">
        <v>2023</v>
      </c>
      <c r="J405">
        <f t="shared" si="6"/>
        <v>74</v>
      </c>
    </row>
    <row r="406" spans="1:10" x14ac:dyDescent="0.3">
      <c r="A406">
        <v>921</v>
      </c>
      <c r="B406" s="352">
        <v>45117</v>
      </c>
      <c r="E406" s="338">
        <v>100</v>
      </c>
      <c r="G406">
        <v>28</v>
      </c>
      <c r="H406">
        <v>7</v>
      </c>
      <c r="I406">
        <v>2023</v>
      </c>
      <c r="J406">
        <f t="shared" si="6"/>
        <v>100</v>
      </c>
    </row>
    <row r="407" spans="1:10" x14ac:dyDescent="0.3">
      <c r="A407">
        <v>922</v>
      </c>
      <c r="B407" s="352">
        <v>45118</v>
      </c>
      <c r="E407" s="338">
        <v>2.5</v>
      </c>
      <c r="G407">
        <v>28</v>
      </c>
      <c r="H407">
        <v>7</v>
      </c>
      <c r="I407">
        <v>2023</v>
      </c>
      <c r="J407">
        <f t="shared" si="6"/>
        <v>2.5</v>
      </c>
    </row>
    <row r="408" spans="1:10" x14ac:dyDescent="0.3">
      <c r="A408">
        <v>923</v>
      </c>
      <c r="B408" s="352">
        <v>45119</v>
      </c>
      <c r="E408" s="338">
        <v>1</v>
      </c>
      <c r="G408">
        <v>28</v>
      </c>
      <c r="H408">
        <v>7</v>
      </c>
      <c r="I408">
        <v>2023</v>
      </c>
      <c r="J408">
        <f t="shared" si="6"/>
        <v>1</v>
      </c>
    </row>
    <row r="409" spans="1:10" x14ac:dyDescent="0.3">
      <c r="A409">
        <v>924</v>
      </c>
      <c r="B409" s="352">
        <v>45120</v>
      </c>
      <c r="E409" s="338">
        <v>18</v>
      </c>
      <c r="G409">
        <v>28</v>
      </c>
      <c r="H409">
        <v>7</v>
      </c>
      <c r="I409">
        <v>2023</v>
      </c>
      <c r="J409">
        <f t="shared" si="6"/>
        <v>18</v>
      </c>
    </row>
    <row r="410" spans="1:10" x14ac:dyDescent="0.3">
      <c r="A410">
        <v>925</v>
      </c>
      <c r="B410" s="352">
        <v>45121</v>
      </c>
      <c r="E410" s="338">
        <v>20</v>
      </c>
      <c r="G410">
        <v>28</v>
      </c>
      <c r="H410">
        <v>7</v>
      </c>
      <c r="I410">
        <v>2023</v>
      </c>
      <c r="J410">
        <f t="shared" si="6"/>
        <v>20</v>
      </c>
    </row>
    <row r="411" spans="1:10" x14ac:dyDescent="0.3">
      <c r="A411">
        <v>926</v>
      </c>
      <c r="B411" s="352">
        <v>45122</v>
      </c>
      <c r="E411" s="338">
        <v>49</v>
      </c>
      <c r="G411">
        <v>28</v>
      </c>
      <c r="H411">
        <v>7</v>
      </c>
      <c r="I411">
        <v>2023</v>
      </c>
      <c r="J411">
        <f t="shared" si="6"/>
        <v>49</v>
      </c>
    </row>
    <row r="412" spans="1:10" x14ac:dyDescent="0.3">
      <c r="A412">
        <v>927</v>
      </c>
      <c r="B412" s="352">
        <v>45123</v>
      </c>
      <c r="E412" s="338">
        <v>4</v>
      </c>
      <c r="G412">
        <v>29</v>
      </c>
      <c r="H412">
        <v>7</v>
      </c>
      <c r="I412">
        <v>2023</v>
      </c>
      <c r="J412">
        <f t="shared" si="6"/>
        <v>4</v>
      </c>
    </row>
    <row r="413" spans="1:10" x14ac:dyDescent="0.3">
      <c r="A413">
        <v>928</v>
      </c>
      <c r="B413" s="352">
        <v>45124</v>
      </c>
      <c r="E413" s="338">
        <v>10.5</v>
      </c>
      <c r="G413">
        <v>29</v>
      </c>
      <c r="H413">
        <v>7</v>
      </c>
      <c r="I413">
        <v>2023</v>
      </c>
      <c r="J413">
        <f t="shared" si="6"/>
        <v>10.5</v>
      </c>
    </row>
    <row r="414" spans="1:10" x14ac:dyDescent="0.3">
      <c r="A414">
        <v>929</v>
      </c>
      <c r="B414" s="352">
        <v>45125</v>
      </c>
      <c r="E414" s="338">
        <v>1.5</v>
      </c>
      <c r="G414">
        <v>29</v>
      </c>
      <c r="H414">
        <v>7</v>
      </c>
      <c r="I414">
        <v>2023</v>
      </c>
      <c r="J414">
        <f t="shared" si="6"/>
        <v>1.5</v>
      </c>
    </row>
    <row r="415" spans="1:10" x14ac:dyDescent="0.3">
      <c r="A415">
        <v>930</v>
      </c>
      <c r="B415" s="352">
        <v>45126</v>
      </c>
      <c r="E415" s="338">
        <v>5.5</v>
      </c>
      <c r="G415">
        <v>29</v>
      </c>
      <c r="H415">
        <v>7</v>
      </c>
      <c r="I415">
        <v>2023</v>
      </c>
      <c r="J415">
        <f t="shared" si="6"/>
        <v>5.5</v>
      </c>
    </row>
    <row r="416" spans="1:10" x14ac:dyDescent="0.3">
      <c r="A416">
        <v>931</v>
      </c>
      <c r="B416" s="352">
        <v>45127</v>
      </c>
      <c r="E416" s="338">
        <v>7</v>
      </c>
      <c r="G416">
        <v>29</v>
      </c>
      <c r="H416">
        <v>7</v>
      </c>
      <c r="I416">
        <v>2023</v>
      </c>
      <c r="J416">
        <f t="shared" si="6"/>
        <v>7</v>
      </c>
    </row>
    <row r="417" spans="1:10" x14ac:dyDescent="0.3">
      <c r="A417">
        <v>932</v>
      </c>
      <c r="B417" s="352">
        <v>45128</v>
      </c>
      <c r="E417" s="338">
        <v>11.5</v>
      </c>
      <c r="G417">
        <v>29</v>
      </c>
      <c r="H417">
        <v>7</v>
      </c>
      <c r="I417">
        <v>2023</v>
      </c>
      <c r="J417">
        <f t="shared" si="6"/>
        <v>11.5</v>
      </c>
    </row>
    <row r="418" spans="1:10" x14ac:dyDescent="0.3">
      <c r="A418">
        <v>933</v>
      </c>
      <c r="B418" s="352">
        <v>45129</v>
      </c>
      <c r="E418" s="338">
        <v>3.5</v>
      </c>
      <c r="G418">
        <v>29</v>
      </c>
      <c r="H418">
        <v>7</v>
      </c>
      <c r="I418">
        <v>2023</v>
      </c>
      <c r="J418">
        <f t="shared" si="6"/>
        <v>3.5</v>
      </c>
    </row>
    <row r="419" spans="1:10" x14ac:dyDescent="0.3">
      <c r="A419">
        <v>934</v>
      </c>
      <c r="B419" s="352">
        <v>45130</v>
      </c>
      <c r="E419" s="338">
        <v>0.5</v>
      </c>
      <c r="G419">
        <v>30</v>
      </c>
      <c r="H419">
        <v>7</v>
      </c>
      <c r="I419">
        <v>2023</v>
      </c>
      <c r="J419">
        <f t="shared" si="6"/>
        <v>0.5</v>
      </c>
    </row>
    <row r="420" spans="1:10" x14ac:dyDescent="0.3">
      <c r="A420">
        <v>935</v>
      </c>
      <c r="B420" s="352">
        <v>45131</v>
      </c>
      <c r="E420" s="338">
        <v>2.5</v>
      </c>
      <c r="G420">
        <v>30</v>
      </c>
      <c r="H420">
        <v>7</v>
      </c>
      <c r="I420">
        <v>2023</v>
      </c>
      <c r="J420">
        <f t="shared" si="6"/>
        <v>2.5</v>
      </c>
    </row>
    <row r="421" spans="1:10" x14ac:dyDescent="0.3">
      <c r="A421">
        <v>936</v>
      </c>
      <c r="B421" s="352">
        <v>45132</v>
      </c>
      <c r="E421" s="338">
        <v>19</v>
      </c>
      <c r="G421">
        <v>30</v>
      </c>
      <c r="H421">
        <v>7</v>
      </c>
      <c r="I421">
        <v>2023</v>
      </c>
      <c r="J421">
        <f t="shared" si="6"/>
        <v>19</v>
      </c>
    </row>
    <row r="422" spans="1:10" x14ac:dyDescent="0.3">
      <c r="A422">
        <v>937</v>
      </c>
      <c r="B422" s="352">
        <v>45133</v>
      </c>
      <c r="E422" s="338">
        <v>2</v>
      </c>
      <c r="G422">
        <v>30</v>
      </c>
      <c r="H422">
        <v>7</v>
      </c>
      <c r="I422">
        <v>2023</v>
      </c>
      <c r="J422">
        <f t="shared" si="6"/>
        <v>2</v>
      </c>
    </row>
    <row r="423" spans="1:10" x14ac:dyDescent="0.3">
      <c r="A423">
        <v>938</v>
      </c>
      <c r="B423" s="352">
        <v>45134</v>
      </c>
      <c r="E423" s="338">
        <v>1</v>
      </c>
      <c r="G423">
        <v>30</v>
      </c>
      <c r="H423">
        <v>7</v>
      </c>
      <c r="I423">
        <v>2023</v>
      </c>
      <c r="J423">
        <f t="shared" si="6"/>
        <v>1</v>
      </c>
    </row>
    <row r="424" spans="1:10" x14ac:dyDescent="0.3">
      <c r="A424">
        <v>939</v>
      </c>
      <c r="B424" s="352">
        <v>45135</v>
      </c>
      <c r="E424" s="338">
        <v>0</v>
      </c>
      <c r="G424">
        <v>30</v>
      </c>
      <c r="H424">
        <v>7</v>
      </c>
      <c r="I424">
        <v>2023</v>
      </c>
      <c r="J424">
        <f t="shared" si="6"/>
        <v>0</v>
      </c>
    </row>
    <row r="425" spans="1:10" x14ac:dyDescent="0.3">
      <c r="A425">
        <v>940</v>
      </c>
      <c r="B425" s="352">
        <v>45136</v>
      </c>
      <c r="E425" s="338">
        <v>0</v>
      </c>
      <c r="G425">
        <v>30</v>
      </c>
      <c r="H425">
        <v>7</v>
      </c>
      <c r="I425">
        <v>2023</v>
      </c>
      <c r="J425">
        <f t="shared" si="6"/>
        <v>0</v>
      </c>
    </row>
    <row r="426" spans="1:10" x14ac:dyDescent="0.3">
      <c r="A426">
        <v>941</v>
      </c>
      <c r="B426" s="352">
        <v>45137</v>
      </c>
      <c r="E426" s="338">
        <v>0</v>
      </c>
      <c r="G426">
        <v>31</v>
      </c>
      <c r="H426">
        <v>7</v>
      </c>
      <c r="I426">
        <v>2023</v>
      </c>
      <c r="J426">
        <f t="shared" si="6"/>
        <v>0</v>
      </c>
    </row>
    <row r="427" spans="1:10" s="362" customFormat="1" x14ac:dyDescent="0.3">
      <c r="A427" s="362">
        <v>942</v>
      </c>
      <c r="B427" s="365">
        <v>45138</v>
      </c>
      <c r="E427" s="338">
        <v>2</v>
      </c>
      <c r="G427" s="362">
        <v>31</v>
      </c>
      <c r="H427" s="362">
        <v>7</v>
      </c>
      <c r="I427" s="362">
        <v>2023</v>
      </c>
      <c r="J427">
        <f t="shared" si="6"/>
        <v>2</v>
      </c>
    </row>
    <row r="428" spans="1:10" x14ac:dyDescent="0.3">
      <c r="A428">
        <v>943</v>
      </c>
      <c r="B428" s="352">
        <v>45139</v>
      </c>
      <c r="E428" s="338">
        <v>23</v>
      </c>
      <c r="G428">
        <v>31</v>
      </c>
      <c r="H428">
        <v>8</v>
      </c>
      <c r="I428">
        <v>2023</v>
      </c>
      <c r="J428">
        <f t="shared" si="6"/>
        <v>23</v>
      </c>
    </row>
    <row r="429" spans="1:10" x14ac:dyDescent="0.3">
      <c r="A429">
        <v>944</v>
      </c>
      <c r="B429" s="352">
        <v>45140</v>
      </c>
      <c r="E429" s="338">
        <v>7</v>
      </c>
      <c r="G429">
        <v>31</v>
      </c>
      <c r="H429">
        <v>8</v>
      </c>
      <c r="I429">
        <v>2023</v>
      </c>
      <c r="J429">
        <f t="shared" si="6"/>
        <v>7</v>
      </c>
    </row>
    <row r="430" spans="1:10" x14ac:dyDescent="0.3">
      <c r="A430">
        <v>945</v>
      </c>
      <c r="B430" s="352">
        <v>45141</v>
      </c>
      <c r="E430" s="338">
        <v>1</v>
      </c>
      <c r="G430">
        <v>31</v>
      </c>
      <c r="H430">
        <v>8</v>
      </c>
      <c r="I430">
        <v>2023</v>
      </c>
      <c r="J430">
        <f t="shared" si="6"/>
        <v>1</v>
      </c>
    </row>
    <row r="431" spans="1:10" x14ac:dyDescent="0.3">
      <c r="A431">
        <v>946</v>
      </c>
      <c r="B431" s="352">
        <v>45142</v>
      </c>
      <c r="E431" s="338">
        <v>0</v>
      </c>
      <c r="G431">
        <v>31</v>
      </c>
      <c r="H431">
        <v>8</v>
      </c>
      <c r="I431">
        <v>2023</v>
      </c>
      <c r="J431">
        <f t="shared" si="6"/>
        <v>0</v>
      </c>
    </row>
    <row r="432" spans="1:10" x14ac:dyDescent="0.3">
      <c r="A432">
        <v>947</v>
      </c>
      <c r="B432" s="352">
        <v>45143</v>
      </c>
      <c r="E432" s="338">
        <v>0</v>
      </c>
      <c r="G432">
        <v>31</v>
      </c>
      <c r="H432">
        <v>8</v>
      </c>
      <c r="I432">
        <v>2023</v>
      </c>
      <c r="J432">
        <f t="shared" si="6"/>
        <v>0</v>
      </c>
    </row>
    <row r="433" spans="1:10" x14ac:dyDescent="0.3">
      <c r="A433">
        <v>948</v>
      </c>
      <c r="B433" s="352">
        <v>45144</v>
      </c>
      <c r="E433" s="338">
        <v>6.5</v>
      </c>
      <c r="G433">
        <v>32</v>
      </c>
      <c r="H433">
        <v>8</v>
      </c>
      <c r="I433">
        <v>2023</v>
      </c>
      <c r="J433">
        <f t="shared" si="6"/>
        <v>6.5</v>
      </c>
    </row>
    <row r="434" spans="1:10" x14ac:dyDescent="0.3">
      <c r="A434">
        <v>949</v>
      </c>
      <c r="B434" s="352">
        <v>45145</v>
      </c>
      <c r="E434" s="338">
        <v>8</v>
      </c>
      <c r="G434">
        <v>32</v>
      </c>
      <c r="H434">
        <v>8</v>
      </c>
      <c r="I434">
        <v>2023</v>
      </c>
      <c r="J434">
        <f t="shared" si="6"/>
        <v>8</v>
      </c>
    </row>
    <row r="435" spans="1:10" x14ac:dyDescent="0.3">
      <c r="A435">
        <v>950</v>
      </c>
      <c r="B435" s="352">
        <v>45146</v>
      </c>
      <c r="E435" s="338">
        <v>0</v>
      </c>
      <c r="G435">
        <v>32</v>
      </c>
      <c r="H435">
        <v>8</v>
      </c>
      <c r="I435">
        <v>2023</v>
      </c>
      <c r="J435">
        <f t="shared" si="6"/>
        <v>0</v>
      </c>
    </row>
    <row r="436" spans="1:10" x14ac:dyDescent="0.3">
      <c r="A436">
        <v>951</v>
      </c>
      <c r="B436" s="352">
        <v>45147</v>
      </c>
      <c r="E436" s="338">
        <v>0</v>
      </c>
      <c r="G436">
        <v>32</v>
      </c>
      <c r="H436">
        <v>8</v>
      </c>
      <c r="I436">
        <v>2023</v>
      </c>
      <c r="J436">
        <f t="shared" si="6"/>
        <v>0</v>
      </c>
    </row>
    <row r="437" spans="1:10" x14ac:dyDescent="0.3">
      <c r="A437">
        <v>952</v>
      </c>
      <c r="B437" s="352">
        <v>45148</v>
      </c>
      <c r="E437" s="338">
        <v>9.5</v>
      </c>
      <c r="G437">
        <v>32</v>
      </c>
      <c r="H437">
        <v>8</v>
      </c>
      <c r="I437">
        <v>2023</v>
      </c>
      <c r="J437">
        <f t="shared" si="6"/>
        <v>9.5</v>
      </c>
    </row>
    <row r="438" spans="1:10" x14ac:dyDescent="0.3">
      <c r="A438">
        <v>953</v>
      </c>
      <c r="B438" s="352">
        <v>45149</v>
      </c>
      <c r="E438" s="338">
        <v>1</v>
      </c>
      <c r="G438">
        <v>32</v>
      </c>
      <c r="H438">
        <v>8</v>
      </c>
      <c r="I438">
        <v>2023</v>
      </c>
      <c r="J438">
        <f t="shared" si="6"/>
        <v>1</v>
      </c>
    </row>
    <row r="439" spans="1:10" x14ac:dyDescent="0.3">
      <c r="A439">
        <v>954</v>
      </c>
      <c r="B439" s="352">
        <v>45150</v>
      </c>
      <c r="E439" s="338">
        <v>0</v>
      </c>
      <c r="G439">
        <v>32</v>
      </c>
      <c r="H439">
        <v>8</v>
      </c>
      <c r="I439">
        <v>2023</v>
      </c>
      <c r="J439">
        <f t="shared" si="6"/>
        <v>0</v>
      </c>
    </row>
    <row r="440" spans="1:10" x14ac:dyDescent="0.3">
      <c r="A440">
        <v>955</v>
      </c>
      <c r="B440" s="352">
        <v>45151</v>
      </c>
      <c r="E440" s="338">
        <v>0</v>
      </c>
      <c r="G440">
        <v>33</v>
      </c>
      <c r="H440">
        <v>8</v>
      </c>
      <c r="I440">
        <v>2023</v>
      </c>
      <c r="J440">
        <f t="shared" si="6"/>
        <v>0</v>
      </c>
    </row>
    <row r="441" spans="1:10" x14ac:dyDescent="0.3">
      <c r="A441">
        <v>956</v>
      </c>
      <c r="B441" s="352">
        <v>45152</v>
      </c>
      <c r="E441" s="338">
        <v>4.5</v>
      </c>
      <c r="G441">
        <v>33</v>
      </c>
      <c r="H441">
        <v>8</v>
      </c>
      <c r="I441">
        <v>2023</v>
      </c>
      <c r="J441">
        <f t="shared" si="6"/>
        <v>4.5</v>
      </c>
    </row>
    <row r="442" spans="1:10" x14ac:dyDescent="0.3">
      <c r="A442">
        <v>957</v>
      </c>
      <c r="B442" s="352">
        <v>45153</v>
      </c>
      <c r="E442" s="338">
        <v>1.5</v>
      </c>
      <c r="G442">
        <v>33</v>
      </c>
      <c r="H442">
        <v>8</v>
      </c>
      <c r="I442">
        <v>2023</v>
      </c>
      <c r="J442">
        <f t="shared" si="6"/>
        <v>1.5</v>
      </c>
    </row>
    <row r="443" spans="1:10" x14ac:dyDescent="0.3">
      <c r="A443">
        <v>958</v>
      </c>
      <c r="B443" s="352">
        <v>45154</v>
      </c>
      <c r="E443" s="338">
        <v>0</v>
      </c>
      <c r="G443">
        <v>33</v>
      </c>
      <c r="H443">
        <v>8</v>
      </c>
      <c r="I443">
        <v>2023</v>
      </c>
      <c r="J443">
        <f t="shared" si="6"/>
        <v>0</v>
      </c>
    </row>
    <row r="444" spans="1:10" x14ac:dyDescent="0.3">
      <c r="A444">
        <v>959</v>
      </c>
      <c r="B444" s="352">
        <v>45155</v>
      </c>
      <c r="E444" s="338">
        <v>0</v>
      </c>
      <c r="G444">
        <v>33</v>
      </c>
      <c r="H444">
        <v>8</v>
      </c>
      <c r="I444">
        <v>2023</v>
      </c>
      <c r="J444">
        <f t="shared" si="6"/>
        <v>0</v>
      </c>
    </row>
    <row r="445" spans="1:10" x14ac:dyDescent="0.3">
      <c r="A445">
        <v>960</v>
      </c>
      <c r="B445" s="352">
        <v>45156</v>
      </c>
      <c r="E445" s="338">
        <v>7</v>
      </c>
      <c r="G445">
        <v>33</v>
      </c>
      <c r="H445">
        <v>8</v>
      </c>
      <c r="I445">
        <v>2023</v>
      </c>
      <c r="J445">
        <f t="shared" si="6"/>
        <v>7</v>
      </c>
    </row>
    <row r="446" spans="1:10" x14ac:dyDescent="0.3">
      <c r="A446">
        <v>961</v>
      </c>
      <c r="B446" s="352">
        <v>45157</v>
      </c>
      <c r="E446" s="338">
        <v>0</v>
      </c>
      <c r="G446">
        <v>33</v>
      </c>
      <c r="H446">
        <v>8</v>
      </c>
      <c r="I446">
        <v>2023</v>
      </c>
      <c r="J446">
        <f t="shared" si="6"/>
        <v>0</v>
      </c>
    </row>
    <row r="447" spans="1:10" x14ac:dyDescent="0.3">
      <c r="A447">
        <v>962</v>
      </c>
      <c r="B447" s="352">
        <v>45158</v>
      </c>
      <c r="E447" s="338">
        <v>0</v>
      </c>
      <c r="G447">
        <v>34</v>
      </c>
      <c r="H447">
        <v>8</v>
      </c>
      <c r="I447">
        <v>2023</v>
      </c>
      <c r="J447">
        <f t="shared" si="6"/>
        <v>0</v>
      </c>
    </row>
    <row r="448" spans="1:10" x14ac:dyDescent="0.3">
      <c r="A448">
        <v>963</v>
      </c>
      <c r="B448" s="352">
        <v>45159</v>
      </c>
      <c r="E448" s="338">
        <v>0</v>
      </c>
      <c r="G448">
        <v>34</v>
      </c>
      <c r="H448">
        <v>8</v>
      </c>
      <c r="I448">
        <v>2023</v>
      </c>
      <c r="J448">
        <f t="shared" si="6"/>
        <v>0</v>
      </c>
    </row>
    <row r="449" spans="1:10" x14ac:dyDescent="0.3">
      <c r="A449">
        <v>964</v>
      </c>
      <c r="B449" s="352">
        <v>45160</v>
      </c>
      <c r="E449" s="338">
        <v>0.5</v>
      </c>
      <c r="G449">
        <v>34</v>
      </c>
      <c r="H449">
        <v>8</v>
      </c>
      <c r="I449">
        <v>2023</v>
      </c>
      <c r="J449">
        <f t="shared" si="6"/>
        <v>0.5</v>
      </c>
    </row>
    <row r="450" spans="1:10" x14ac:dyDescent="0.3">
      <c r="A450">
        <v>965</v>
      </c>
      <c r="B450" s="352">
        <v>45161</v>
      </c>
      <c r="E450" s="338">
        <v>12</v>
      </c>
      <c r="G450">
        <v>34</v>
      </c>
      <c r="H450">
        <v>8</v>
      </c>
      <c r="I450">
        <v>2023</v>
      </c>
      <c r="J450">
        <f t="shared" si="6"/>
        <v>12</v>
      </c>
    </row>
    <row r="451" spans="1:10" x14ac:dyDescent="0.3">
      <c r="A451">
        <v>966</v>
      </c>
      <c r="B451" s="352">
        <v>45162</v>
      </c>
      <c r="E451" s="338">
        <v>2</v>
      </c>
      <c r="G451">
        <v>34</v>
      </c>
      <c r="H451">
        <v>8</v>
      </c>
      <c r="I451">
        <v>2023</v>
      </c>
      <c r="J451">
        <f t="shared" ref="J451:J514" si="7">MAX(C451:F451)</f>
        <v>2</v>
      </c>
    </row>
    <row r="452" spans="1:10" x14ac:dyDescent="0.3">
      <c r="A452">
        <v>967</v>
      </c>
      <c r="B452" s="352">
        <v>45163</v>
      </c>
      <c r="E452" s="338">
        <v>21.5</v>
      </c>
      <c r="G452">
        <v>34</v>
      </c>
      <c r="H452">
        <v>8</v>
      </c>
      <c r="I452">
        <v>2023</v>
      </c>
      <c r="J452">
        <f t="shared" si="7"/>
        <v>21.5</v>
      </c>
    </row>
    <row r="453" spans="1:10" x14ac:dyDescent="0.3">
      <c r="A453">
        <v>968</v>
      </c>
      <c r="B453" s="352">
        <v>45164</v>
      </c>
      <c r="E453" s="338">
        <v>56</v>
      </c>
      <c r="G453">
        <v>34</v>
      </c>
      <c r="H453">
        <v>8</v>
      </c>
      <c r="I453">
        <v>2023</v>
      </c>
      <c r="J453">
        <f t="shared" si="7"/>
        <v>56</v>
      </c>
    </row>
    <row r="454" spans="1:10" x14ac:dyDescent="0.3">
      <c r="A454">
        <v>969</v>
      </c>
      <c r="B454" s="352">
        <v>45165</v>
      </c>
      <c r="E454" s="338">
        <v>71</v>
      </c>
      <c r="G454">
        <v>35</v>
      </c>
      <c r="H454">
        <v>8</v>
      </c>
      <c r="I454">
        <v>2023</v>
      </c>
      <c r="J454">
        <f t="shared" si="7"/>
        <v>71</v>
      </c>
    </row>
    <row r="455" spans="1:10" x14ac:dyDescent="0.3">
      <c r="A455">
        <v>970</v>
      </c>
      <c r="B455" s="352">
        <v>45166</v>
      </c>
      <c r="E455" s="338">
        <v>2</v>
      </c>
      <c r="G455">
        <v>35</v>
      </c>
      <c r="H455">
        <v>8</v>
      </c>
      <c r="I455">
        <v>2023</v>
      </c>
      <c r="J455">
        <f t="shared" si="7"/>
        <v>2</v>
      </c>
    </row>
    <row r="456" spans="1:10" x14ac:dyDescent="0.3">
      <c r="A456">
        <v>971</v>
      </c>
      <c r="B456" s="352">
        <v>45167</v>
      </c>
      <c r="E456" s="338">
        <v>7</v>
      </c>
      <c r="G456">
        <v>35</v>
      </c>
      <c r="H456">
        <v>8</v>
      </c>
      <c r="I456">
        <v>2023</v>
      </c>
      <c r="J456">
        <f t="shared" si="7"/>
        <v>7</v>
      </c>
    </row>
    <row r="457" spans="1:10" x14ac:dyDescent="0.3">
      <c r="A457">
        <v>972</v>
      </c>
      <c r="B457" s="352">
        <v>45168</v>
      </c>
      <c r="E457" s="338">
        <v>0</v>
      </c>
      <c r="G457">
        <v>35</v>
      </c>
      <c r="H457">
        <v>8</v>
      </c>
      <c r="I457">
        <v>2023</v>
      </c>
      <c r="J457">
        <f t="shared" si="7"/>
        <v>0</v>
      </c>
    </row>
    <row r="458" spans="1:10" s="362" customFormat="1" x14ac:dyDescent="0.3">
      <c r="A458" s="362">
        <v>973</v>
      </c>
      <c r="B458" s="365">
        <v>45169</v>
      </c>
      <c r="E458" s="338">
        <v>0</v>
      </c>
      <c r="G458" s="362">
        <v>35</v>
      </c>
      <c r="H458" s="362">
        <v>8</v>
      </c>
      <c r="I458" s="362">
        <v>2023</v>
      </c>
      <c r="J458">
        <f t="shared" si="7"/>
        <v>0</v>
      </c>
    </row>
    <row r="459" spans="1:10" x14ac:dyDescent="0.3">
      <c r="A459">
        <v>974</v>
      </c>
      <c r="B459" s="352">
        <v>45170</v>
      </c>
      <c r="E459" s="338">
        <v>3.5</v>
      </c>
      <c r="G459">
        <v>35</v>
      </c>
      <c r="H459">
        <v>9</v>
      </c>
      <c r="I459">
        <v>2023</v>
      </c>
      <c r="J459">
        <f t="shared" si="7"/>
        <v>3.5</v>
      </c>
    </row>
    <row r="460" spans="1:10" x14ac:dyDescent="0.3">
      <c r="A460">
        <v>975</v>
      </c>
      <c r="B460" s="352">
        <v>45171</v>
      </c>
      <c r="E460" s="338">
        <v>0</v>
      </c>
      <c r="G460">
        <v>35</v>
      </c>
      <c r="H460">
        <v>9</v>
      </c>
      <c r="I460">
        <v>2023</v>
      </c>
      <c r="J460">
        <f t="shared" si="7"/>
        <v>0</v>
      </c>
    </row>
    <row r="461" spans="1:10" x14ac:dyDescent="0.3">
      <c r="A461">
        <v>976</v>
      </c>
      <c r="B461" s="352">
        <v>45172</v>
      </c>
      <c r="E461" s="338">
        <v>0</v>
      </c>
      <c r="G461">
        <v>36</v>
      </c>
      <c r="H461">
        <v>9</v>
      </c>
      <c r="I461">
        <v>2023</v>
      </c>
      <c r="J461">
        <f t="shared" si="7"/>
        <v>0</v>
      </c>
    </row>
    <row r="462" spans="1:10" x14ac:dyDescent="0.3">
      <c r="A462">
        <v>977</v>
      </c>
      <c r="B462" s="352">
        <v>45173</v>
      </c>
      <c r="E462" s="338">
        <v>0</v>
      </c>
      <c r="G462">
        <v>36</v>
      </c>
      <c r="H462">
        <v>9</v>
      </c>
      <c r="I462">
        <v>2023</v>
      </c>
      <c r="J462">
        <f t="shared" si="7"/>
        <v>0</v>
      </c>
    </row>
    <row r="463" spans="1:10" x14ac:dyDescent="0.3">
      <c r="A463">
        <v>978</v>
      </c>
      <c r="B463" s="352">
        <v>45174</v>
      </c>
      <c r="E463" s="338">
        <v>0.5</v>
      </c>
      <c r="G463">
        <v>36</v>
      </c>
      <c r="H463">
        <v>9</v>
      </c>
      <c r="I463">
        <v>2023</v>
      </c>
      <c r="J463">
        <f t="shared" si="7"/>
        <v>0.5</v>
      </c>
    </row>
    <row r="464" spans="1:10" x14ac:dyDescent="0.3">
      <c r="A464">
        <v>979</v>
      </c>
      <c r="B464" s="352">
        <v>45175</v>
      </c>
      <c r="E464" s="338">
        <v>0.5</v>
      </c>
      <c r="G464">
        <v>36</v>
      </c>
      <c r="H464">
        <v>9</v>
      </c>
      <c r="I464">
        <v>2023</v>
      </c>
      <c r="J464">
        <f t="shared" si="7"/>
        <v>0.5</v>
      </c>
    </row>
    <row r="465" spans="1:10" x14ac:dyDescent="0.3">
      <c r="A465">
        <v>980</v>
      </c>
      <c r="B465" s="352">
        <v>45176</v>
      </c>
      <c r="E465" s="338">
        <v>0.5</v>
      </c>
      <c r="G465">
        <v>36</v>
      </c>
      <c r="H465">
        <v>9</v>
      </c>
      <c r="I465">
        <v>2023</v>
      </c>
      <c r="J465">
        <f t="shared" si="7"/>
        <v>0.5</v>
      </c>
    </row>
    <row r="466" spans="1:10" x14ac:dyDescent="0.3">
      <c r="A466">
        <v>981</v>
      </c>
      <c r="B466" s="352">
        <v>45177</v>
      </c>
      <c r="E466" s="338">
        <v>0</v>
      </c>
      <c r="G466">
        <v>36</v>
      </c>
      <c r="H466">
        <v>9</v>
      </c>
      <c r="I466">
        <v>2023</v>
      </c>
      <c r="J466">
        <f t="shared" si="7"/>
        <v>0</v>
      </c>
    </row>
    <row r="467" spans="1:10" x14ac:dyDescent="0.3">
      <c r="A467">
        <v>982</v>
      </c>
      <c r="B467" s="352">
        <v>45178</v>
      </c>
      <c r="E467" s="338">
        <v>0</v>
      </c>
      <c r="G467">
        <v>36</v>
      </c>
      <c r="H467">
        <v>9</v>
      </c>
      <c r="I467">
        <v>2023</v>
      </c>
      <c r="J467">
        <f t="shared" si="7"/>
        <v>0</v>
      </c>
    </row>
    <row r="468" spans="1:10" x14ac:dyDescent="0.3">
      <c r="A468">
        <v>983</v>
      </c>
      <c r="B468" s="352">
        <v>45179</v>
      </c>
      <c r="E468" s="338">
        <v>12.5</v>
      </c>
      <c r="G468">
        <v>37</v>
      </c>
      <c r="H468">
        <v>9</v>
      </c>
      <c r="I468">
        <v>2023</v>
      </c>
      <c r="J468">
        <f t="shared" si="7"/>
        <v>12.5</v>
      </c>
    </row>
    <row r="469" spans="1:10" x14ac:dyDescent="0.3">
      <c r="A469">
        <v>984</v>
      </c>
      <c r="B469" s="352">
        <v>45180</v>
      </c>
      <c r="E469" s="338">
        <v>3.5</v>
      </c>
      <c r="G469">
        <v>37</v>
      </c>
      <c r="H469">
        <v>9</v>
      </c>
      <c r="I469">
        <v>2023</v>
      </c>
      <c r="J469">
        <f t="shared" si="7"/>
        <v>3.5</v>
      </c>
    </row>
    <row r="470" spans="1:10" x14ac:dyDescent="0.3">
      <c r="A470">
        <v>985</v>
      </c>
      <c r="B470" s="352">
        <v>45181</v>
      </c>
      <c r="E470" s="338">
        <v>25</v>
      </c>
      <c r="G470">
        <v>37</v>
      </c>
      <c r="H470">
        <v>9</v>
      </c>
      <c r="I470">
        <v>2023</v>
      </c>
      <c r="J470">
        <f t="shared" si="7"/>
        <v>25</v>
      </c>
    </row>
    <row r="471" spans="1:10" x14ac:dyDescent="0.3">
      <c r="A471">
        <v>986</v>
      </c>
      <c r="B471" s="352">
        <v>45182</v>
      </c>
      <c r="E471" s="338">
        <v>6.5</v>
      </c>
      <c r="G471">
        <v>37</v>
      </c>
      <c r="H471">
        <v>9</v>
      </c>
      <c r="I471">
        <v>2023</v>
      </c>
      <c r="J471">
        <f t="shared" si="7"/>
        <v>6.5</v>
      </c>
    </row>
    <row r="472" spans="1:10" x14ac:dyDescent="0.3">
      <c r="A472">
        <v>987</v>
      </c>
      <c r="B472" s="352">
        <v>45183</v>
      </c>
      <c r="E472" s="338">
        <v>3.5</v>
      </c>
      <c r="G472">
        <v>37</v>
      </c>
      <c r="H472">
        <v>9</v>
      </c>
      <c r="I472">
        <v>2023</v>
      </c>
      <c r="J472">
        <f t="shared" si="7"/>
        <v>3.5</v>
      </c>
    </row>
    <row r="473" spans="1:10" x14ac:dyDescent="0.3">
      <c r="A473">
        <v>988</v>
      </c>
      <c r="B473" s="352">
        <v>45184</v>
      </c>
      <c r="E473" s="338">
        <v>51</v>
      </c>
      <c r="G473">
        <v>37</v>
      </c>
      <c r="H473">
        <v>9</v>
      </c>
      <c r="I473">
        <v>2023</v>
      </c>
      <c r="J473">
        <f t="shared" si="7"/>
        <v>51</v>
      </c>
    </row>
    <row r="474" spans="1:10" x14ac:dyDescent="0.3">
      <c r="A474">
        <v>989</v>
      </c>
      <c r="B474" s="352">
        <v>45185</v>
      </c>
      <c r="E474" s="338">
        <v>17.5</v>
      </c>
      <c r="G474">
        <v>37</v>
      </c>
      <c r="H474">
        <v>9</v>
      </c>
      <c r="I474">
        <v>2023</v>
      </c>
      <c r="J474">
        <f t="shared" si="7"/>
        <v>17.5</v>
      </c>
    </row>
    <row r="475" spans="1:10" x14ac:dyDescent="0.3">
      <c r="A475">
        <v>990</v>
      </c>
      <c r="B475" s="352">
        <v>45186</v>
      </c>
      <c r="E475" s="338">
        <v>4.5</v>
      </c>
      <c r="G475">
        <v>38</v>
      </c>
      <c r="H475">
        <v>9</v>
      </c>
      <c r="I475">
        <v>2023</v>
      </c>
      <c r="J475">
        <f t="shared" si="7"/>
        <v>4.5</v>
      </c>
    </row>
    <row r="476" spans="1:10" x14ac:dyDescent="0.3">
      <c r="A476">
        <v>991</v>
      </c>
      <c r="B476" s="352">
        <v>45187</v>
      </c>
      <c r="E476" s="338">
        <v>4.5</v>
      </c>
      <c r="G476">
        <v>38</v>
      </c>
      <c r="H476">
        <v>9</v>
      </c>
      <c r="I476">
        <v>2023</v>
      </c>
      <c r="J476">
        <f t="shared" si="7"/>
        <v>4.5</v>
      </c>
    </row>
    <row r="477" spans="1:10" x14ac:dyDescent="0.3">
      <c r="A477">
        <v>992</v>
      </c>
      <c r="B477" s="352">
        <v>45188</v>
      </c>
      <c r="E477" s="338">
        <v>0</v>
      </c>
      <c r="G477">
        <v>38</v>
      </c>
      <c r="H477">
        <v>9</v>
      </c>
      <c r="I477">
        <v>2023</v>
      </c>
      <c r="J477">
        <f t="shared" si="7"/>
        <v>0</v>
      </c>
    </row>
    <row r="478" spans="1:10" x14ac:dyDescent="0.3">
      <c r="A478">
        <v>993</v>
      </c>
      <c r="B478" s="352">
        <v>45189</v>
      </c>
      <c r="E478" s="338">
        <v>0</v>
      </c>
      <c r="G478">
        <v>38</v>
      </c>
      <c r="H478">
        <v>9</v>
      </c>
      <c r="I478">
        <v>2023</v>
      </c>
      <c r="J478">
        <f t="shared" si="7"/>
        <v>0</v>
      </c>
    </row>
    <row r="479" spans="1:10" x14ac:dyDescent="0.3">
      <c r="A479">
        <v>994</v>
      </c>
      <c r="B479" s="352">
        <v>45190</v>
      </c>
      <c r="E479" s="338">
        <v>0</v>
      </c>
      <c r="G479">
        <v>38</v>
      </c>
      <c r="H479">
        <v>9</v>
      </c>
      <c r="I479">
        <v>2023</v>
      </c>
      <c r="J479">
        <f t="shared" si="7"/>
        <v>0</v>
      </c>
    </row>
    <row r="480" spans="1:10" x14ac:dyDescent="0.3">
      <c r="A480">
        <v>995</v>
      </c>
      <c r="B480" s="352">
        <v>45191</v>
      </c>
      <c r="E480" s="338">
        <v>0</v>
      </c>
      <c r="G480">
        <v>38</v>
      </c>
      <c r="H480">
        <v>9</v>
      </c>
      <c r="I480">
        <v>2023</v>
      </c>
      <c r="J480">
        <f t="shared" si="7"/>
        <v>0</v>
      </c>
    </row>
    <row r="481" spans="1:10" x14ac:dyDescent="0.3">
      <c r="A481">
        <v>996</v>
      </c>
      <c r="B481" s="352">
        <v>45192</v>
      </c>
      <c r="E481" s="338">
        <v>0</v>
      </c>
      <c r="G481">
        <v>38</v>
      </c>
      <c r="H481">
        <v>9</v>
      </c>
      <c r="I481">
        <v>2023</v>
      </c>
      <c r="J481">
        <f t="shared" si="7"/>
        <v>0</v>
      </c>
    </row>
    <row r="482" spans="1:10" x14ac:dyDescent="0.3">
      <c r="A482">
        <v>997</v>
      </c>
      <c r="B482" s="352">
        <v>45193</v>
      </c>
      <c r="E482" s="338">
        <v>0</v>
      </c>
      <c r="G482">
        <v>39</v>
      </c>
      <c r="H482">
        <v>9</v>
      </c>
      <c r="I482">
        <v>2023</v>
      </c>
      <c r="J482">
        <f t="shared" si="7"/>
        <v>0</v>
      </c>
    </row>
    <row r="483" spans="1:10" x14ac:dyDescent="0.3">
      <c r="A483">
        <v>998</v>
      </c>
      <c r="B483" s="352">
        <v>45194</v>
      </c>
      <c r="E483" s="338">
        <v>0</v>
      </c>
      <c r="G483">
        <v>39</v>
      </c>
      <c r="H483">
        <v>9</v>
      </c>
      <c r="I483">
        <v>2023</v>
      </c>
      <c r="J483">
        <f t="shared" si="7"/>
        <v>0</v>
      </c>
    </row>
    <row r="484" spans="1:10" x14ac:dyDescent="0.3">
      <c r="A484">
        <v>999</v>
      </c>
      <c r="B484" s="352">
        <v>45195</v>
      </c>
      <c r="E484" s="338">
        <v>0</v>
      </c>
      <c r="G484">
        <v>39</v>
      </c>
      <c r="H484">
        <v>9</v>
      </c>
      <c r="I484">
        <v>2023</v>
      </c>
      <c r="J484">
        <f t="shared" si="7"/>
        <v>0</v>
      </c>
    </row>
    <row r="485" spans="1:10" x14ac:dyDescent="0.3">
      <c r="A485">
        <v>1000</v>
      </c>
      <c r="B485" s="352">
        <v>45196</v>
      </c>
      <c r="E485" s="338">
        <v>0</v>
      </c>
      <c r="G485">
        <v>39</v>
      </c>
      <c r="H485">
        <v>9</v>
      </c>
      <c r="I485">
        <v>2023</v>
      </c>
      <c r="J485">
        <f t="shared" si="7"/>
        <v>0</v>
      </c>
    </row>
    <row r="486" spans="1:10" x14ac:dyDescent="0.3">
      <c r="A486">
        <v>1001</v>
      </c>
      <c r="B486" s="352">
        <v>45197</v>
      </c>
      <c r="E486" s="338">
        <v>0</v>
      </c>
      <c r="G486">
        <v>39</v>
      </c>
      <c r="H486">
        <v>9</v>
      </c>
      <c r="I486">
        <v>2023</v>
      </c>
      <c r="J486">
        <f t="shared" si="7"/>
        <v>0</v>
      </c>
    </row>
    <row r="487" spans="1:10" x14ac:dyDescent="0.3">
      <c r="A487">
        <v>1002</v>
      </c>
      <c r="B487" s="352">
        <v>45198</v>
      </c>
      <c r="E487" s="338">
        <v>0</v>
      </c>
      <c r="G487">
        <v>39</v>
      </c>
      <c r="H487">
        <v>9</v>
      </c>
      <c r="I487">
        <v>2023</v>
      </c>
      <c r="J487">
        <f t="shared" si="7"/>
        <v>0</v>
      </c>
    </row>
    <row r="488" spans="1:10" s="362" customFormat="1" x14ac:dyDescent="0.3">
      <c r="A488" s="362">
        <v>1003</v>
      </c>
      <c r="B488" s="365">
        <v>45199</v>
      </c>
      <c r="E488" s="338">
        <v>0</v>
      </c>
      <c r="G488" s="362">
        <v>39</v>
      </c>
      <c r="H488" s="362">
        <v>9</v>
      </c>
      <c r="I488" s="362">
        <v>2023</v>
      </c>
      <c r="J488">
        <f t="shared" si="7"/>
        <v>0</v>
      </c>
    </row>
    <row r="489" spans="1:10" x14ac:dyDescent="0.3">
      <c r="A489">
        <v>1004</v>
      </c>
      <c r="B489" s="352">
        <v>45200</v>
      </c>
      <c r="E489" s="338">
        <v>0</v>
      </c>
      <c r="G489">
        <v>40</v>
      </c>
      <c r="H489">
        <v>10</v>
      </c>
      <c r="I489">
        <v>2023</v>
      </c>
      <c r="J489">
        <f t="shared" si="7"/>
        <v>0</v>
      </c>
    </row>
    <row r="490" spans="1:10" x14ac:dyDescent="0.3">
      <c r="A490">
        <v>1005</v>
      </c>
      <c r="B490" s="352">
        <v>45201</v>
      </c>
      <c r="E490" s="338">
        <v>0</v>
      </c>
      <c r="G490">
        <v>40</v>
      </c>
      <c r="H490">
        <v>10</v>
      </c>
      <c r="I490">
        <v>2023</v>
      </c>
      <c r="J490">
        <f t="shared" si="7"/>
        <v>0</v>
      </c>
    </row>
    <row r="491" spans="1:10" x14ac:dyDescent="0.3">
      <c r="A491">
        <v>1006</v>
      </c>
      <c r="B491" s="352">
        <v>45202</v>
      </c>
      <c r="E491" s="338">
        <v>0</v>
      </c>
      <c r="G491">
        <v>40</v>
      </c>
      <c r="H491">
        <v>10</v>
      </c>
      <c r="I491">
        <v>2023</v>
      </c>
      <c r="J491">
        <f t="shared" si="7"/>
        <v>0</v>
      </c>
    </row>
    <row r="492" spans="1:10" x14ac:dyDescent="0.3">
      <c r="A492">
        <v>1007</v>
      </c>
      <c r="B492" s="352">
        <v>45203</v>
      </c>
      <c r="E492" s="338">
        <v>0</v>
      </c>
      <c r="G492">
        <v>40</v>
      </c>
      <c r="H492">
        <v>10</v>
      </c>
      <c r="I492">
        <v>2023</v>
      </c>
      <c r="J492">
        <f t="shared" si="7"/>
        <v>0</v>
      </c>
    </row>
    <row r="493" spans="1:10" x14ac:dyDescent="0.3">
      <c r="A493">
        <v>1008</v>
      </c>
      <c r="B493" s="352">
        <v>45204</v>
      </c>
      <c r="E493" s="338">
        <v>0</v>
      </c>
      <c r="G493">
        <v>40</v>
      </c>
      <c r="H493">
        <v>10</v>
      </c>
      <c r="I493">
        <v>2023</v>
      </c>
      <c r="J493">
        <f t="shared" si="7"/>
        <v>0</v>
      </c>
    </row>
    <row r="494" spans="1:10" x14ac:dyDescent="0.3">
      <c r="A494">
        <v>1009</v>
      </c>
      <c r="B494" s="352">
        <v>45205</v>
      </c>
      <c r="E494" s="338">
        <v>0</v>
      </c>
      <c r="G494">
        <v>40</v>
      </c>
      <c r="H494">
        <v>10</v>
      </c>
      <c r="I494">
        <v>2023</v>
      </c>
      <c r="J494">
        <f t="shared" si="7"/>
        <v>0</v>
      </c>
    </row>
    <row r="495" spans="1:10" x14ac:dyDescent="0.3">
      <c r="A495">
        <v>1010</v>
      </c>
      <c r="B495" s="352">
        <v>45206</v>
      </c>
      <c r="E495" s="338">
        <v>0</v>
      </c>
      <c r="G495">
        <v>40</v>
      </c>
      <c r="H495">
        <v>10</v>
      </c>
      <c r="I495">
        <v>2023</v>
      </c>
      <c r="J495">
        <f t="shared" si="7"/>
        <v>0</v>
      </c>
    </row>
    <row r="496" spans="1:10" x14ac:dyDescent="0.3">
      <c r="A496">
        <v>1011</v>
      </c>
      <c r="B496" s="352">
        <v>45207</v>
      </c>
      <c r="E496" s="338">
        <v>0.5</v>
      </c>
      <c r="G496">
        <v>41</v>
      </c>
      <c r="H496">
        <v>10</v>
      </c>
      <c r="I496">
        <v>2023</v>
      </c>
      <c r="J496">
        <f t="shared" si="7"/>
        <v>0.5</v>
      </c>
    </row>
    <row r="497" spans="1:10" x14ac:dyDescent="0.3">
      <c r="A497">
        <v>1012</v>
      </c>
      <c r="B497" s="352">
        <v>45208</v>
      </c>
      <c r="E497" s="338">
        <v>0</v>
      </c>
      <c r="G497">
        <v>41</v>
      </c>
      <c r="H497">
        <v>10</v>
      </c>
      <c r="I497">
        <v>2023</v>
      </c>
      <c r="J497">
        <f t="shared" si="7"/>
        <v>0</v>
      </c>
    </row>
    <row r="498" spans="1:10" x14ac:dyDescent="0.3">
      <c r="A498">
        <v>1013</v>
      </c>
      <c r="B498" s="352">
        <v>45209</v>
      </c>
      <c r="E498" s="338">
        <v>0</v>
      </c>
      <c r="G498">
        <v>41</v>
      </c>
      <c r="H498">
        <v>10</v>
      </c>
      <c r="I498">
        <v>2023</v>
      </c>
      <c r="J498">
        <f t="shared" si="7"/>
        <v>0</v>
      </c>
    </row>
    <row r="499" spans="1:10" x14ac:dyDescent="0.3">
      <c r="A499">
        <v>1014</v>
      </c>
      <c r="B499" s="352">
        <v>45210</v>
      </c>
      <c r="E499" s="338">
        <v>0</v>
      </c>
      <c r="G499">
        <v>41</v>
      </c>
      <c r="H499">
        <v>10</v>
      </c>
      <c r="I499">
        <v>2023</v>
      </c>
      <c r="J499">
        <f t="shared" si="7"/>
        <v>0</v>
      </c>
    </row>
    <row r="500" spans="1:10" x14ac:dyDescent="0.3">
      <c r="A500">
        <v>1015</v>
      </c>
      <c r="B500" s="352">
        <v>45211</v>
      </c>
      <c r="E500" s="338">
        <v>0</v>
      </c>
      <c r="G500">
        <v>41</v>
      </c>
      <c r="H500">
        <v>10</v>
      </c>
      <c r="I500">
        <v>2023</v>
      </c>
      <c r="J500">
        <f t="shared" si="7"/>
        <v>0</v>
      </c>
    </row>
    <row r="501" spans="1:10" x14ac:dyDescent="0.3">
      <c r="A501">
        <v>1016</v>
      </c>
      <c r="B501" s="352">
        <v>45212</v>
      </c>
      <c r="E501" s="338">
        <v>0</v>
      </c>
      <c r="G501">
        <v>41</v>
      </c>
      <c r="H501">
        <v>10</v>
      </c>
      <c r="I501">
        <v>2023</v>
      </c>
      <c r="J501">
        <f t="shared" si="7"/>
        <v>0</v>
      </c>
    </row>
    <row r="502" spans="1:10" x14ac:dyDescent="0.3">
      <c r="A502">
        <v>1017</v>
      </c>
      <c r="B502" s="352">
        <v>45213</v>
      </c>
      <c r="E502" s="338">
        <v>0</v>
      </c>
      <c r="G502">
        <v>41</v>
      </c>
      <c r="H502">
        <v>10</v>
      </c>
      <c r="I502">
        <v>2023</v>
      </c>
      <c r="J502">
        <f t="shared" si="7"/>
        <v>0</v>
      </c>
    </row>
    <row r="503" spans="1:10" x14ac:dyDescent="0.3">
      <c r="A503">
        <v>1018</v>
      </c>
      <c r="B503" s="352">
        <v>45214</v>
      </c>
      <c r="E503" s="338">
        <v>0</v>
      </c>
      <c r="G503">
        <v>42</v>
      </c>
      <c r="H503">
        <v>10</v>
      </c>
      <c r="I503">
        <v>2023</v>
      </c>
      <c r="J503">
        <f t="shared" si="7"/>
        <v>0</v>
      </c>
    </row>
    <row r="504" spans="1:10" x14ac:dyDescent="0.3">
      <c r="A504">
        <v>1019</v>
      </c>
      <c r="B504" s="352">
        <v>45215</v>
      </c>
      <c r="E504" s="338">
        <v>0</v>
      </c>
      <c r="G504">
        <v>42</v>
      </c>
      <c r="H504">
        <v>10</v>
      </c>
      <c r="I504">
        <v>2023</v>
      </c>
      <c r="J504">
        <f t="shared" si="7"/>
        <v>0</v>
      </c>
    </row>
    <row r="505" spans="1:10" x14ac:dyDescent="0.3">
      <c r="A505">
        <v>1020</v>
      </c>
      <c r="B505" s="352">
        <v>45216</v>
      </c>
      <c r="E505" s="338">
        <v>0</v>
      </c>
      <c r="G505">
        <v>42</v>
      </c>
      <c r="H505">
        <v>10</v>
      </c>
      <c r="I505">
        <v>2023</v>
      </c>
      <c r="J505">
        <f t="shared" si="7"/>
        <v>0</v>
      </c>
    </row>
    <row r="506" spans="1:10" x14ac:dyDescent="0.3">
      <c r="A506">
        <v>1021</v>
      </c>
      <c r="B506" s="352">
        <v>45217</v>
      </c>
      <c r="E506" s="338">
        <v>0</v>
      </c>
      <c r="G506">
        <v>42</v>
      </c>
      <c r="H506">
        <v>10</v>
      </c>
      <c r="I506">
        <v>2023</v>
      </c>
      <c r="J506">
        <f t="shared" si="7"/>
        <v>0</v>
      </c>
    </row>
    <row r="507" spans="1:10" x14ac:dyDescent="0.3">
      <c r="A507">
        <v>1022</v>
      </c>
      <c r="B507" s="352">
        <v>45218</v>
      </c>
      <c r="E507" s="338">
        <v>0</v>
      </c>
      <c r="G507">
        <v>42</v>
      </c>
      <c r="H507">
        <v>10</v>
      </c>
      <c r="I507">
        <v>2023</v>
      </c>
      <c r="J507">
        <f t="shared" si="7"/>
        <v>0</v>
      </c>
    </row>
    <row r="508" spans="1:10" x14ac:dyDescent="0.3">
      <c r="A508">
        <v>1023</v>
      </c>
      <c r="B508" s="352">
        <v>45219</v>
      </c>
      <c r="E508" s="338">
        <v>0</v>
      </c>
      <c r="G508">
        <v>42</v>
      </c>
      <c r="H508">
        <v>10</v>
      </c>
      <c r="I508">
        <v>2023</v>
      </c>
      <c r="J508">
        <f t="shared" si="7"/>
        <v>0</v>
      </c>
    </row>
    <row r="509" spans="1:10" x14ac:dyDescent="0.3">
      <c r="A509">
        <v>1024</v>
      </c>
      <c r="B509" s="352">
        <v>45220</v>
      </c>
      <c r="E509" s="338">
        <v>0</v>
      </c>
      <c r="G509">
        <v>42</v>
      </c>
      <c r="H509">
        <v>10</v>
      </c>
      <c r="I509">
        <v>2023</v>
      </c>
      <c r="J509">
        <f t="shared" si="7"/>
        <v>0</v>
      </c>
    </row>
    <row r="510" spans="1:10" ht="15" thickBot="1" x14ac:dyDescent="0.35">
      <c r="A510">
        <v>1025</v>
      </c>
      <c r="B510" s="353">
        <v>45221</v>
      </c>
      <c r="E510" s="338">
        <v>0</v>
      </c>
      <c r="G510">
        <v>43</v>
      </c>
      <c r="H510">
        <v>10</v>
      </c>
      <c r="I510">
        <v>2023</v>
      </c>
      <c r="J510">
        <f t="shared" si="7"/>
        <v>0</v>
      </c>
    </row>
    <row r="511" spans="1:10" ht="15" thickBot="1" x14ac:dyDescent="0.35">
      <c r="B511" s="353">
        <v>45222</v>
      </c>
      <c r="E511" s="772">
        <v>1</v>
      </c>
      <c r="J511">
        <f t="shared" si="7"/>
        <v>1</v>
      </c>
    </row>
    <row r="512" spans="1:10" ht="15" thickBot="1" x14ac:dyDescent="0.35">
      <c r="B512" s="353">
        <v>45223</v>
      </c>
      <c r="E512" s="772">
        <v>0</v>
      </c>
      <c r="J512">
        <f t="shared" si="7"/>
        <v>0</v>
      </c>
    </row>
    <row r="513" spans="2:10" ht="15" thickBot="1" x14ac:dyDescent="0.35">
      <c r="B513" s="353">
        <v>45224</v>
      </c>
      <c r="E513" s="772">
        <v>0</v>
      </c>
      <c r="J513">
        <f t="shared" si="7"/>
        <v>0</v>
      </c>
    </row>
    <row r="514" spans="2:10" ht="15" thickBot="1" x14ac:dyDescent="0.35">
      <c r="B514" s="353">
        <v>45225</v>
      </c>
      <c r="E514" s="772">
        <v>0</v>
      </c>
      <c r="J514">
        <f t="shared" si="7"/>
        <v>0</v>
      </c>
    </row>
    <row r="515" spans="2:10" ht="15" thickBot="1" x14ac:dyDescent="0.35">
      <c r="B515" s="353">
        <v>45226</v>
      </c>
      <c r="E515" s="772">
        <v>0</v>
      </c>
      <c r="J515">
        <f t="shared" ref="J515:J578" si="8">MAX(C515:F515)</f>
        <v>0</v>
      </c>
    </row>
    <row r="516" spans="2:10" ht="15" thickBot="1" x14ac:dyDescent="0.35">
      <c r="B516" s="353">
        <v>45227</v>
      </c>
      <c r="E516" s="772">
        <v>0</v>
      </c>
      <c r="J516">
        <f t="shared" si="8"/>
        <v>0</v>
      </c>
    </row>
    <row r="517" spans="2:10" ht="15" thickBot="1" x14ac:dyDescent="0.35">
      <c r="B517" s="353">
        <v>45228</v>
      </c>
      <c r="E517" s="772">
        <v>0</v>
      </c>
      <c r="J517">
        <f t="shared" si="8"/>
        <v>0</v>
      </c>
    </row>
    <row r="518" spans="2:10" ht="15" thickBot="1" x14ac:dyDescent="0.35">
      <c r="B518" s="353">
        <v>45229</v>
      </c>
      <c r="E518" s="772">
        <v>0</v>
      </c>
      <c r="J518">
        <f t="shared" si="8"/>
        <v>0</v>
      </c>
    </row>
    <row r="519" spans="2:10" ht="15" thickBot="1" x14ac:dyDescent="0.35">
      <c r="B519" s="353">
        <v>45230</v>
      </c>
      <c r="E519" s="772">
        <v>0</v>
      </c>
      <c r="J519">
        <f t="shared" si="8"/>
        <v>0</v>
      </c>
    </row>
    <row r="520" spans="2:10" ht="15" thickBot="1" x14ac:dyDescent="0.35">
      <c r="B520" s="353">
        <v>45231</v>
      </c>
      <c r="E520" s="772">
        <v>0</v>
      </c>
      <c r="J520">
        <f t="shared" si="8"/>
        <v>0</v>
      </c>
    </row>
    <row r="521" spans="2:10" ht="15" thickBot="1" x14ac:dyDescent="0.35">
      <c r="B521" s="353">
        <v>45232</v>
      </c>
      <c r="E521" s="772">
        <v>0</v>
      </c>
      <c r="J521">
        <f t="shared" si="8"/>
        <v>0</v>
      </c>
    </row>
    <row r="522" spans="2:10" ht="15" thickBot="1" x14ac:dyDescent="0.35">
      <c r="B522" s="353">
        <v>45233</v>
      </c>
      <c r="E522" s="772">
        <v>40</v>
      </c>
      <c r="J522">
        <f t="shared" si="8"/>
        <v>40</v>
      </c>
    </row>
    <row r="523" spans="2:10" ht="15" thickBot="1" x14ac:dyDescent="0.35">
      <c r="B523" s="353">
        <v>45234</v>
      </c>
      <c r="E523" s="772">
        <v>16</v>
      </c>
      <c r="J523">
        <f t="shared" si="8"/>
        <v>16</v>
      </c>
    </row>
    <row r="524" spans="2:10" ht="15" thickBot="1" x14ac:dyDescent="0.35">
      <c r="B524" s="353">
        <v>45235</v>
      </c>
      <c r="E524" s="772">
        <v>0</v>
      </c>
      <c r="J524">
        <f t="shared" si="8"/>
        <v>0</v>
      </c>
    </row>
    <row r="525" spans="2:10" ht="15" thickBot="1" x14ac:dyDescent="0.35">
      <c r="B525" s="353">
        <v>45236</v>
      </c>
      <c r="E525" s="772">
        <v>6.5</v>
      </c>
      <c r="J525">
        <f t="shared" si="8"/>
        <v>6.5</v>
      </c>
    </row>
    <row r="526" spans="2:10" ht="15" thickBot="1" x14ac:dyDescent="0.35">
      <c r="B526" s="353">
        <v>45237</v>
      </c>
      <c r="E526" s="772">
        <v>18.5</v>
      </c>
      <c r="J526">
        <f t="shared" si="8"/>
        <v>18.5</v>
      </c>
    </row>
    <row r="527" spans="2:10" ht="15" thickBot="1" x14ac:dyDescent="0.35">
      <c r="B527" s="353">
        <v>45238</v>
      </c>
      <c r="E527" s="772">
        <v>55</v>
      </c>
      <c r="J527">
        <f t="shared" si="8"/>
        <v>55</v>
      </c>
    </row>
    <row r="528" spans="2:10" ht="15" thickBot="1" x14ac:dyDescent="0.35">
      <c r="B528" s="353">
        <v>45239</v>
      </c>
      <c r="E528" s="772">
        <v>15</v>
      </c>
      <c r="J528">
        <f t="shared" si="8"/>
        <v>15</v>
      </c>
    </row>
    <row r="529" spans="2:10" ht="15" thickBot="1" x14ac:dyDescent="0.35">
      <c r="B529" s="353">
        <v>45240</v>
      </c>
      <c r="E529" s="772">
        <v>0</v>
      </c>
      <c r="J529">
        <f t="shared" si="8"/>
        <v>0</v>
      </c>
    </row>
    <row r="530" spans="2:10" ht="15" thickBot="1" x14ac:dyDescent="0.35">
      <c r="B530" s="353">
        <v>45241</v>
      </c>
      <c r="E530" s="772">
        <v>23</v>
      </c>
      <c r="J530">
        <f t="shared" si="8"/>
        <v>23</v>
      </c>
    </row>
    <row r="531" spans="2:10" ht="15" thickBot="1" x14ac:dyDescent="0.35">
      <c r="B531" s="353">
        <v>45242</v>
      </c>
      <c r="E531" s="772">
        <v>0</v>
      </c>
      <c r="J531">
        <f t="shared" si="8"/>
        <v>0</v>
      </c>
    </row>
    <row r="532" spans="2:10" ht="15" thickBot="1" x14ac:dyDescent="0.35">
      <c r="B532" s="353">
        <v>45243</v>
      </c>
      <c r="E532" s="772">
        <v>21</v>
      </c>
      <c r="J532">
        <f t="shared" si="8"/>
        <v>21</v>
      </c>
    </row>
    <row r="533" spans="2:10" ht="15" thickBot="1" x14ac:dyDescent="0.35">
      <c r="B533" s="353">
        <v>45244</v>
      </c>
      <c r="E533" s="772">
        <v>0</v>
      </c>
      <c r="J533">
        <f t="shared" si="8"/>
        <v>0</v>
      </c>
    </row>
    <row r="534" spans="2:10" ht="15" thickBot="1" x14ac:dyDescent="0.35">
      <c r="B534" s="353">
        <v>45245</v>
      </c>
      <c r="E534" s="772">
        <v>0.5</v>
      </c>
      <c r="J534">
        <f t="shared" si="8"/>
        <v>0.5</v>
      </c>
    </row>
    <row r="535" spans="2:10" ht="15" thickBot="1" x14ac:dyDescent="0.35">
      <c r="B535" s="353">
        <v>45246</v>
      </c>
      <c r="E535" s="772">
        <v>0</v>
      </c>
      <c r="J535">
        <f t="shared" si="8"/>
        <v>0</v>
      </c>
    </row>
    <row r="536" spans="2:10" ht="15" thickBot="1" x14ac:dyDescent="0.35">
      <c r="B536" s="353">
        <v>45247</v>
      </c>
      <c r="E536" s="772">
        <v>30</v>
      </c>
      <c r="J536">
        <f t="shared" si="8"/>
        <v>30</v>
      </c>
    </row>
    <row r="537" spans="2:10" ht="15" thickBot="1" x14ac:dyDescent="0.35">
      <c r="B537" s="353">
        <v>45248</v>
      </c>
      <c r="E537" s="772">
        <v>1.5</v>
      </c>
      <c r="J537">
        <f t="shared" si="8"/>
        <v>1.5</v>
      </c>
    </row>
    <row r="538" spans="2:10" ht="15" thickBot="1" x14ac:dyDescent="0.35">
      <c r="B538" s="353">
        <v>45249</v>
      </c>
      <c r="E538" s="772">
        <v>1</v>
      </c>
      <c r="J538">
        <f t="shared" si="8"/>
        <v>1</v>
      </c>
    </row>
    <row r="539" spans="2:10" ht="15" thickBot="1" x14ac:dyDescent="0.35">
      <c r="B539" s="353">
        <v>45250</v>
      </c>
      <c r="E539" s="772">
        <v>1</v>
      </c>
      <c r="J539">
        <f t="shared" si="8"/>
        <v>1</v>
      </c>
    </row>
    <row r="540" spans="2:10" ht="15" thickBot="1" x14ac:dyDescent="0.35">
      <c r="B540" s="353">
        <v>45251</v>
      </c>
      <c r="E540" s="772">
        <v>0</v>
      </c>
      <c r="J540">
        <f t="shared" si="8"/>
        <v>0</v>
      </c>
    </row>
    <row r="541" spans="2:10" ht="15" thickBot="1" x14ac:dyDescent="0.35">
      <c r="B541" s="353">
        <v>45252</v>
      </c>
      <c r="E541" s="772">
        <v>2</v>
      </c>
      <c r="J541">
        <f t="shared" si="8"/>
        <v>2</v>
      </c>
    </row>
    <row r="542" spans="2:10" ht="15" thickBot="1" x14ac:dyDescent="0.35">
      <c r="B542" s="353">
        <v>45253</v>
      </c>
      <c r="E542" s="772">
        <v>1.5</v>
      </c>
      <c r="J542">
        <f t="shared" si="8"/>
        <v>1.5</v>
      </c>
    </row>
    <row r="543" spans="2:10" ht="15" thickBot="1" x14ac:dyDescent="0.35">
      <c r="B543" s="353">
        <v>45254</v>
      </c>
      <c r="E543" s="772">
        <v>3.5</v>
      </c>
      <c r="J543">
        <f t="shared" si="8"/>
        <v>3.5</v>
      </c>
    </row>
    <row r="544" spans="2:10" ht="15" thickBot="1" x14ac:dyDescent="0.35">
      <c r="B544" s="353">
        <v>45255</v>
      </c>
      <c r="E544" s="772">
        <v>7</v>
      </c>
      <c r="J544">
        <f t="shared" si="8"/>
        <v>7</v>
      </c>
    </row>
    <row r="545" spans="2:10" ht="15" thickBot="1" x14ac:dyDescent="0.35">
      <c r="B545" s="353">
        <v>45256</v>
      </c>
      <c r="E545" s="772">
        <v>20.5</v>
      </c>
      <c r="J545">
        <f t="shared" si="8"/>
        <v>20.5</v>
      </c>
    </row>
    <row r="546" spans="2:10" ht="15" thickBot="1" x14ac:dyDescent="0.35">
      <c r="B546" s="353">
        <v>45257</v>
      </c>
      <c r="E546" s="772">
        <v>6</v>
      </c>
      <c r="J546">
        <f t="shared" si="8"/>
        <v>6</v>
      </c>
    </row>
    <row r="547" spans="2:10" ht="15" thickBot="1" x14ac:dyDescent="0.35">
      <c r="B547" s="353">
        <v>45258</v>
      </c>
      <c r="E547" s="772">
        <v>6</v>
      </c>
      <c r="J547">
        <f t="shared" si="8"/>
        <v>6</v>
      </c>
    </row>
    <row r="548" spans="2:10" ht="15" thickBot="1" x14ac:dyDescent="0.35">
      <c r="B548" s="353">
        <v>45259</v>
      </c>
      <c r="E548" s="772">
        <v>9.5</v>
      </c>
      <c r="J548">
        <f t="shared" si="8"/>
        <v>9.5</v>
      </c>
    </row>
    <row r="549" spans="2:10" ht="15" thickBot="1" x14ac:dyDescent="0.35">
      <c r="B549" s="353">
        <v>45260</v>
      </c>
      <c r="E549" s="772">
        <v>0</v>
      </c>
      <c r="J549">
        <f t="shared" si="8"/>
        <v>0</v>
      </c>
    </row>
    <row r="550" spans="2:10" ht="15" thickBot="1" x14ac:dyDescent="0.35">
      <c r="B550" s="353">
        <v>45261</v>
      </c>
      <c r="E550" s="772">
        <v>0</v>
      </c>
      <c r="J550">
        <f t="shared" si="8"/>
        <v>0</v>
      </c>
    </row>
    <row r="551" spans="2:10" ht="15" thickBot="1" x14ac:dyDescent="0.35">
      <c r="B551" s="353">
        <v>45262</v>
      </c>
      <c r="E551" s="772">
        <v>5</v>
      </c>
      <c r="J551">
        <f t="shared" si="8"/>
        <v>5</v>
      </c>
    </row>
    <row r="552" spans="2:10" ht="15" thickBot="1" x14ac:dyDescent="0.35">
      <c r="B552" s="353">
        <v>45263</v>
      </c>
      <c r="E552" s="772">
        <v>31</v>
      </c>
      <c r="J552">
        <f t="shared" si="8"/>
        <v>31</v>
      </c>
    </row>
    <row r="553" spans="2:10" ht="15" thickBot="1" x14ac:dyDescent="0.35">
      <c r="B553" s="353">
        <v>45264</v>
      </c>
      <c r="E553" s="772">
        <v>0.5</v>
      </c>
      <c r="J553">
        <f t="shared" si="8"/>
        <v>0.5</v>
      </c>
    </row>
    <row r="554" spans="2:10" ht="15" thickBot="1" x14ac:dyDescent="0.35">
      <c r="B554" s="353">
        <v>45265</v>
      </c>
      <c r="E554" s="772">
        <v>0</v>
      </c>
      <c r="J554">
        <f t="shared" si="8"/>
        <v>0</v>
      </c>
    </row>
    <row r="555" spans="2:10" ht="15" thickBot="1" x14ac:dyDescent="0.35">
      <c r="B555" s="353">
        <v>45266</v>
      </c>
      <c r="E555" s="772">
        <v>78</v>
      </c>
      <c r="J555">
        <f t="shared" si="8"/>
        <v>78</v>
      </c>
    </row>
    <row r="556" spans="2:10" ht="15" thickBot="1" x14ac:dyDescent="0.35">
      <c r="B556" s="353">
        <v>45267</v>
      </c>
      <c r="E556" s="772">
        <v>0</v>
      </c>
      <c r="J556">
        <f t="shared" si="8"/>
        <v>0</v>
      </c>
    </row>
    <row r="557" spans="2:10" ht="15" thickBot="1" x14ac:dyDescent="0.35">
      <c r="B557" s="353">
        <v>45268</v>
      </c>
      <c r="E557" s="772">
        <v>5.5</v>
      </c>
      <c r="J557">
        <f t="shared" si="8"/>
        <v>5.5</v>
      </c>
    </row>
    <row r="558" spans="2:10" ht="15" thickBot="1" x14ac:dyDescent="0.35">
      <c r="B558" s="353">
        <v>45269</v>
      </c>
      <c r="E558" s="772">
        <v>0.5</v>
      </c>
      <c r="J558">
        <f t="shared" si="8"/>
        <v>0.5</v>
      </c>
    </row>
    <row r="559" spans="2:10" ht="15" thickBot="1" x14ac:dyDescent="0.35">
      <c r="B559" s="353">
        <v>45270</v>
      </c>
      <c r="E559" s="772">
        <v>0.5</v>
      </c>
      <c r="J559">
        <f t="shared" si="8"/>
        <v>0.5</v>
      </c>
    </row>
    <row r="560" spans="2:10" ht="15" thickBot="1" x14ac:dyDescent="0.35">
      <c r="B560" s="353">
        <v>45271</v>
      </c>
      <c r="E560" s="772">
        <v>0</v>
      </c>
      <c r="J560">
        <f t="shared" si="8"/>
        <v>0</v>
      </c>
    </row>
    <row r="561" spans="2:10" ht="15" thickBot="1" x14ac:dyDescent="0.35">
      <c r="B561" s="353">
        <v>45272</v>
      </c>
      <c r="E561" s="772">
        <v>4.5</v>
      </c>
      <c r="J561">
        <f t="shared" si="8"/>
        <v>4.5</v>
      </c>
    </row>
    <row r="562" spans="2:10" ht="15" thickBot="1" x14ac:dyDescent="0.35">
      <c r="B562" s="353">
        <v>45273</v>
      </c>
      <c r="E562" s="772">
        <v>0</v>
      </c>
      <c r="J562">
        <f t="shared" si="8"/>
        <v>0</v>
      </c>
    </row>
    <row r="563" spans="2:10" ht="15" thickBot="1" x14ac:dyDescent="0.35">
      <c r="B563" s="353">
        <v>45274</v>
      </c>
      <c r="E563" s="772">
        <v>26</v>
      </c>
      <c r="J563">
        <f t="shared" si="8"/>
        <v>26</v>
      </c>
    </row>
    <row r="564" spans="2:10" ht="15" thickBot="1" x14ac:dyDescent="0.35">
      <c r="B564" s="353">
        <v>45275</v>
      </c>
      <c r="E564" s="772">
        <v>0.5</v>
      </c>
      <c r="J564">
        <f t="shared" si="8"/>
        <v>0.5</v>
      </c>
    </row>
    <row r="565" spans="2:10" ht="15" thickBot="1" x14ac:dyDescent="0.35">
      <c r="B565" s="353">
        <v>45276</v>
      </c>
      <c r="E565" s="772">
        <v>2.5</v>
      </c>
      <c r="J565">
        <f t="shared" si="8"/>
        <v>2.5</v>
      </c>
    </row>
    <row r="566" spans="2:10" ht="15" thickBot="1" x14ac:dyDescent="0.35">
      <c r="B566" s="353">
        <v>45277</v>
      </c>
      <c r="E566" s="772">
        <v>0</v>
      </c>
      <c r="J566">
        <f t="shared" si="8"/>
        <v>0</v>
      </c>
    </row>
    <row r="567" spans="2:10" ht="15" thickBot="1" x14ac:dyDescent="0.35">
      <c r="B567" s="353">
        <v>45278</v>
      </c>
      <c r="E567" s="772">
        <v>0</v>
      </c>
      <c r="J567">
        <f t="shared" si="8"/>
        <v>0</v>
      </c>
    </row>
    <row r="568" spans="2:10" ht="15" thickBot="1" x14ac:dyDescent="0.35">
      <c r="B568" s="353">
        <v>45279</v>
      </c>
      <c r="E568" s="772">
        <v>25</v>
      </c>
      <c r="J568">
        <f t="shared" si="8"/>
        <v>25</v>
      </c>
    </row>
    <row r="569" spans="2:10" ht="15" thickBot="1" x14ac:dyDescent="0.35">
      <c r="B569" s="353">
        <v>45280</v>
      </c>
      <c r="E569" s="772">
        <v>29</v>
      </c>
      <c r="J569">
        <f t="shared" si="8"/>
        <v>29</v>
      </c>
    </row>
    <row r="570" spans="2:10" ht="15" thickBot="1" x14ac:dyDescent="0.35">
      <c r="B570" s="353">
        <v>45281</v>
      </c>
      <c r="E570" s="772">
        <v>0.5</v>
      </c>
      <c r="J570">
        <f t="shared" si="8"/>
        <v>0.5</v>
      </c>
    </row>
    <row r="571" spans="2:10" ht="15" thickBot="1" x14ac:dyDescent="0.35">
      <c r="B571" s="353">
        <v>45282</v>
      </c>
      <c r="E571" s="772">
        <v>1</v>
      </c>
      <c r="J571">
        <f t="shared" si="8"/>
        <v>1</v>
      </c>
    </row>
    <row r="572" spans="2:10" ht="15" thickBot="1" x14ac:dyDescent="0.35">
      <c r="B572" s="353">
        <v>45283</v>
      </c>
      <c r="E572" s="772">
        <v>8.5</v>
      </c>
      <c r="J572">
        <f t="shared" si="8"/>
        <v>8.5</v>
      </c>
    </row>
    <row r="573" spans="2:10" ht="15" thickBot="1" x14ac:dyDescent="0.35">
      <c r="B573" s="353">
        <v>45284</v>
      </c>
      <c r="E573" s="772">
        <v>14</v>
      </c>
      <c r="J573">
        <f t="shared" si="8"/>
        <v>14</v>
      </c>
    </row>
    <row r="574" spans="2:10" ht="15" thickBot="1" x14ac:dyDescent="0.35">
      <c r="B574" s="353">
        <v>45285</v>
      </c>
      <c r="E574" s="772">
        <v>0</v>
      </c>
      <c r="J574">
        <f t="shared" si="8"/>
        <v>0</v>
      </c>
    </row>
    <row r="575" spans="2:10" ht="15" thickBot="1" x14ac:dyDescent="0.35">
      <c r="B575" s="353">
        <v>45286</v>
      </c>
      <c r="E575" s="772">
        <v>16.5</v>
      </c>
      <c r="J575">
        <f t="shared" si="8"/>
        <v>16.5</v>
      </c>
    </row>
    <row r="576" spans="2:10" ht="15" thickBot="1" x14ac:dyDescent="0.35">
      <c r="B576" s="353">
        <v>45287</v>
      </c>
      <c r="E576" s="772">
        <v>0</v>
      </c>
      <c r="J576">
        <f t="shared" si="8"/>
        <v>0</v>
      </c>
    </row>
    <row r="577" spans="2:10" ht="15" thickBot="1" x14ac:dyDescent="0.35">
      <c r="B577" s="353">
        <v>45288</v>
      </c>
      <c r="E577" s="772">
        <v>6.5</v>
      </c>
      <c r="J577">
        <f t="shared" si="8"/>
        <v>6.5</v>
      </c>
    </row>
    <row r="578" spans="2:10" ht="15" thickBot="1" x14ac:dyDescent="0.35">
      <c r="B578" s="353">
        <v>45289</v>
      </c>
      <c r="E578" s="772">
        <v>0</v>
      </c>
      <c r="J578">
        <f t="shared" si="8"/>
        <v>0</v>
      </c>
    </row>
    <row r="579" spans="2:10" ht="15" thickBot="1" x14ac:dyDescent="0.35">
      <c r="B579" s="353">
        <v>45290</v>
      </c>
      <c r="E579" s="772">
        <v>0</v>
      </c>
      <c r="J579">
        <f t="shared" ref="J579:J580" si="9">MAX(C579:F579)</f>
        <v>0</v>
      </c>
    </row>
    <row r="580" spans="2:10" ht="15" thickBot="1" x14ac:dyDescent="0.35">
      <c r="B580" s="353">
        <v>45291</v>
      </c>
      <c r="E580" s="772">
        <v>2.5</v>
      </c>
      <c r="J580">
        <f t="shared" si="9"/>
        <v>2.5</v>
      </c>
    </row>
  </sheetData>
  <conditionalFormatting sqref="E511:E580">
    <cfRule type="cellIs" dxfId="8" priority="1" operator="greaterThan">
      <formula>100</formula>
    </cfRule>
    <cfRule type="cellIs" dxfId="7" priority="2" operator="between">
      <formula>50.5</formula>
      <formula>100</formula>
    </cfRule>
    <cfRule type="cellIs" dxfId="6" priority="3" operator="between">
      <formula>20.5</formula>
      <formula>50</formula>
    </cfRule>
    <cfRule type="cellIs" dxfId="5" priority="4" operator="between">
      <formula>0</formula>
      <formula>20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BBF7-04E6-4C44-95F1-77B223EE1199}">
  <sheetPr>
    <tabColor theme="1" tint="0.499984740745262"/>
  </sheetPr>
  <dimension ref="B1:C366"/>
  <sheetViews>
    <sheetView topLeftCell="A339" workbookViewId="0">
      <selection activeCell="S362" sqref="S362"/>
    </sheetView>
  </sheetViews>
  <sheetFormatPr defaultRowHeight="14.4" x14ac:dyDescent="0.3"/>
  <cols>
    <col min="2" max="2" width="10.5546875" bestFit="1" customWidth="1"/>
  </cols>
  <sheetData>
    <row r="1" spans="2:3" x14ac:dyDescent="0.3">
      <c r="B1" s="773">
        <v>45292</v>
      </c>
      <c r="C1" s="772">
        <v>1.5</v>
      </c>
    </row>
    <row r="2" spans="2:3" x14ac:dyDescent="0.3">
      <c r="B2" s="773">
        <v>45293</v>
      </c>
      <c r="C2" s="772">
        <v>0.5</v>
      </c>
    </row>
    <row r="3" spans="2:3" x14ac:dyDescent="0.3">
      <c r="B3" s="773">
        <v>45294</v>
      </c>
      <c r="C3" s="772">
        <v>0</v>
      </c>
    </row>
    <row r="4" spans="2:3" x14ac:dyDescent="0.3">
      <c r="B4" s="773">
        <v>45295</v>
      </c>
      <c r="C4" s="772">
        <v>4</v>
      </c>
    </row>
    <row r="5" spans="2:3" x14ac:dyDescent="0.3">
      <c r="B5" s="773">
        <v>45296</v>
      </c>
      <c r="C5" s="772">
        <v>19</v>
      </c>
    </row>
    <row r="6" spans="2:3" x14ac:dyDescent="0.3">
      <c r="B6" s="773">
        <v>45297</v>
      </c>
      <c r="C6" s="772">
        <v>27.5</v>
      </c>
    </row>
    <row r="7" spans="2:3" x14ac:dyDescent="0.3">
      <c r="B7" s="773">
        <v>45298</v>
      </c>
      <c r="C7" s="772">
        <v>0.5</v>
      </c>
    </row>
    <row r="8" spans="2:3" x14ac:dyDescent="0.3">
      <c r="B8" s="773">
        <v>45299</v>
      </c>
      <c r="C8" s="772">
        <v>0</v>
      </c>
    </row>
    <row r="9" spans="2:3" x14ac:dyDescent="0.3">
      <c r="B9" s="773">
        <v>45300</v>
      </c>
      <c r="C9" s="772">
        <v>9.5</v>
      </c>
    </row>
    <row r="10" spans="2:3" x14ac:dyDescent="0.3">
      <c r="B10" s="773">
        <v>45301</v>
      </c>
      <c r="C10" s="772">
        <v>0</v>
      </c>
    </row>
    <row r="11" spans="2:3" x14ac:dyDescent="0.3">
      <c r="B11" s="773">
        <v>45302</v>
      </c>
      <c r="C11" s="772">
        <v>0</v>
      </c>
    </row>
    <row r="12" spans="2:3" x14ac:dyDescent="0.3">
      <c r="B12" s="773">
        <v>45303</v>
      </c>
      <c r="C12" s="772">
        <v>0</v>
      </c>
    </row>
    <row r="13" spans="2:3" x14ac:dyDescent="0.3">
      <c r="B13" s="773">
        <v>45304</v>
      </c>
      <c r="C13" s="772">
        <v>4</v>
      </c>
    </row>
    <row r="14" spans="2:3" x14ac:dyDescent="0.3">
      <c r="B14" s="773">
        <v>45305</v>
      </c>
      <c r="C14" s="772">
        <v>0</v>
      </c>
    </row>
    <row r="15" spans="2:3" x14ac:dyDescent="0.3">
      <c r="B15" s="773">
        <v>45306</v>
      </c>
      <c r="C15" s="772">
        <v>0.5</v>
      </c>
    </row>
    <row r="16" spans="2:3" x14ac:dyDescent="0.3">
      <c r="B16" s="773">
        <v>45307</v>
      </c>
      <c r="C16" s="772">
        <v>2.5</v>
      </c>
    </row>
    <row r="17" spans="2:3" x14ac:dyDescent="0.3">
      <c r="B17" s="773">
        <v>45308</v>
      </c>
      <c r="C17" s="772">
        <v>4</v>
      </c>
    </row>
    <row r="18" spans="2:3" x14ac:dyDescent="0.3">
      <c r="B18" s="773">
        <v>45309</v>
      </c>
      <c r="C18" s="772">
        <v>0</v>
      </c>
    </row>
    <row r="19" spans="2:3" x14ac:dyDescent="0.3">
      <c r="B19" s="773">
        <v>45310</v>
      </c>
      <c r="C19" s="772">
        <v>64.5</v>
      </c>
    </row>
    <row r="20" spans="2:3" x14ac:dyDescent="0.3">
      <c r="B20" s="773">
        <v>45311</v>
      </c>
      <c r="C20" s="772">
        <v>19</v>
      </c>
    </row>
    <row r="21" spans="2:3" x14ac:dyDescent="0.3">
      <c r="B21" s="773">
        <v>45312</v>
      </c>
      <c r="C21" s="772">
        <v>16.5</v>
      </c>
    </row>
    <row r="22" spans="2:3" x14ac:dyDescent="0.3">
      <c r="B22" s="773">
        <v>45313</v>
      </c>
      <c r="C22" s="772">
        <v>0</v>
      </c>
    </row>
    <row r="23" spans="2:3" x14ac:dyDescent="0.3">
      <c r="B23" s="773">
        <v>45314</v>
      </c>
      <c r="C23" s="772">
        <v>0</v>
      </c>
    </row>
    <row r="24" spans="2:3" x14ac:dyDescent="0.3">
      <c r="B24" s="773">
        <v>45315</v>
      </c>
      <c r="C24" s="772">
        <v>1</v>
      </c>
    </row>
    <row r="25" spans="2:3" x14ac:dyDescent="0.3">
      <c r="B25" s="773">
        <v>45316</v>
      </c>
      <c r="C25" s="772">
        <v>27.5</v>
      </c>
    </row>
    <row r="26" spans="2:3" x14ac:dyDescent="0.3">
      <c r="B26" s="773">
        <v>45317</v>
      </c>
      <c r="C26" s="772">
        <v>0.5</v>
      </c>
    </row>
    <row r="27" spans="2:3" x14ac:dyDescent="0.3">
      <c r="B27" s="773">
        <v>45318</v>
      </c>
      <c r="C27" s="772">
        <v>3</v>
      </c>
    </row>
    <row r="28" spans="2:3" x14ac:dyDescent="0.3">
      <c r="B28" s="773">
        <v>45319</v>
      </c>
      <c r="C28" s="772">
        <v>0</v>
      </c>
    </row>
    <row r="29" spans="2:3" x14ac:dyDescent="0.3">
      <c r="B29" s="773">
        <v>45320</v>
      </c>
      <c r="C29" s="772">
        <v>0.5</v>
      </c>
    </row>
    <row r="30" spans="2:3" x14ac:dyDescent="0.3">
      <c r="B30" s="773">
        <v>45321</v>
      </c>
      <c r="C30" s="772">
        <v>2.5</v>
      </c>
    </row>
    <row r="31" spans="2:3" x14ac:dyDescent="0.3">
      <c r="B31" s="773">
        <v>45322</v>
      </c>
      <c r="C31" s="772">
        <v>3.5</v>
      </c>
    </row>
    <row r="32" spans="2:3" x14ac:dyDescent="0.3">
      <c r="B32" s="773">
        <v>45323</v>
      </c>
      <c r="C32" s="772">
        <v>20</v>
      </c>
    </row>
    <row r="33" spans="2:3" x14ac:dyDescent="0.3">
      <c r="B33" s="773">
        <v>45324</v>
      </c>
      <c r="C33" s="772">
        <v>73</v>
      </c>
    </row>
    <row r="34" spans="2:3" x14ac:dyDescent="0.3">
      <c r="B34" s="773">
        <v>45325</v>
      </c>
      <c r="C34" s="772">
        <v>31</v>
      </c>
    </row>
    <row r="35" spans="2:3" x14ac:dyDescent="0.3">
      <c r="B35" s="773">
        <v>45326</v>
      </c>
      <c r="C35" s="772">
        <v>0</v>
      </c>
    </row>
    <row r="36" spans="2:3" x14ac:dyDescent="0.3">
      <c r="B36" s="773">
        <v>45327</v>
      </c>
      <c r="C36" s="772">
        <v>0</v>
      </c>
    </row>
    <row r="37" spans="2:3" x14ac:dyDescent="0.3">
      <c r="B37" s="773">
        <v>45328</v>
      </c>
      <c r="C37" s="772">
        <v>0</v>
      </c>
    </row>
    <row r="38" spans="2:3" x14ac:dyDescent="0.3">
      <c r="B38" s="773">
        <v>45329</v>
      </c>
      <c r="C38" s="772">
        <v>0</v>
      </c>
    </row>
    <row r="39" spans="2:3" x14ac:dyDescent="0.3">
      <c r="B39" s="773">
        <v>45330</v>
      </c>
      <c r="C39" s="772">
        <v>0</v>
      </c>
    </row>
    <row r="40" spans="2:3" x14ac:dyDescent="0.3">
      <c r="B40" s="773">
        <v>45331</v>
      </c>
      <c r="C40" s="772">
        <v>0</v>
      </c>
    </row>
    <row r="41" spans="2:3" x14ac:dyDescent="0.3">
      <c r="B41" s="773">
        <v>45332</v>
      </c>
      <c r="C41" s="772">
        <v>0</v>
      </c>
    </row>
    <row r="42" spans="2:3" x14ac:dyDescent="0.3">
      <c r="B42" s="773">
        <v>45333</v>
      </c>
      <c r="C42" s="772">
        <v>35</v>
      </c>
    </row>
    <row r="43" spans="2:3" x14ac:dyDescent="0.3">
      <c r="B43" s="773">
        <v>45334</v>
      </c>
      <c r="C43" s="772">
        <v>23.5</v>
      </c>
    </row>
    <row r="44" spans="2:3" x14ac:dyDescent="0.3">
      <c r="B44" s="773">
        <v>45335</v>
      </c>
      <c r="C44" s="772">
        <v>23.5</v>
      </c>
    </row>
    <row r="45" spans="2:3" x14ac:dyDescent="0.3">
      <c r="B45" s="773">
        <v>45336</v>
      </c>
      <c r="C45" s="772">
        <v>2</v>
      </c>
    </row>
    <row r="46" spans="2:3" x14ac:dyDescent="0.3">
      <c r="B46" s="773">
        <v>45337</v>
      </c>
      <c r="C46" s="772">
        <v>0</v>
      </c>
    </row>
    <row r="47" spans="2:3" x14ac:dyDescent="0.3">
      <c r="B47" s="773">
        <v>45338</v>
      </c>
      <c r="C47" s="772">
        <v>0</v>
      </c>
    </row>
    <row r="48" spans="2:3" x14ac:dyDescent="0.3">
      <c r="B48" s="773">
        <v>45339</v>
      </c>
      <c r="C48" s="772">
        <v>0</v>
      </c>
    </row>
    <row r="49" spans="2:3" x14ac:dyDescent="0.3">
      <c r="B49" s="773">
        <v>45340</v>
      </c>
      <c r="C49" s="772">
        <v>0</v>
      </c>
    </row>
    <row r="50" spans="2:3" x14ac:dyDescent="0.3">
      <c r="B50" s="773">
        <v>45341</v>
      </c>
      <c r="C50" s="772">
        <v>18</v>
      </c>
    </row>
    <row r="51" spans="2:3" x14ac:dyDescent="0.3">
      <c r="B51" s="773">
        <v>45342</v>
      </c>
      <c r="C51" s="772">
        <v>0.5</v>
      </c>
    </row>
    <row r="52" spans="2:3" x14ac:dyDescent="0.3">
      <c r="B52" s="773">
        <v>45343</v>
      </c>
      <c r="C52" s="772">
        <v>0.5</v>
      </c>
    </row>
    <row r="53" spans="2:3" x14ac:dyDescent="0.3">
      <c r="B53" s="773">
        <v>45344</v>
      </c>
      <c r="C53" s="772">
        <v>4</v>
      </c>
    </row>
    <row r="54" spans="2:3" x14ac:dyDescent="0.3">
      <c r="B54" s="773">
        <v>45345</v>
      </c>
      <c r="C54" s="772">
        <v>0.5</v>
      </c>
    </row>
    <row r="55" spans="2:3" x14ac:dyDescent="0.3">
      <c r="B55" s="773">
        <v>45346</v>
      </c>
      <c r="C55" s="772">
        <v>24.5</v>
      </c>
    </row>
    <row r="56" spans="2:3" x14ac:dyDescent="0.3">
      <c r="B56" s="773">
        <v>45347</v>
      </c>
      <c r="C56" s="772">
        <v>0</v>
      </c>
    </row>
    <row r="57" spans="2:3" x14ac:dyDescent="0.3">
      <c r="B57" s="773">
        <v>45348</v>
      </c>
      <c r="C57" s="772">
        <v>0</v>
      </c>
    </row>
    <row r="58" spans="2:3" x14ac:dyDescent="0.3">
      <c r="B58" s="773">
        <v>45349</v>
      </c>
      <c r="C58" s="772">
        <v>0</v>
      </c>
    </row>
    <row r="59" spans="2:3" x14ac:dyDescent="0.3">
      <c r="B59" s="773">
        <v>45350</v>
      </c>
      <c r="C59" s="772">
        <v>0</v>
      </c>
    </row>
    <row r="60" spans="2:3" x14ac:dyDescent="0.3">
      <c r="B60" s="773">
        <v>45351</v>
      </c>
      <c r="C60" s="772">
        <v>0</v>
      </c>
    </row>
    <row r="61" spans="2:3" x14ac:dyDescent="0.3">
      <c r="B61" s="773">
        <v>45352</v>
      </c>
      <c r="C61" s="772">
        <v>0</v>
      </c>
    </row>
    <row r="62" spans="2:3" x14ac:dyDescent="0.3">
      <c r="B62" s="773">
        <v>45353</v>
      </c>
      <c r="C62" s="772">
        <v>11.5</v>
      </c>
    </row>
    <row r="63" spans="2:3" x14ac:dyDescent="0.3">
      <c r="B63" s="773">
        <v>45354</v>
      </c>
      <c r="C63" s="772">
        <v>9</v>
      </c>
    </row>
    <row r="64" spans="2:3" x14ac:dyDescent="0.3">
      <c r="B64" s="773">
        <v>45355</v>
      </c>
      <c r="C64" s="772">
        <v>2.5</v>
      </c>
    </row>
    <row r="65" spans="2:3" x14ac:dyDescent="0.3">
      <c r="B65" s="773">
        <v>45356</v>
      </c>
      <c r="C65" s="772">
        <v>71</v>
      </c>
    </row>
    <row r="66" spans="2:3" x14ac:dyDescent="0.3">
      <c r="B66" s="773">
        <v>45357</v>
      </c>
      <c r="C66" s="772">
        <v>19.5</v>
      </c>
    </row>
    <row r="67" spans="2:3" x14ac:dyDescent="0.3">
      <c r="B67" s="773">
        <v>45358</v>
      </c>
      <c r="C67" s="772">
        <v>16.5</v>
      </c>
    </row>
    <row r="68" spans="2:3" x14ac:dyDescent="0.3">
      <c r="B68" s="773">
        <v>45359</v>
      </c>
      <c r="C68" s="772">
        <v>0</v>
      </c>
    </row>
    <row r="69" spans="2:3" x14ac:dyDescent="0.3">
      <c r="B69" s="773">
        <v>45360</v>
      </c>
      <c r="C69" s="772">
        <v>0</v>
      </c>
    </row>
    <row r="70" spans="2:3" x14ac:dyDescent="0.3">
      <c r="B70" s="773">
        <v>45361</v>
      </c>
      <c r="C70" s="772">
        <v>8</v>
      </c>
    </row>
    <row r="71" spans="2:3" x14ac:dyDescent="0.3">
      <c r="B71" s="773">
        <v>45362</v>
      </c>
      <c r="C71" s="772">
        <v>0.5</v>
      </c>
    </row>
    <row r="72" spans="2:3" x14ac:dyDescent="0.3">
      <c r="B72" s="773">
        <v>45363</v>
      </c>
      <c r="C72" s="772">
        <v>0</v>
      </c>
    </row>
    <row r="73" spans="2:3" x14ac:dyDescent="0.3">
      <c r="B73" s="773">
        <v>45364</v>
      </c>
      <c r="C73" s="772">
        <v>0</v>
      </c>
    </row>
    <row r="74" spans="2:3" x14ac:dyDescent="0.3">
      <c r="B74" s="773">
        <v>45365</v>
      </c>
      <c r="C74" s="772">
        <v>9</v>
      </c>
    </row>
    <row r="75" spans="2:3" x14ac:dyDescent="0.3">
      <c r="B75" s="773">
        <v>45366</v>
      </c>
      <c r="C75" s="772">
        <v>25</v>
      </c>
    </row>
    <row r="76" spans="2:3" x14ac:dyDescent="0.3">
      <c r="B76" s="773">
        <v>45367</v>
      </c>
      <c r="C76" s="772">
        <v>4</v>
      </c>
    </row>
    <row r="77" spans="2:3" x14ac:dyDescent="0.3">
      <c r="B77" s="773">
        <v>45368</v>
      </c>
      <c r="C77" s="772">
        <v>0</v>
      </c>
    </row>
    <row r="78" spans="2:3" x14ac:dyDescent="0.3">
      <c r="B78" s="773">
        <v>45369</v>
      </c>
      <c r="C78" s="772">
        <v>0</v>
      </c>
    </row>
    <row r="79" spans="2:3" x14ac:dyDescent="0.3">
      <c r="B79" s="773">
        <v>45370</v>
      </c>
      <c r="C79" s="772">
        <v>0</v>
      </c>
    </row>
    <row r="80" spans="2:3" x14ac:dyDescent="0.3">
      <c r="B80" s="773">
        <v>45371</v>
      </c>
      <c r="C80" s="772">
        <v>0</v>
      </c>
    </row>
    <row r="81" spans="2:3" x14ac:dyDescent="0.3">
      <c r="B81" s="773">
        <v>45372</v>
      </c>
      <c r="C81" s="772">
        <v>0</v>
      </c>
    </row>
    <row r="82" spans="2:3" x14ac:dyDescent="0.3">
      <c r="B82" s="773">
        <v>45373</v>
      </c>
      <c r="C82" s="772">
        <v>2</v>
      </c>
    </row>
    <row r="83" spans="2:3" x14ac:dyDescent="0.3">
      <c r="B83" s="773">
        <v>45374</v>
      </c>
      <c r="C83" s="772">
        <v>41.5</v>
      </c>
    </row>
    <row r="84" spans="2:3" x14ac:dyDescent="0.3">
      <c r="B84" s="773">
        <v>45375</v>
      </c>
      <c r="C84" s="772">
        <v>22.5</v>
      </c>
    </row>
    <row r="85" spans="2:3" x14ac:dyDescent="0.3">
      <c r="B85" s="773">
        <v>45376</v>
      </c>
      <c r="C85" s="779">
        <v>31.214285714285701</v>
      </c>
    </row>
    <row r="86" spans="2:3" x14ac:dyDescent="0.3">
      <c r="B86" s="773">
        <v>45377</v>
      </c>
      <c r="C86" s="772">
        <v>0</v>
      </c>
    </row>
    <row r="87" spans="2:3" x14ac:dyDescent="0.3">
      <c r="B87" s="773">
        <v>45378</v>
      </c>
      <c r="C87" s="772">
        <v>1.5</v>
      </c>
    </row>
    <row r="88" spans="2:3" x14ac:dyDescent="0.3">
      <c r="B88" s="773">
        <v>45379</v>
      </c>
      <c r="C88" s="772">
        <v>1.5</v>
      </c>
    </row>
    <row r="89" spans="2:3" x14ac:dyDescent="0.3">
      <c r="B89" s="773">
        <v>45380</v>
      </c>
      <c r="C89" s="772">
        <v>42</v>
      </c>
    </row>
    <row r="90" spans="2:3" x14ac:dyDescent="0.3">
      <c r="B90" s="773">
        <v>45381</v>
      </c>
      <c r="C90" s="772">
        <v>8.5</v>
      </c>
    </row>
    <row r="91" spans="2:3" x14ac:dyDescent="0.3">
      <c r="B91" s="773">
        <v>45382</v>
      </c>
      <c r="C91" s="772">
        <v>75</v>
      </c>
    </row>
    <row r="92" spans="2:3" x14ac:dyDescent="0.3">
      <c r="B92" s="773">
        <v>45383</v>
      </c>
      <c r="C92" s="772">
        <v>5</v>
      </c>
    </row>
    <row r="93" spans="2:3" x14ac:dyDescent="0.3">
      <c r="B93" s="773">
        <v>45384</v>
      </c>
      <c r="C93" s="772">
        <v>4.5</v>
      </c>
    </row>
    <row r="94" spans="2:3" x14ac:dyDescent="0.3">
      <c r="B94" s="773">
        <v>45385</v>
      </c>
      <c r="C94" s="772">
        <v>0</v>
      </c>
    </row>
    <row r="95" spans="2:3" x14ac:dyDescent="0.3">
      <c r="B95" s="773">
        <v>45386</v>
      </c>
      <c r="C95" s="772">
        <v>1</v>
      </c>
    </row>
    <row r="96" spans="2:3" x14ac:dyDescent="0.3">
      <c r="B96" s="773">
        <v>45387</v>
      </c>
      <c r="C96" s="772">
        <v>4.5</v>
      </c>
    </row>
    <row r="97" spans="2:3" x14ac:dyDescent="0.3">
      <c r="B97" s="773">
        <v>45388</v>
      </c>
      <c r="C97" s="772">
        <v>2</v>
      </c>
    </row>
    <row r="98" spans="2:3" x14ac:dyDescent="0.3">
      <c r="B98" s="773">
        <v>45389</v>
      </c>
      <c r="C98" s="772">
        <v>7.5</v>
      </c>
    </row>
    <row r="99" spans="2:3" x14ac:dyDescent="0.3">
      <c r="B99" s="773">
        <v>45390</v>
      </c>
      <c r="C99" s="772">
        <v>18</v>
      </c>
    </row>
    <row r="100" spans="2:3" x14ac:dyDescent="0.3">
      <c r="B100" s="773">
        <v>45391</v>
      </c>
      <c r="C100" s="772">
        <v>0</v>
      </c>
    </row>
    <row r="101" spans="2:3" x14ac:dyDescent="0.3">
      <c r="B101" s="773">
        <v>45392</v>
      </c>
      <c r="C101" s="772">
        <v>0</v>
      </c>
    </row>
    <row r="102" spans="2:3" x14ac:dyDescent="0.3">
      <c r="B102" s="773">
        <v>45393</v>
      </c>
      <c r="C102" s="772">
        <v>0</v>
      </c>
    </row>
    <row r="103" spans="2:3" x14ac:dyDescent="0.3">
      <c r="B103" s="773">
        <v>45394</v>
      </c>
      <c r="C103" s="772">
        <v>0</v>
      </c>
    </row>
    <row r="104" spans="2:3" x14ac:dyDescent="0.3">
      <c r="B104" s="773">
        <v>45395</v>
      </c>
      <c r="C104" s="772">
        <v>0</v>
      </c>
    </row>
    <row r="105" spans="2:3" x14ac:dyDescent="0.3">
      <c r="B105" s="773">
        <v>45396</v>
      </c>
      <c r="C105" s="772">
        <v>0</v>
      </c>
    </row>
    <row r="106" spans="2:3" x14ac:dyDescent="0.3">
      <c r="B106" s="773">
        <v>45397</v>
      </c>
      <c r="C106" s="772">
        <v>1</v>
      </c>
    </row>
    <row r="107" spans="2:3" x14ac:dyDescent="0.3">
      <c r="B107" s="773">
        <v>45398</v>
      </c>
      <c r="C107" s="772">
        <v>0</v>
      </c>
    </row>
    <row r="108" spans="2:3" x14ac:dyDescent="0.3">
      <c r="B108" s="773">
        <v>45399</v>
      </c>
      <c r="C108" s="772">
        <v>3</v>
      </c>
    </row>
    <row r="109" spans="2:3" x14ac:dyDescent="0.3">
      <c r="B109" s="773">
        <v>45400</v>
      </c>
      <c r="C109" s="772">
        <v>0</v>
      </c>
    </row>
    <row r="110" spans="2:3" x14ac:dyDescent="0.3">
      <c r="B110" s="773">
        <v>45401</v>
      </c>
      <c r="C110" s="772">
        <v>1</v>
      </c>
    </row>
    <row r="111" spans="2:3" x14ac:dyDescent="0.3">
      <c r="B111" s="773">
        <v>45402</v>
      </c>
      <c r="C111" s="772">
        <v>10</v>
      </c>
    </row>
    <row r="112" spans="2:3" x14ac:dyDescent="0.3">
      <c r="B112" s="773">
        <v>45403</v>
      </c>
      <c r="C112" s="772">
        <v>20.5</v>
      </c>
    </row>
    <row r="113" spans="2:3" x14ac:dyDescent="0.3">
      <c r="B113" s="773">
        <v>45404</v>
      </c>
      <c r="C113" s="772">
        <v>3</v>
      </c>
    </row>
    <row r="114" spans="2:3" x14ac:dyDescent="0.3">
      <c r="B114" s="773">
        <v>45405</v>
      </c>
      <c r="C114" s="772">
        <v>0</v>
      </c>
    </row>
    <row r="115" spans="2:3" x14ac:dyDescent="0.3">
      <c r="B115" s="773">
        <v>45406</v>
      </c>
      <c r="C115" s="772">
        <v>16</v>
      </c>
    </row>
    <row r="116" spans="2:3" x14ac:dyDescent="0.3">
      <c r="B116" s="773">
        <v>45407</v>
      </c>
      <c r="C116" s="772">
        <v>0</v>
      </c>
    </row>
    <row r="117" spans="2:3" x14ac:dyDescent="0.3">
      <c r="B117" s="773">
        <v>45408</v>
      </c>
      <c r="C117" s="772">
        <v>8</v>
      </c>
    </row>
    <row r="118" spans="2:3" x14ac:dyDescent="0.3">
      <c r="B118" s="773">
        <v>45409</v>
      </c>
      <c r="C118" s="772">
        <v>17</v>
      </c>
    </row>
    <row r="119" spans="2:3" x14ac:dyDescent="0.3">
      <c r="B119" s="773">
        <v>45410</v>
      </c>
      <c r="C119" s="772">
        <v>0</v>
      </c>
    </row>
    <row r="120" spans="2:3" x14ac:dyDescent="0.3">
      <c r="B120" s="773">
        <v>45411</v>
      </c>
      <c r="C120" s="772">
        <v>0</v>
      </c>
    </row>
    <row r="121" spans="2:3" x14ac:dyDescent="0.3">
      <c r="B121" s="773">
        <v>45412</v>
      </c>
      <c r="C121" s="772">
        <v>3</v>
      </c>
    </row>
    <row r="122" spans="2:3" x14ac:dyDescent="0.3">
      <c r="B122" s="773">
        <v>45413</v>
      </c>
      <c r="C122" s="772">
        <v>23.5</v>
      </c>
    </row>
    <row r="123" spans="2:3" x14ac:dyDescent="0.3">
      <c r="B123" s="773">
        <v>45414</v>
      </c>
      <c r="C123" s="772">
        <v>36.5</v>
      </c>
    </row>
    <row r="124" spans="2:3" x14ac:dyDescent="0.3">
      <c r="B124" s="773">
        <v>45415</v>
      </c>
      <c r="C124" s="772">
        <v>14.5</v>
      </c>
    </row>
    <row r="125" spans="2:3" x14ac:dyDescent="0.3">
      <c r="B125" s="773">
        <v>45416</v>
      </c>
      <c r="C125" s="772">
        <v>1.5</v>
      </c>
    </row>
    <row r="126" spans="2:3" x14ac:dyDescent="0.3">
      <c r="B126" s="773">
        <v>45417</v>
      </c>
      <c r="C126" s="772">
        <v>0</v>
      </c>
    </row>
    <row r="127" spans="2:3" x14ac:dyDescent="0.3">
      <c r="B127" s="773">
        <v>45418</v>
      </c>
      <c r="C127" s="772">
        <v>1</v>
      </c>
    </row>
    <row r="128" spans="2:3" x14ac:dyDescent="0.3">
      <c r="B128" s="773">
        <v>45419</v>
      </c>
      <c r="C128" s="772">
        <v>0</v>
      </c>
    </row>
    <row r="129" spans="2:3" x14ac:dyDescent="0.3">
      <c r="B129" s="773">
        <v>45420</v>
      </c>
      <c r="C129" s="772">
        <v>0.5</v>
      </c>
    </row>
    <row r="130" spans="2:3" x14ac:dyDescent="0.3">
      <c r="B130" s="773">
        <v>45421</v>
      </c>
      <c r="C130" s="772">
        <v>1.5</v>
      </c>
    </row>
    <row r="131" spans="2:3" x14ac:dyDescent="0.3">
      <c r="B131" s="773">
        <v>45422</v>
      </c>
      <c r="C131" s="772">
        <v>33</v>
      </c>
    </row>
    <row r="132" spans="2:3" x14ac:dyDescent="0.3">
      <c r="B132" s="773">
        <v>45423</v>
      </c>
      <c r="C132" s="772">
        <v>0</v>
      </c>
    </row>
    <row r="133" spans="2:3" x14ac:dyDescent="0.3">
      <c r="B133" s="773">
        <v>45424</v>
      </c>
      <c r="C133" s="772">
        <v>1</v>
      </c>
    </row>
    <row r="134" spans="2:3" x14ac:dyDescent="0.3">
      <c r="B134" s="773">
        <v>45425</v>
      </c>
      <c r="C134" s="772">
        <v>75</v>
      </c>
    </row>
    <row r="135" spans="2:3" x14ac:dyDescent="0.3">
      <c r="B135" s="773">
        <v>45426</v>
      </c>
      <c r="C135" s="772">
        <v>0</v>
      </c>
    </row>
    <row r="136" spans="2:3" x14ac:dyDescent="0.3">
      <c r="B136" s="773">
        <v>45427</v>
      </c>
      <c r="C136" s="772">
        <v>34</v>
      </c>
    </row>
    <row r="137" spans="2:3" x14ac:dyDescent="0.3">
      <c r="B137" s="773">
        <v>45428</v>
      </c>
      <c r="C137" s="772">
        <v>5</v>
      </c>
    </row>
    <row r="138" spans="2:3" x14ac:dyDescent="0.3">
      <c r="B138" s="773">
        <v>45429</v>
      </c>
      <c r="C138" s="772">
        <v>14</v>
      </c>
    </row>
    <row r="139" spans="2:3" x14ac:dyDescent="0.3">
      <c r="B139" s="773">
        <v>45430</v>
      </c>
      <c r="C139" s="772">
        <v>1.5</v>
      </c>
    </row>
    <row r="140" spans="2:3" x14ac:dyDescent="0.3">
      <c r="B140" s="773">
        <v>45431</v>
      </c>
      <c r="C140" s="772">
        <v>2</v>
      </c>
    </row>
    <row r="141" spans="2:3" x14ac:dyDescent="0.3">
      <c r="B141" s="773">
        <v>45432</v>
      </c>
      <c r="C141" s="772">
        <v>11</v>
      </c>
    </row>
    <row r="142" spans="2:3" x14ac:dyDescent="0.3">
      <c r="B142" s="773">
        <v>45433</v>
      </c>
      <c r="C142" s="772">
        <v>25.5</v>
      </c>
    </row>
    <row r="143" spans="2:3" x14ac:dyDescent="0.3">
      <c r="B143" s="773">
        <v>45434</v>
      </c>
      <c r="C143" s="772">
        <v>5</v>
      </c>
    </row>
    <row r="144" spans="2:3" x14ac:dyDescent="0.3">
      <c r="B144" s="773">
        <v>45435</v>
      </c>
      <c r="C144" s="772">
        <v>5.5</v>
      </c>
    </row>
    <row r="145" spans="2:3" x14ac:dyDescent="0.3">
      <c r="B145" s="773">
        <v>45436</v>
      </c>
      <c r="C145" s="772">
        <v>5.5</v>
      </c>
    </row>
    <row r="146" spans="2:3" x14ac:dyDescent="0.3">
      <c r="B146" s="773">
        <v>45437</v>
      </c>
      <c r="C146" s="772">
        <v>60.5</v>
      </c>
    </row>
    <row r="147" spans="2:3" x14ac:dyDescent="0.3">
      <c r="B147" s="773">
        <v>45438</v>
      </c>
      <c r="C147" s="772">
        <v>0</v>
      </c>
    </row>
    <row r="148" spans="2:3" x14ac:dyDescent="0.3">
      <c r="B148" s="773">
        <v>45439</v>
      </c>
      <c r="C148" s="772">
        <v>19</v>
      </c>
    </row>
    <row r="149" spans="2:3" x14ac:dyDescent="0.3">
      <c r="B149" s="773">
        <v>45440</v>
      </c>
      <c r="C149" s="772">
        <v>6</v>
      </c>
    </row>
    <row r="150" spans="2:3" x14ac:dyDescent="0.3">
      <c r="B150" s="773">
        <v>45441</v>
      </c>
      <c r="C150" s="772">
        <v>0</v>
      </c>
    </row>
    <row r="151" spans="2:3" x14ac:dyDescent="0.3">
      <c r="B151" s="773">
        <v>45442</v>
      </c>
      <c r="C151" s="772">
        <v>0.5</v>
      </c>
    </row>
    <row r="152" spans="2:3" x14ac:dyDescent="0.3">
      <c r="B152" s="773">
        <v>45443</v>
      </c>
      <c r="C152" s="772">
        <v>13</v>
      </c>
    </row>
    <row r="153" spans="2:3" x14ac:dyDescent="0.3">
      <c r="B153" s="773">
        <v>45444</v>
      </c>
      <c r="C153" s="772">
        <v>12.5</v>
      </c>
    </row>
    <row r="154" spans="2:3" x14ac:dyDescent="0.3">
      <c r="B154" s="773">
        <v>45445</v>
      </c>
      <c r="C154" s="774">
        <v>0</v>
      </c>
    </row>
    <row r="155" spans="2:3" x14ac:dyDescent="0.3">
      <c r="B155" s="773">
        <v>45446</v>
      </c>
      <c r="C155" s="775">
        <v>32.5</v>
      </c>
    </row>
    <row r="156" spans="2:3" x14ac:dyDescent="0.3">
      <c r="B156" s="773">
        <v>45447</v>
      </c>
      <c r="C156" s="775">
        <v>63</v>
      </c>
    </row>
    <row r="157" spans="2:3" x14ac:dyDescent="0.3">
      <c r="B157" s="773">
        <v>45448</v>
      </c>
      <c r="C157" s="775">
        <v>2</v>
      </c>
    </row>
    <row r="158" spans="2:3" x14ac:dyDescent="0.3">
      <c r="B158" s="773">
        <v>45449</v>
      </c>
      <c r="C158" s="775">
        <v>52.5</v>
      </c>
    </row>
    <row r="159" spans="2:3" x14ac:dyDescent="0.3">
      <c r="B159" s="773">
        <v>45450</v>
      </c>
      <c r="C159" s="775">
        <v>12</v>
      </c>
    </row>
    <row r="160" spans="2:3" x14ac:dyDescent="0.3">
      <c r="B160" s="773">
        <v>45451</v>
      </c>
      <c r="C160" s="775">
        <v>1.5</v>
      </c>
    </row>
    <row r="161" spans="2:3" x14ac:dyDescent="0.3">
      <c r="B161" s="773">
        <v>45452</v>
      </c>
      <c r="C161" s="775">
        <v>1.5</v>
      </c>
    </row>
    <row r="162" spans="2:3" x14ac:dyDescent="0.3">
      <c r="B162" s="773">
        <v>45453</v>
      </c>
      <c r="C162" s="775">
        <v>3.5</v>
      </c>
    </row>
    <row r="163" spans="2:3" x14ac:dyDescent="0.3">
      <c r="B163" s="773">
        <v>45454</v>
      </c>
      <c r="C163" s="775">
        <v>6</v>
      </c>
    </row>
    <row r="164" spans="2:3" x14ac:dyDescent="0.3">
      <c r="B164" s="773">
        <v>45455</v>
      </c>
      <c r="C164" s="775">
        <v>17.5</v>
      </c>
    </row>
    <row r="165" spans="2:3" x14ac:dyDescent="0.3">
      <c r="B165" s="773">
        <v>45456</v>
      </c>
      <c r="C165" s="775">
        <v>6</v>
      </c>
    </row>
    <row r="166" spans="2:3" x14ac:dyDescent="0.3">
      <c r="B166" s="773">
        <v>45457</v>
      </c>
      <c r="C166" s="775">
        <v>0</v>
      </c>
    </row>
    <row r="167" spans="2:3" x14ac:dyDescent="0.3">
      <c r="B167" s="773">
        <v>45458</v>
      </c>
      <c r="C167" s="775">
        <v>0</v>
      </c>
    </row>
    <row r="168" spans="2:3" x14ac:dyDescent="0.3">
      <c r="B168" s="773">
        <v>45459</v>
      </c>
      <c r="C168" s="776">
        <v>1.5</v>
      </c>
    </row>
    <row r="169" spans="2:3" x14ac:dyDescent="0.3">
      <c r="B169" s="773">
        <v>45460</v>
      </c>
      <c r="C169" s="776">
        <v>0</v>
      </c>
    </row>
    <row r="170" spans="2:3" x14ac:dyDescent="0.3">
      <c r="B170" s="773">
        <v>45461</v>
      </c>
      <c r="C170" s="776">
        <v>19</v>
      </c>
    </row>
    <row r="171" spans="2:3" x14ac:dyDescent="0.3">
      <c r="B171" s="773">
        <v>45462</v>
      </c>
      <c r="C171" s="776">
        <v>111.5</v>
      </c>
    </row>
    <row r="172" spans="2:3" x14ac:dyDescent="0.3">
      <c r="B172" s="773">
        <v>45463</v>
      </c>
      <c r="C172" s="776">
        <v>2</v>
      </c>
    </row>
    <row r="173" spans="2:3" x14ac:dyDescent="0.3">
      <c r="B173" s="773">
        <v>45464</v>
      </c>
      <c r="C173" s="776">
        <v>25.5</v>
      </c>
    </row>
    <row r="174" spans="2:3" x14ac:dyDescent="0.3">
      <c r="B174" s="773">
        <v>45465</v>
      </c>
      <c r="C174" s="776">
        <v>20.5</v>
      </c>
    </row>
    <row r="175" spans="2:3" x14ac:dyDescent="0.3">
      <c r="B175" s="773">
        <v>45466</v>
      </c>
      <c r="C175" s="776">
        <v>7</v>
      </c>
    </row>
    <row r="176" spans="2:3" x14ac:dyDescent="0.3">
      <c r="B176" s="773">
        <v>45467</v>
      </c>
      <c r="C176" s="776">
        <v>10.5</v>
      </c>
    </row>
    <row r="177" spans="2:3" x14ac:dyDescent="0.3">
      <c r="B177" s="773">
        <v>45468</v>
      </c>
      <c r="C177" s="776">
        <v>15</v>
      </c>
    </row>
    <row r="178" spans="2:3" x14ac:dyDescent="0.3">
      <c r="B178" s="773">
        <v>45469</v>
      </c>
      <c r="C178" s="776">
        <v>175.5</v>
      </c>
    </row>
    <row r="179" spans="2:3" x14ac:dyDescent="0.3">
      <c r="B179" s="773">
        <v>45470</v>
      </c>
      <c r="C179" s="776">
        <v>22.5</v>
      </c>
    </row>
    <row r="180" spans="2:3" x14ac:dyDescent="0.3">
      <c r="B180" s="773">
        <v>45471</v>
      </c>
      <c r="C180" s="776">
        <v>3</v>
      </c>
    </row>
    <row r="181" spans="2:3" x14ac:dyDescent="0.3">
      <c r="B181" s="773">
        <v>45472</v>
      </c>
      <c r="C181" s="776">
        <v>0</v>
      </c>
    </row>
    <row r="182" spans="2:3" x14ac:dyDescent="0.3">
      <c r="B182" s="773">
        <v>45473</v>
      </c>
      <c r="C182" s="776">
        <v>0</v>
      </c>
    </row>
    <row r="183" spans="2:3" x14ac:dyDescent="0.3">
      <c r="B183" s="773">
        <v>45474</v>
      </c>
      <c r="C183" s="776">
        <v>27</v>
      </c>
    </row>
    <row r="184" spans="2:3" x14ac:dyDescent="0.3">
      <c r="B184" s="773">
        <v>45475</v>
      </c>
      <c r="C184" s="776">
        <v>3.5</v>
      </c>
    </row>
    <row r="185" spans="2:3" x14ac:dyDescent="0.3">
      <c r="B185" s="773">
        <v>45476</v>
      </c>
      <c r="C185" s="776">
        <v>25</v>
      </c>
    </row>
    <row r="186" spans="2:3" x14ac:dyDescent="0.3">
      <c r="B186" s="773">
        <v>45477</v>
      </c>
      <c r="C186" s="776">
        <v>3.5</v>
      </c>
    </row>
    <row r="187" spans="2:3" x14ac:dyDescent="0.3">
      <c r="B187" s="773">
        <v>45478</v>
      </c>
      <c r="C187" s="776">
        <v>33</v>
      </c>
    </row>
    <row r="188" spans="2:3" x14ac:dyDescent="0.3">
      <c r="B188" s="773">
        <v>45479</v>
      </c>
      <c r="C188" s="776">
        <v>31</v>
      </c>
    </row>
    <row r="189" spans="2:3" x14ac:dyDescent="0.3">
      <c r="B189" s="773">
        <v>45480</v>
      </c>
      <c r="C189" s="776">
        <v>1.5</v>
      </c>
    </row>
    <row r="190" spans="2:3" x14ac:dyDescent="0.3">
      <c r="B190" s="773">
        <v>45481</v>
      </c>
      <c r="C190" s="776">
        <v>15</v>
      </c>
    </row>
    <row r="191" spans="2:3" x14ac:dyDescent="0.3">
      <c r="B191" s="773">
        <v>45482</v>
      </c>
      <c r="C191" s="776">
        <v>14</v>
      </c>
    </row>
    <row r="192" spans="2:3" x14ac:dyDescent="0.3">
      <c r="B192" s="773">
        <v>45483</v>
      </c>
      <c r="C192" s="776">
        <v>135.5</v>
      </c>
    </row>
    <row r="193" spans="2:3" x14ac:dyDescent="0.3">
      <c r="B193" s="773">
        <v>45484</v>
      </c>
      <c r="C193" s="776">
        <v>75</v>
      </c>
    </row>
    <row r="194" spans="2:3" x14ac:dyDescent="0.3">
      <c r="B194" s="773">
        <v>45485</v>
      </c>
      <c r="C194" s="776">
        <v>2</v>
      </c>
    </row>
    <row r="195" spans="2:3" x14ac:dyDescent="0.3">
      <c r="B195" s="773">
        <v>45486</v>
      </c>
      <c r="C195" s="776">
        <v>0</v>
      </c>
    </row>
    <row r="196" spans="2:3" x14ac:dyDescent="0.3">
      <c r="B196" s="773">
        <v>45487</v>
      </c>
      <c r="C196" s="776">
        <v>0</v>
      </c>
    </row>
    <row r="197" spans="2:3" x14ac:dyDescent="0.3">
      <c r="B197" s="773">
        <v>45488</v>
      </c>
      <c r="C197" s="776">
        <v>0</v>
      </c>
    </row>
    <row r="198" spans="2:3" x14ac:dyDescent="0.3">
      <c r="B198" s="773">
        <v>45489</v>
      </c>
      <c r="C198" s="776">
        <v>19</v>
      </c>
    </row>
    <row r="199" spans="2:3" x14ac:dyDescent="0.3">
      <c r="B199" s="773">
        <v>45490</v>
      </c>
      <c r="C199" s="776">
        <v>7.5</v>
      </c>
    </row>
    <row r="200" spans="2:3" x14ac:dyDescent="0.3">
      <c r="B200" s="773">
        <v>45491</v>
      </c>
      <c r="C200" s="776">
        <v>4.5</v>
      </c>
    </row>
    <row r="201" spans="2:3" x14ac:dyDescent="0.3">
      <c r="B201" s="773">
        <v>45492</v>
      </c>
      <c r="C201" s="776">
        <v>4.5</v>
      </c>
    </row>
    <row r="202" spans="2:3" x14ac:dyDescent="0.3">
      <c r="B202" s="773">
        <v>45493</v>
      </c>
      <c r="C202" s="776">
        <v>0.5</v>
      </c>
    </row>
    <row r="203" spans="2:3" x14ac:dyDescent="0.3">
      <c r="B203" s="773">
        <v>45494</v>
      </c>
      <c r="C203" s="776">
        <v>2</v>
      </c>
    </row>
    <row r="204" spans="2:3" x14ac:dyDescent="0.3">
      <c r="B204" s="773">
        <v>45495</v>
      </c>
      <c r="C204" s="776">
        <v>20.5</v>
      </c>
    </row>
    <row r="205" spans="2:3" x14ac:dyDescent="0.3">
      <c r="B205" s="773">
        <v>45496</v>
      </c>
      <c r="C205" s="776">
        <v>5.5</v>
      </c>
    </row>
    <row r="206" spans="2:3" x14ac:dyDescent="0.3">
      <c r="B206" s="773">
        <v>45497</v>
      </c>
      <c r="C206" s="776">
        <v>2</v>
      </c>
    </row>
    <row r="207" spans="2:3" x14ac:dyDescent="0.3">
      <c r="B207" s="773">
        <v>45498</v>
      </c>
      <c r="C207" s="776">
        <v>0</v>
      </c>
    </row>
    <row r="208" spans="2:3" x14ac:dyDescent="0.3">
      <c r="B208" s="773">
        <v>45499</v>
      </c>
      <c r="C208" s="776">
        <v>0</v>
      </c>
    </row>
    <row r="209" spans="2:3" x14ac:dyDescent="0.3">
      <c r="B209" s="773">
        <v>45500</v>
      </c>
      <c r="C209" s="776">
        <v>0</v>
      </c>
    </row>
    <row r="210" spans="2:3" x14ac:dyDescent="0.3">
      <c r="B210" s="773">
        <v>45501</v>
      </c>
      <c r="C210" s="776">
        <v>0</v>
      </c>
    </row>
    <row r="211" spans="2:3" x14ac:dyDescent="0.3">
      <c r="B211" s="773">
        <v>45502</v>
      </c>
      <c r="C211" s="776">
        <v>0</v>
      </c>
    </row>
    <row r="212" spans="2:3" x14ac:dyDescent="0.3">
      <c r="B212" s="773">
        <v>45503</v>
      </c>
      <c r="C212" s="776">
        <v>0</v>
      </c>
    </row>
    <row r="213" spans="2:3" x14ac:dyDescent="0.3">
      <c r="B213" s="773">
        <v>45504</v>
      </c>
      <c r="C213" s="776">
        <v>0</v>
      </c>
    </row>
    <row r="214" spans="2:3" x14ac:dyDescent="0.3">
      <c r="B214" s="773">
        <v>45505</v>
      </c>
      <c r="C214" s="776">
        <v>6</v>
      </c>
    </row>
    <row r="215" spans="2:3" x14ac:dyDescent="0.3">
      <c r="B215" s="773">
        <v>45506</v>
      </c>
      <c r="C215" s="776">
        <v>3</v>
      </c>
    </row>
    <row r="216" spans="2:3" x14ac:dyDescent="0.3">
      <c r="B216" s="773">
        <v>45507</v>
      </c>
      <c r="C216" s="776">
        <v>96</v>
      </c>
    </row>
    <row r="217" spans="2:3" x14ac:dyDescent="0.3">
      <c r="B217" s="773">
        <v>45508</v>
      </c>
      <c r="C217" s="776">
        <v>13.5</v>
      </c>
    </row>
    <row r="218" spans="2:3" x14ac:dyDescent="0.3">
      <c r="B218" s="773">
        <v>45509</v>
      </c>
      <c r="C218" s="776">
        <v>8</v>
      </c>
    </row>
    <row r="219" spans="2:3" x14ac:dyDescent="0.3">
      <c r="B219" s="773">
        <v>45510</v>
      </c>
      <c r="C219" s="776">
        <v>1.5</v>
      </c>
    </row>
    <row r="220" spans="2:3" x14ac:dyDescent="0.3">
      <c r="B220" s="773">
        <v>45511</v>
      </c>
      <c r="C220" s="776">
        <v>70</v>
      </c>
    </row>
    <row r="221" spans="2:3" x14ac:dyDescent="0.3">
      <c r="B221" s="773">
        <v>45512</v>
      </c>
      <c r="C221" s="776">
        <v>0.5</v>
      </c>
    </row>
    <row r="222" spans="2:3" x14ac:dyDescent="0.3">
      <c r="B222" s="773">
        <v>45513</v>
      </c>
      <c r="C222" s="776">
        <v>53</v>
      </c>
    </row>
    <row r="223" spans="2:3" x14ac:dyDescent="0.3">
      <c r="B223" s="773">
        <v>45514</v>
      </c>
      <c r="C223" s="776">
        <v>18.5</v>
      </c>
    </row>
    <row r="224" spans="2:3" x14ac:dyDescent="0.3">
      <c r="B224" s="773">
        <v>45515</v>
      </c>
      <c r="C224" s="776">
        <v>24</v>
      </c>
    </row>
    <row r="225" spans="2:3" x14ac:dyDescent="0.3">
      <c r="B225" s="773">
        <v>45516</v>
      </c>
      <c r="C225" s="778">
        <v>74</v>
      </c>
    </row>
    <row r="226" spans="2:3" x14ac:dyDescent="0.3">
      <c r="B226" s="773">
        <v>45517</v>
      </c>
      <c r="C226" s="778">
        <v>230</v>
      </c>
    </row>
    <row r="227" spans="2:3" x14ac:dyDescent="0.3">
      <c r="B227" s="773">
        <v>45518</v>
      </c>
      <c r="C227" s="778">
        <v>2</v>
      </c>
    </row>
    <row r="228" spans="2:3" x14ac:dyDescent="0.3">
      <c r="B228" s="773">
        <v>45519</v>
      </c>
      <c r="C228" s="778">
        <v>3</v>
      </c>
    </row>
    <row r="229" spans="2:3" x14ac:dyDescent="0.3">
      <c r="B229" s="773">
        <v>45520</v>
      </c>
      <c r="C229" s="778">
        <v>8.5</v>
      </c>
    </row>
    <row r="230" spans="2:3" x14ac:dyDescent="0.3">
      <c r="B230" s="773">
        <v>45521</v>
      </c>
      <c r="C230" s="778">
        <v>33.5</v>
      </c>
    </row>
    <row r="231" spans="2:3" x14ac:dyDescent="0.3">
      <c r="B231" s="773">
        <v>45522</v>
      </c>
      <c r="C231" s="778">
        <v>2.5</v>
      </c>
    </row>
    <row r="232" spans="2:3" x14ac:dyDescent="0.3">
      <c r="B232" s="773">
        <v>45523</v>
      </c>
      <c r="C232" s="778">
        <v>2</v>
      </c>
    </row>
    <row r="233" spans="2:3" x14ac:dyDescent="0.3">
      <c r="B233" s="773">
        <v>45524</v>
      </c>
      <c r="C233" s="778">
        <v>10</v>
      </c>
    </row>
    <row r="234" spans="2:3" x14ac:dyDescent="0.3">
      <c r="B234" s="773">
        <v>45525</v>
      </c>
      <c r="C234" s="778">
        <v>56</v>
      </c>
    </row>
    <row r="235" spans="2:3" x14ac:dyDescent="0.3">
      <c r="B235" s="773">
        <v>45526</v>
      </c>
      <c r="C235" s="778">
        <v>5.5</v>
      </c>
    </row>
    <row r="236" spans="2:3" x14ac:dyDescent="0.3">
      <c r="B236" s="773">
        <v>45527</v>
      </c>
      <c r="C236" s="778">
        <v>3</v>
      </c>
    </row>
    <row r="237" spans="2:3" x14ac:dyDescent="0.3">
      <c r="B237" s="773">
        <v>45528</v>
      </c>
      <c r="C237" s="778">
        <v>19.5</v>
      </c>
    </row>
    <row r="238" spans="2:3" x14ac:dyDescent="0.3">
      <c r="B238" s="773">
        <v>45529</v>
      </c>
      <c r="C238" s="778">
        <v>2.5</v>
      </c>
    </row>
    <row r="239" spans="2:3" x14ac:dyDescent="0.3">
      <c r="B239" s="773">
        <v>45530</v>
      </c>
      <c r="C239" s="778">
        <v>20</v>
      </c>
    </row>
    <row r="240" spans="2:3" x14ac:dyDescent="0.3">
      <c r="B240" s="773">
        <v>45531</v>
      </c>
      <c r="C240" s="778">
        <v>15</v>
      </c>
    </row>
    <row r="241" spans="2:3" x14ac:dyDescent="0.3">
      <c r="B241" s="773">
        <v>45532</v>
      </c>
      <c r="C241" s="778">
        <v>125</v>
      </c>
    </row>
    <row r="242" spans="2:3" x14ac:dyDescent="0.3">
      <c r="B242" s="773">
        <v>45533</v>
      </c>
      <c r="C242" s="778">
        <v>25</v>
      </c>
    </row>
    <row r="243" spans="2:3" x14ac:dyDescent="0.3">
      <c r="B243" s="773">
        <v>45534</v>
      </c>
      <c r="C243" s="778">
        <v>32</v>
      </c>
    </row>
    <row r="244" spans="2:3" x14ac:dyDescent="0.3">
      <c r="B244" s="773">
        <v>45535</v>
      </c>
      <c r="C244" s="778">
        <v>2.5</v>
      </c>
    </row>
    <row r="245" spans="2:3" x14ac:dyDescent="0.3">
      <c r="B245" s="773">
        <v>45536</v>
      </c>
      <c r="C245" s="777">
        <v>0</v>
      </c>
    </row>
    <row r="246" spans="2:3" x14ac:dyDescent="0.3">
      <c r="B246" s="773">
        <v>45537</v>
      </c>
      <c r="C246" s="777">
        <v>0</v>
      </c>
    </row>
    <row r="247" spans="2:3" x14ac:dyDescent="0.3">
      <c r="B247" s="773">
        <v>45538</v>
      </c>
      <c r="C247" s="777">
        <v>0</v>
      </c>
    </row>
    <row r="248" spans="2:3" x14ac:dyDescent="0.3">
      <c r="B248" s="773">
        <v>45539</v>
      </c>
      <c r="C248" s="777">
        <v>0</v>
      </c>
    </row>
    <row r="249" spans="2:3" x14ac:dyDescent="0.3">
      <c r="B249" s="773">
        <v>45540</v>
      </c>
      <c r="C249" s="777">
        <v>0</v>
      </c>
    </row>
    <row r="250" spans="2:3" x14ac:dyDescent="0.3">
      <c r="B250" s="773">
        <v>45541</v>
      </c>
      <c r="C250" s="777">
        <v>0</v>
      </c>
    </row>
    <row r="251" spans="2:3" x14ac:dyDescent="0.3">
      <c r="B251" s="773">
        <v>45542</v>
      </c>
      <c r="C251" s="777">
        <v>8</v>
      </c>
    </row>
    <row r="252" spans="2:3" x14ac:dyDescent="0.3">
      <c r="B252" s="773">
        <v>45543</v>
      </c>
      <c r="C252" s="777">
        <v>0</v>
      </c>
    </row>
    <row r="253" spans="2:3" x14ac:dyDescent="0.3">
      <c r="B253" s="773">
        <v>45544</v>
      </c>
      <c r="C253" s="777">
        <v>1</v>
      </c>
    </row>
    <row r="254" spans="2:3" x14ac:dyDescent="0.3">
      <c r="B254" s="773">
        <v>45545</v>
      </c>
      <c r="C254" s="777">
        <v>0</v>
      </c>
    </row>
    <row r="255" spans="2:3" x14ac:dyDescent="0.3">
      <c r="B255" s="773">
        <v>45546</v>
      </c>
      <c r="C255" s="777">
        <v>0</v>
      </c>
    </row>
    <row r="256" spans="2:3" x14ac:dyDescent="0.3">
      <c r="B256" s="773">
        <v>45547</v>
      </c>
      <c r="C256" s="777">
        <v>0</v>
      </c>
    </row>
    <row r="257" spans="2:3" x14ac:dyDescent="0.3">
      <c r="B257" s="773">
        <v>45548</v>
      </c>
      <c r="C257" s="777">
        <v>0</v>
      </c>
    </row>
    <row r="258" spans="2:3" x14ac:dyDescent="0.3">
      <c r="B258" s="773">
        <v>45549</v>
      </c>
      <c r="C258" s="777">
        <v>0</v>
      </c>
    </row>
    <row r="259" spans="2:3" x14ac:dyDescent="0.3">
      <c r="B259" s="773">
        <v>45550</v>
      </c>
      <c r="C259" s="777">
        <v>0</v>
      </c>
    </row>
    <row r="260" spans="2:3" x14ac:dyDescent="0.3">
      <c r="B260" s="773">
        <v>45551</v>
      </c>
      <c r="C260" s="777">
        <v>0</v>
      </c>
    </row>
    <row r="261" spans="2:3" x14ac:dyDescent="0.3">
      <c r="B261" s="773">
        <v>45552</v>
      </c>
      <c r="C261" s="777">
        <v>0</v>
      </c>
    </row>
    <row r="262" spans="2:3" x14ac:dyDescent="0.3">
      <c r="B262" s="773">
        <v>45553</v>
      </c>
      <c r="C262" s="777">
        <v>0</v>
      </c>
    </row>
    <row r="263" spans="2:3" x14ac:dyDescent="0.3">
      <c r="B263" s="773">
        <v>45554</v>
      </c>
      <c r="C263" s="777">
        <v>0</v>
      </c>
    </row>
    <row r="264" spans="2:3" x14ac:dyDescent="0.3">
      <c r="B264" s="773">
        <v>45555</v>
      </c>
      <c r="C264" s="777">
        <v>0</v>
      </c>
    </row>
    <row r="265" spans="2:3" x14ac:dyDescent="0.3">
      <c r="B265" s="773">
        <v>45556</v>
      </c>
      <c r="C265" s="777">
        <v>8</v>
      </c>
    </row>
    <row r="266" spans="2:3" x14ac:dyDescent="0.3">
      <c r="B266" s="773">
        <v>45557</v>
      </c>
      <c r="C266" s="777">
        <v>0</v>
      </c>
    </row>
    <row r="267" spans="2:3" x14ac:dyDescent="0.3">
      <c r="B267" s="773">
        <v>45558</v>
      </c>
      <c r="C267" s="777">
        <v>1.5</v>
      </c>
    </row>
    <row r="268" spans="2:3" x14ac:dyDescent="0.3">
      <c r="B268" s="773">
        <v>45559</v>
      </c>
      <c r="C268" s="777">
        <v>37.5</v>
      </c>
    </row>
    <row r="269" spans="2:3" x14ac:dyDescent="0.3">
      <c r="B269" s="773">
        <v>45560</v>
      </c>
      <c r="C269" s="777">
        <v>0</v>
      </c>
    </row>
    <row r="270" spans="2:3" x14ac:dyDescent="0.3">
      <c r="B270" s="773">
        <v>45561</v>
      </c>
      <c r="C270" s="777">
        <v>0</v>
      </c>
    </row>
    <row r="271" spans="2:3" x14ac:dyDescent="0.3">
      <c r="B271" s="773">
        <v>45562</v>
      </c>
      <c r="C271" s="777">
        <v>0</v>
      </c>
    </row>
    <row r="272" spans="2:3" x14ac:dyDescent="0.3">
      <c r="B272" s="773">
        <v>45563</v>
      </c>
      <c r="C272" s="777">
        <v>5.5</v>
      </c>
    </row>
    <row r="273" spans="2:3" x14ac:dyDescent="0.3">
      <c r="B273" s="773">
        <v>45564</v>
      </c>
      <c r="C273" s="777">
        <v>0</v>
      </c>
    </row>
    <row r="274" spans="2:3" x14ac:dyDescent="0.3">
      <c r="B274" s="773">
        <v>45565</v>
      </c>
      <c r="C274" s="777">
        <v>0</v>
      </c>
    </row>
    <row r="275" spans="2:3" x14ac:dyDescent="0.3">
      <c r="B275" s="773">
        <v>45566</v>
      </c>
      <c r="C275" s="777">
        <v>13</v>
      </c>
    </row>
    <row r="276" spans="2:3" x14ac:dyDescent="0.3">
      <c r="B276" s="773">
        <v>45567</v>
      </c>
      <c r="C276" s="777">
        <v>28</v>
      </c>
    </row>
    <row r="277" spans="2:3" x14ac:dyDescent="0.3">
      <c r="B277" s="773">
        <v>45568</v>
      </c>
      <c r="C277" s="777">
        <v>33</v>
      </c>
    </row>
    <row r="278" spans="2:3" x14ac:dyDescent="0.3">
      <c r="B278" s="773">
        <v>45569</v>
      </c>
      <c r="C278" s="777">
        <v>0.5</v>
      </c>
    </row>
    <row r="279" spans="2:3" x14ac:dyDescent="0.3">
      <c r="B279" s="773">
        <v>45570</v>
      </c>
      <c r="C279" s="777">
        <v>18</v>
      </c>
    </row>
    <row r="280" spans="2:3" x14ac:dyDescent="0.3">
      <c r="B280" s="773">
        <v>45571</v>
      </c>
      <c r="C280" s="777">
        <v>11.5</v>
      </c>
    </row>
    <row r="281" spans="2:3" x14ac:dyDescent="0.3">
      <c r="B281" s="773">
        <v>45572</v>
      </c>
      <c r="C281" s="777">
        <v>1.5</v>
      </c>
    </row>
    <row r="282" spans="2:3" x14ac:dyDescent="0.3">
      <c r="B282" s="773">
        <v>45573</v>
      </c>
      <c r="C282" s="777">
        <v>0</v>
      </c>
    </row>
    <row r="283" spans="2:3" x14ac:dyDescent="0.3">
      <c r="B283" s="773">
        <v>45574</v>
      </c>
      <c r="C283" s="777">
        <v>0</v>
      </c>
    </row>
    <row r="284" spans="2:3" x14ac:dyDescent="0.3">
      <c r="B284" s="773">
        <v>45575</v>
      </c>
      <c r="C284" s="777">
        <v>25</v>
      </c>
    </row>
    <row r="285" spans="2:3" x14ac:dyDescent="0.3">
      <c r="B285" s="773">
        <v>45576</v>
      </c>
      <c r="C285" s="777">
        <v>0</v>
      </c>
    </row>
    <row r="286" spans="2:3" x14ac:dyDescent="0.3">
      <c r="B286" s="773">
        <v>45577</v>
      </c>
      <c r="C286" s="777">
        <v>0</v>
      </c>
    </row>
    <row r="287" spans="2:3" x14ac:dyDescent="0.3">
      <c r="B287" s="773">
        <v>45578</v>
      </c>
      <c r="C287" s="777">
        <v>0</v>
      </c>
    </row>
    <row r="288" spans="2:3" x14ac:dyDescent="0.3">
      <c r="B288" s="773">
        <v>45579</v>
      </c>
      <c r="C288" s="777">
        <v>0</v>
      </c>
    </row>
    <row r="289" spans="2:3" x14ac:dyDescent="0.3">
      <c r="B289" s="773">
        <v>45580</v>
      </c>
      <c r="C289" s="777">
        <v>0</v>
      </c>
    </row>
    <row r="290" spans="2:3" x14ac:dyDescent="0.3">
      <c r="B290" s="773">
        <v>45581</v>
      </c>
      <c r="C290" s="777">
        <v>12.5</v>
      </c>
    </row>
    <row r="291" spans="2:3" x14ac:dyDescent="0.3">
      <c r="B291" s="773">
        <v>45582</v>
      </c>
      <c r="C291" s="777">
        <v>8</v>
      </c>
    </row>
    <row r="292" spans="2:3" x14ac:dyDescent="0.3">
      <c r="B292" s="773">
        <v>45583</v>
      </c>
      <c r="C292" s="777">
        <v>1</v>
      </c>
    </row>
    <row r="293" spans="2:3" x14ac:dyDescent="0.3">
      <c r="B293" s="773">
        <v>45584</v>
      </c>
      <c r="C293" s="777">
        <v>0</v>
      </c>
    </row>
    <row r="294" spans="2:3" x14ac:dyDescent="0.3">
      <c r="B294" s="773">
        <v>45585</v>
      </c>
      <c r="C294" s="777">
        <v>0</v>
      </c>
    </row>
    <row r="295" spans="2:3" x14ac:dyDescent="0.3">
      <c r="B295" s="773">
        <v>45586</v>
      </c>
      <c r="C295" s="777">
        <v>0</v>
      </c>
    </row>
    <row r="296" spans="2:3" x14ac:dyDescent="0.3">
      <c r="B296" s="773">
        <v>45587</v>
      </c>
      <c r="C296" s="777">
        <v>0</v>
      </c>
    </row>
    <row r="297" spans="2:3" x14ac:dyDescent="0.3">
      <c r="B297" s="773">
        <v>45588</v>
      </c>
      <c r="C297" s="777">
        <v>1.5</v>
      </c>
    </row>
    <row r="298" spans="2:3" x14ac:dyDescent="0.3">
      <c r="B298" s="773">
        <v>45589</v>
      </c>
      <c r="C298" s="777">
        <v>0</v>
      </c>
    </row>
    <row r="299" spans="2:3" x14ac:dyDescent="0.3">
      <c r="B299" s="773">
        <v>45590</v>
      </c>
      <c r="C299" s="777">
        <v>0</v>
      </c>
    </row>
    <row r="300" spans="2:3" x14ac:dyDescent="0.3">
      <c r="B300" s="773">
        <v>45591</v>
      </c>
      <c r="C300" s="777">
        <v>0</v>
      </c>
    </row>
    <row r="301" spans="2:3" x14ac:dyDescent="0.3">
      <c r="B301" s="773">
        <v>45592</v>
      </c>
      <c r="C301" s="777">
        <v>0</v>
      </c>
    </row>
    <row r="302" spans="2:3" x14ac:dyDescent="0.3">
      <c r="B302" s="773">
        <v>45593</v>
      </c>
      <c r="C302" s="777">
        <v>0</v>
      </c>
    </row>
    <row r="303" spans="2:3" x14ac:dyDescent="0.3">
      <c r="B303" s="773">
        <v>45594</v>
      </c>
      <c r="C303" s="777">
        <v>0</v>
      </c>
    </row>
    <row r="304" spans="2:3" x14ac:dyDescent="0.3">
      <c r="B304" s="773">
        <v>45595</v>
      </c>
      <c r="C304" s="777">
        <v>0.5</v>
      </c>
    </row>
    <row r="305" spans="2:3" x14ac:dyDescent="0.3">
      <c r="B305" s="773">
        <v>45596</v>
      </c>
      <c r="C305" s="777">
        <v>0</v>
      </c>
    </row>
    <row r="306" spans="2:3" x14ac:dyDescent="0.3">
      <c r="B306" s="773">
        <v>45597</v>
      </c>
      <c r="C306" s="777">
        <v>1.5</v>
      </c>
    </row>
    <row r="307" spans="2:3" x14ac:dyDescent="0.3">
      <c r="B307" s="773">
        <v>45598</v>
      </c>
      <c r="C307" s="777">
        <v>0</v>
      </c>
    </row>
    <row r="308" spans="2:3" x14ac:dyDescent="0.3">
      <c r="B308" s="773">
        <v>45599</v>
      </c>
      <c r="C308" s="777">
        <v>0</v>
      </c>
    </row>
    <row r="309" spans="2:3" x14ac:dyDescent="0.3">
      <c r="B309" s="773">
        <v>45600</v>
      </c>
      <c r="C309" s="777">
        <v>0</v>
      </c>
    </row>
    <row r="310" spans="2:3" x14ac:dyDescent="0.3">
      <c r="B310" s="773">
        <v>45601</v>
      </c>
      <c r="C310" s="777">
        <v>1</v>
      </c>
    </row>
    <row r="311" spans="2:3" x14ac:dyDescent="0.3">
      <c r="B311" s="773">
        <v>45602</v>
      </c>
      <c r="C311" s="777">
        <v>10</v>
      </c>
    </row>
    <row r="312" spans="2:3" x14ac:dyDescent="0.3">
      <c r="B312" s="773">
        <v>45603</v>
      </c>
      <c r="C312" s="777">
        <v>5</v>
      </c>
    </row>
    <row r="313" spans="2:3" x14ac:dyDescent="0.3">
      <c r="B313" s="773">
        <v>45604</v>
      </c>
      <c r="C313" s="777">
        <v>35</v>
      </c>
    </row>
    <row r="314" spans="2:3" x14ac:dyDescent="0.3">
      <c r="B314" s="773">
        <v>45605</v>
      </c>
      <c r="C314" s="777">
        <v>13</v>
      </c>
    </row>
    <row r="315" spans="2:3" x14ac:dyDescent="0.3">
      <c r="B315" s="773">
        <v>45606</v>
      </c>
      <c r="C315" s="777">
        <v>64</v>
      </c>
    </row>
    <row r="316" spans="2:3" x14ac:dyDescent="0.3">
      <c r="B316" s="773">
        <v>45607</v>
      </c>
      <c r="C316" s="777">
        <v>6</v>
      </c>
    </row>
    <row r="317" spans="2:3" x14ac:dyDescent="0.3">
      <c r="B317" s="773">
        <v>45608</v>
      </c>
      <c r="C317" s="777">
        <v>5</v>
      </c>
    </row>
    <row r="318" spans="2:3" x14ac:dyDescent="0.3">
      <c r="B318" s="773">
        <v>45609</v>
      </c>
      <c r="C318" s="777">
        <v>12</v>
      </c>
    </row>
    <row r="319" spans="2:3" x14ac:dyDescent="0.3">
      <c r="B319" s="773">
        <v>45610</v>
      </c>
      <c r="C319" s="777">
        <v>0</v>
      </c>
    </row>
    <row r="320" spans="2:3" x14ac:dyDescent="0.3">
      <c r="B320" s="773">
        <v>45611</v>
      </c>
      <c r="C320" s="777">
        <v>1</v>
      </c>
    </row>
    <row r="321" spans="2:3" x14ac:dyDescent="0.3">
      <c r="B321" s="773">
        <v>45612</v>
      </c>
      <c r="C321" s="777">
        <v>0.5</v>
      </c>
    </row>
    <row r="322" spans="2:3" x14ac:dyDescent="0.3">
      <c r="B322" s="773">
        <v>45613</v>
      </c>
      <c r="C322" s="777">
        <v>0</v>
      </c>
    </row>
    <row r="323" spans="2:3" x14ac:dyDescent="0.3">
      <c r="B323" s="773">
        <v>45614</v>
      </c>
      <c r="C323" s="777">
        <v>4</v>
      </c>
    </row>
    <row r="324" spans="2:3" x14ac:dyDescent="0.3">
      <c r="B324" s="773">
        <v>45615</v>
      </c>
      <c r="C324" s="777">
        <v>0</v>
      </c>
    </row>
    <row r="325" spans="2:3" x14ac:dyDescent="0.3">
      <c r="B325" s="773">
        <v>45616</v>
      </c>
      <c r="C325" s="777">
        <v>0</v>
      </c>
    </row>
    <row r="326" spans="2:3" x14ac:dyDescent="0.3">
      <c r="B326" s="773">
        <v>45617</v>
      </c>
      <c r="C326" s="777">
        <v>34</v>
      </c>
    </row>
    <row r="327" spans="2:3" x14ac:dyDescent="0.3">
      <c r="B327" s="773">
        <v>45618</v>
      </c>
      <c r="C327" s="777">
        <v>0</v>
      </c>
    </row>
    <row r="328" spans="2:3" x14ac:dyDescent="0.3">
      <c r="B328" s="773">
        <v>45619</v>
      </c>
      <c r="C328" s="777">
        <v>0</v>
      </c>
    </row>
    <row r="329" spans="2:3" x14ac:dyDescent="0.3">
      <c r="B329" s="773">
        <v>45620</v>
      </c>
      <c r="C329" s="777">
        <v>0</v>
      </c>
    </row>
    <row r="330" spans="2:3" x14ac:dyDescent="0.3">
      <c r="B330" s="773">
        <v>45621</v>
      </c>
      <c r="C330" s="777">
        <v>2</v>
      </c>
    </row>
    <row r="331" spans="2:3" x14ac:dyDescent="0.3">
      <c r="B331" s="773">
        <v>45622</v>
      </c>
      <c r="C331" s="777">
        <v>28.5</v>
      </c>
    </row>
    <row r="332" spans="2:3" x14ac:dyDescent="0.3">
      <c r="B332" s="773">
        <v>45623</v>
      </c>
      <c r="C332" s="777">
        <v>21</v>
      </c>
    </row>
    <row r="333" spans="2:3" x14ac:dyDescent="0.3">
      <c r="B333" s="773">
        <v>45624</v>
      </c>
      <c r="C333" s="777">
        <v>1</v>
      </c>
    </row>
    <row r="334" spans="2:3" x14ac:dyDescent="0.3">
      <c r="B334" s="773">
        <v>45625</v>
      </c>
      <c r="C334" s="777">
        <v>4</v>
      </c>
    </row>
    <row r="335" spans="2:3" x14ac:dyDescent="0.3">
      <c r="B335" s="773">
        <v>45626</v>
      </c>
      <c r="C335" s="777">
        <v>5</v>
      </c>
    </row>
    <row r="336" spans="2:3" x14ac:dyDescent="0.3">
      <c r="B336" s="773">
        <v>45627</v>
      </c>
      <c r="C336" s="777">
        <v>0.5</v>
      </c>
    </row>
    <row r="337" spans="2:3" x14ac:dyDescent="0.3">
      <c r="B337" s="773">
        <v>45628</v>
      </c>
      <c r="C337" s="777">
        <v>5.5</v>
      </c>
    </row>
    <row r="338" spans="2:3" x14ac:dyDescent="0.3">
      <c r="B338" s="773">
        <v>45629</v>
      </c>
      <c r="C338" s="777">
        <v>6</v>
      </c>
    </row>
    <row r="339" spans="2:3" x14ac:dyDescent="0.3">
      <c r="B339" s="773">
        <v>45630</v>
      </c>
      <c r="C339" s="777">
        <v>10.5</v>
      </c>
    </row>
    <row r="340" spans="2:3" x14ac:dyDescent="0.3">
      <c r="B340" s="773">
        <v>45631</v>
      </c>
      <c r="C340" s="777">
        <v>11</v>
      </c>
    </row>
    <row r="341" spans="2:3" x14ac:dyDescent="0.3">
      <c r="B341" s="773">
        <v>45632</v>
      </c>
      <c r="C341" s="777">
        <v>12</v>
      </c>
    </row>
    <row r="342" spans="2:3" x14ac:dyDescent="0.3">
      <c r="B342" s="773">
        <v>45633</v>
      </c>
      <c r="C342" s="777">
        <v>12</v>
      </c>
    </row>
    <row r="343" spans="2:3" x14ac:dyDescent="0.3">
      <c r="B343" s="773">
        <v>45634</v>
      </c>
      <c r="C343" s="777">
        <v>12.5</v>
      </c>
    </row>
    <row r="344" spans="2:3" x14ac:dyDescent="0.3">
      <c r="B344" s="773">
        <v>45635</v>
      </c>
      <c r="C344" s="777">
        <v>0</v>
      </c>
    </row>
    <row r="345" spans="2:3" x14ac:dyDescent="0.3">
      <c r="B345" s="773">
        <v>45636</v>
      </c>
      <c r="C345" s="777">
        <v>14</v>
      </c>
    </row>
    <row r="346" spans="2:3" x14ac:dyDescent="0.3">
      <c r="B346" s="773">
        <v>45637</v>
      </c>
      <c r="C346" s="777">
        <v>27.5</v>
      </c>
    </row>
    <row r="347" spans="2:3" x14ac:dyDescent="0.3">
      <c r="B347" s="773">
        <v>45638</v>
      </c>
      <c r="C347" s="777">
        <v>33.5</v>
      </c>
    </row>
    <row r="348" spans="2:3" x14ac:dyDescent="0.3">
      <c r="B348" s="773">
        <v>45639</v>
      </c>
      <c r="C348" s="777">
        <v>0</v>
      </c>
    </row>
    <row r="349" spans="2:3" x14ac:dyDescent="0.3">
      <c r="B349" s="773">
        <v>45640</v>
      </c>
      <c r="C349" s="777">
        <v>13</v>
      </c>
    </row>
    <row r="350" spans="2:3" x14ac:dyDescent="0.3">
      <c r="B350" s="773">
        <v>45641</v>
      </c>
      <c r="C350" s="777">
        <v>0</v>
      </c>
    </row>
    <row r="351" spans="2:3" x14ac:dyDescent="0.3">
      <c r="B351" s="773">
        <v>45642</v>
      </c>
      <c r="C351" s="777">
        <v>0</v>
      </c>
    </row>
    <row r="352" spans="2:3" x14ac:dyDescent="0.3">
      <c r="B352" s="773">
        <v>45643</v>
      </c>
      <c r="C352" s="777">
        <v>7.5</v>
      </c>
    </row>
    <row r="353" spans="2:3" x14ac:dyDescent="0.3">
      <c r="B353" s="773">
        <v>45644</v>
      </c>
      <c r="C353" s="777">
        <v>0</v>
      </c>
    </row>
    <row r="354" spans="2:3" x14ac:dyDescent="0.3">
      <c r="B354" s="773">
        <v>45645</v>
      </c>
      <c r="C354" s="777">
        <v>0</v>
      </c>
    </row>
    <row r="355" spans="2:3" x14ac:dyDescent="0.3">
      <c r="B355" s="773">
        <v>45646</v>
      </c>
      <c r="C355" s="777">
        <v>4.5</v>
      </c>
    </row>
    <row r="356" spans="2:3" x14ac:dyDescent="0.3">
      <c r="B356" s="773">
        <v>45647</v>
      </c>
      <c r="C356" s="777">
        <v>2.5</v>
      </c>
    </row>
    <row r="357" spans="2:3" x14ac:dyDescent="0.3">
      <c r="B357" s="773">
        <v>45648</v>
      </c>
      <c r="C357" s="777">
        <v>38</v>
      </c>
    </row>
    <row r="358" spans="2:3" x14ac:dyDescent="0.3">
      <c r="B358" s="773">
        <v>45649</v>
      </c>
      <c r="C358" s="777">
        <v>0</v>
      </c>
    </row>
    <row r="359" spans="2:3" x14ac:dyDescent="0.3">
      <c r="B359" s="773">
        <v>45650</v>
      </c>
      <c r="C359" s="777">
        <v>0</v>
      </c>
    </row>
    <row r="360" spans="2:3" x14ac:dyDescent="0.3">
      <c r="B360" s="773">
        <v>45651</v>
      </c>
      <c r="C360" s="777">
        <v>5</v>
      </c>
    </row>
    <row r="361" spans="2:3" x14ac:dyDescent="0.3">
      <c r="B361" s="773">
        <v>45652</v>
      </c>
      <c r="C361" s="777">
        <v>4.5</v>
      </c>
    </row>
    <row r="362" spans="2:3" x14ac:dyDescent="0.3">
      <c r="B362" s="773">
        <v>45653</v>
      </c>
      <c r="C362" s="777">
        <v>0</v>
      </c>
    </row>
    <row r="363" spans="2:3" x14ac:dyDescent="0.3">
      <c r="B363" s="773">
        <v>45654</v>
      </c>
      <c r="C363" s="777">
        <v>0</v>
      </c>
    </row>
    <row r="364" spans="2:3" x14ac:dyDescent="0.3">
      <c r="B364" s="773">
        <v>45655</v>
      </c>
      <c r="C364" s="777">
        <v>8.5</v>
      </c>
    </row>
    <row r="365" spans="2:3" x14ac:dyDescent="0.3">
      <c r="B365" s="773">
        <v>45656</v>
      </c>
      <c r="C365" s="777">
        <v>2.5</v>
      </c>
    </row>
    <row r="366" spans="2:3" x14ac:dyDescent="0.3">
      <c r="B366" s="773">
        <v>45657</v>
      </c>
      <c r="C366" s="777">
        <v>3</v>
      </c>
    </row>
  </sheetData>
  <conditionalFormatting sqref="C1:C366">
    <cfRule type="cellIs" dxfId="4" priority="1" operator="greaterThan">
      <formula>100</formula>
    </cfRule>
    <cfRule type="cellIs" dxfId="3" priority="2" operator="between">
      <formula>50.5</formula>
      <formula>100</formula>
    </cfRule>
    <cfRule type="cellIs" dxfId="2" priority="3" operator="between">
      <formula>20.5</formula>
      <formula>50</formula>
    </cfRule>
    <cfRule type="cellIs" dxfId="1" priority="4" operator="between">
      <formula>0</formula>
      <formula>20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B984-5987-410F-AFAC-37C31CF0CBF7}">
  <sheetPr>
    <tabColor theme="1" tint="0.499984740745262"/>
  </sheetPr>
  <dimension ref="A1:AA447"/>
  <sheetViews>
    <sheetView topLeftCell="A97" zoomScale="85" zoomScaleNormal="85" workbookViewId="0">
      <selection activeCell="D77" sqref="D77"/>
    </sheetView>
  </sheetViews>
  <sheetFormatPr defaultColWidth="8.88671875" defaultRowHeight="11.4" x14ac:dyDescent="0.2"/>
  <cols>
    <col min="1" max="1" width="9.6640625" style="355" bestFit="1" customWidth="1"/>
    <col min="2" max="9" width="8.88671875" style="355"/>
    <col min="10" max="10" width="10.109375" style="355" customWidth="1"/>
    <col min="11" max="27" width="8.88671875" style="355"/>
    <col min="28" max="16384" width="8.88671875" style="354"/>
  </cols>
  <sheetData>
    <row r="1" spans="1:13" ht="15.6" x14ac:dyDescent="0.2">
      <c r="A1" s="817" t="s">
        <v>3273</v>
      </c>
      <c r="B1" s="818">
        <v>2014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</row>
    <row r="2" spans="1:13" x14ac:dyDescent="0.2">
      <c r="A2" s="817"/>
      <c r="B2" s="769" t="s">
        <v>3280</v>
      </c>
      <c r="C2" s="769" t="s">
        <v>3281</v>
      </c>
      <c r="D2" s="769" t="s">
        <v>3282</v>
      </c>
      <c r="E2" s="769" t="s">
        <v>3283</v>
      </c>
      <c r="F2" s="769" t="s">
        <v>3284</v>
      </c>
      <c r="G2" s="769" t="s">
        <v>3285</v>
      </c>
      <c r="H2" s="769" t="s">
        <v>3286</v>
      </c>
      <c r="I2" s="769" t="s">
        <v>3294</v>
      </c>
      <c r="J2" s="769" t="s">
        <v>3288</v>
      </c>
      <c r="K2" s="769" t="s">
        <v>3289</v>
      </c>
      <c r="L2" s="769" t="s">
        <v>3290</v>
      </c>
      <c r="M2" s="769" t="s">
        <v>3291</v>
      </c>
    </row>
    <row r="3" spans="1:13" ht="11.4" customHeight="1" x14ac:dyDescent="0.2">
      <c r="A3" s="817"/>
      <c r="B3" s="819" t="s">
        <v>3295</v>
      </c>
      <c r="C3" s="819" t="s">
        <v>3295</v>
      </c>
      <c r="D3" s="819" t="s">
        <v>3295</v>
      </c>
      <c r="E3" s="819" t="s">
        <v>3295</v>
      </c>
      <c r="F3" s="819" t="s">
        <v>3295</v>
      </c>
      <c r="G3" s="819" t="s">
        <v>3295</v>
      </c>
      <c r="H3" s="819" t="s">
        <v>3295</v>
      </c>
      <c r="I3" s="819" t="s">
        <v>3295</v>
      </c>
      <c r="J3" s="819" t="s">
        <v>3295</v>
      </c>
      <c r="K3" s="819" t="s">
        <v>3295</v>
      </c>
      <c r="L3" s="819" t="s">
        <v>3295</v>
      </c>
      <c r="M3" s="819" t="s">
        <v>3295</v>
      </c>
    </row>
    <row r="4" spans="1:13" ht="28.2" customHeight="1" x14ac:dyDescent="0.2">
      <c r="A4" s="817"/>
      <c r="B4" s="819"/>
      <c r="C4" s="819"/>
      <c r="D4" s="819"/>
      <c r="E4" s="819"/>
      <c r="F4" s="819"/>
      <c r="G4" s="819"/>
      <c r="H4" s="819"/>
      <c r="I4" s="819"/>
      <c r="J4" s="819"/>
      <c r="K4" s="819"/>
      <c r="L4" s="819"/>
      <c r="M4" s="819"/>
    </row>
    <row r="5" spans="1:13" ht="13.8" x14ac:dyDescent="0.4">
      <c r="A5" s="356">
        <v>1</v>
      </c>
      <c r="B5" s="358">
        <v>3.6</v>
      </c>
      <c r="C5" s="358">
        <v>12.2</v>
      </c>
      <c r="D5" s="358">
        <v>0</v>
      </c>
      <c r="E5" s="358">
        <v>0</v>
      </c>
      <c r="F5" s="358">
        <v>0</v>
      </c>
      <c r="G5" s="358">
        <v>0</v>
      </c>
      <c r="H5" s="358">
        <v>0</v>
      </c>
      <c r="I5" s="358">
        <v>0</v>
      </c>
      <c r="J5" s="358">
        <v>0</v>
      </c>
      <c r="K5" s="358">
        <v>0</v>
      </c>
      <c r="L5" s="358">
        <v>0</v>
      </c>
      <c r="M5" s="358">
        <v>0</v>
      </c>
    </row>
    <row r="6" spans="1:13" ht="13.8" x14ac:dyDescent="0.4">
      <c r="A6" s="356">
        <f t="shared" ref="A6:A35" si="0">A5+1</f>
        <v>2</v>
      </c>
      <c r="B6" s="358">
        <v>15.2</v>
      </c>
      <c r="C6" s="358">
        <v>53.5</v>
      </c>
      <c r="D6" s="358">
        <v>0</v>
      </c>
      <c r="E6" s="358">
        <v>0</v>
      </c>
      <c r="F6" s="358">
        <v>24.5</v>
      </c>
      <c r="G6" s="358">
        <v>0</v>
      </c>
      <c r="H6" s="358">
        <v>0</v>
      </c>
      <c r="I6" s="358">
        <v>0</v>
      </c>
      <c r="J6" s="358">
        <v>0</v>
      </c>
      <c r="K6" s="358">
        <v>2.8</v>
      </c>
      <c r="L6" s="358">
        <v>0</v>
      </c>
      <c r="M6" s="358">
        <v>0</v>
      </c>
    </row>
    <row r="7" spans="1:13" ht="13.8" x14ac:dyDescent="0.4">
      <c r="A7" s="356">
        <f t="shared" si="0"/>
        <v>3</v>
      </c>
      <c r="B7" s="358">
        <v>1.3</v>
      </c>
      <c r="C7" s="358">
        <v>46.2</v>
      </c>
      <c r="D7" s="358">
        <v>0.1</v>
      </c>
      <c r="E7" s="358">
        <v>0</v>
      </c>
      <c r="F7" s="358">
        <v>0</v>
      </c>
      <c r="G7" s="358">
        <v>0</v>
      </c>
      <c r="H7" s="358">
        <v>0.2</v>
      </c>
      <c r="I7" s="358">
        <v>3</v>
      </c>
      <c r="J7" s="358">
        <v>0</v>
      </c>
      <c r="K7" s="358">
        <v>0</v>
      </c>
      <c r="L7" s="358">
        <v>0</v>
      </c>
      <c r="M7" s="358">
        <v>10.3</v>
      </c>
    </row>
    <row r="8" spans="1:13" ht="13.8" x14ac:dyDescent="0.4">
      <c r="A8" s="356">
        <f t="shared" si="0"/>
        <v>4</v>
      </c>
      <c r="B8" s="358">
        <v>62.2</v>
      </c>
      <c r="C8" s="358">
        <v>87.7</v>
      </c>
      <c r="D8" s="358">
        <v>0</v>
      </c>
      <c r="E8" s="358">
        <v>6</v>
      </c>
      <c r="F8" s="358">
        <v>0</v>
      </c>
      <c r="G8" s="358">
        <v>0</v>
      </c>
      <c r="H8" s="358">
        <v>0.5</v>
      </c>
      <c r="I8" s="358">
        <v>0</v>
      </c>
      <c r="J8" s="358">
        <v>0</v>
      </c>
      <c r="K8" s="358">
        <v>0</v>
      </c>
      <c r="L8" s="358">
        <v>0</v>
      </c>
      <c r="M8" s="358">
        <v>2</v>
      </c>
    </row>
    <row r="9" spans="1:13" ht="13.8" x14ac:dyDescent="0.4">
      <c r="A9" s="356">
        <f t="shared" si="0"/>
        <v>5</v>
      </c>
      <c r="B9" s="358">
        <v>8.8000000000000007</v>
      </c>
      <c r="C9" s="358">
        <v>5.2</v>
      </c>
      <c r="D9" s="358">
        <v>8.8000000000000007</v>
      </c>
      <c r="E9" s="358">
        <v>4.5</v>
      </c>
      <c r="F9" s="358">
        <v>8.8000000000000007</v>
      </c>
      <c r="G9" s="358">
        <v>0</v>
      </c>
      <c r="H9" s="358">
        <v>8.8000000000000007</v>
      </c>
      <c r="I9" s="358">
        <v>0</v>
      </c>
      <c r="J9" s="358">
        <v>0</v>
      </c>
      <c r="K9" s="358">
        <v>0</v>
      </c>
      <c r="L9" s="358">
        <v>27.4</v>
      </c>
      <c r="M9" s="358">
        <v>18</v>
      </c>
    </row>
    <row r="10" spans="1:13" ht="13.8" x14ac:dyDescent="0.4">
      <c r="A10" s="356">
        <f t="shared" si="0"/>
        <v>6</v>
      </c>
      <c r="B10" s="358">
        <v>18.7</v>
      </c>
      <c r="C10" s="358">
        <v>8</v>
      </c>
      <c r="D10" s="358">
        <v>0.2</v>
      </c>
      <c r="E10" s="358">
        <v>18</v>
      </c>
      <c r="F10" s="358">
        <v>0.2</v>
      </c>
      <c r="G10" s="358">
        <v>22.5</v>
      </c>
      <c r="H10" s="358">
        <v>0</v>
      </c>
      <c r="I10" s="358">
        <v>0</v>
      </c>
      <c r="J10" s="358">
        <v>0</v>
      </c>
      <c r="K10" s="358">
        <v>2</v>
      </c>
      <c r="L10" s="358">
        <v>0</v>
      </c>
      <c r="M10" s="358">
        <v>38.4</v>
      </c>
    </row>
    <row r="11" spans="1:13" ht="13.8" x14ac:dyDescent="0.4">
      <c r="A11" s="356">
        <f t="shared" si="0"/>
        <v>7</v>
      </c>
      <c r="B11" s="358">
        <v>49</v>
      </c>
      <c r="C11" s="358">
        <v>0.7</v>
      </c>
      <c r="D11" s="358">
        <v>22.4</v>
      </c>
      <c r="E11" s="358">
        <v>0</v>
      </c>
      <c r="F11" s="358">
        <v>0</v>
      </c>
      <c r="G11" s="358">
        <v>0</v>
      </c>
      <c r="H11" s="358">
        <v>23</v>
      </c>
      <c r="I11" s="358">
        <v>0</v>
      </c>
      <c r="J11" s="358">
        <v>1.5</v>
      </c>
      <c r="K11" s="358">
        <v>0</v>
      </c>
      <c r="L11" s="358">
        <v>0</v>
      </c>
      <c r="M11" s="358">
        <v>0</v>
      </c>
    </row>
    <row r="12" spans="1:13" ht="13.8" x14ac:dyDescent="0.4">
      <c r="A12" s="356">
        <f t="shared" si="0"/>
        <v>8</v>
      </c>
      <c r="B12" s="358">
        <v>12</v>
      </c>
      <c r="C12" s="358">
        <v>0</v>
      </c>
      <c r="D12" s="358">
        <v>0</v>
      </c>
      <c r="E12" s="358">
        <v>0</v>
      </c>
      <c r="F12" s="358">
        <v>0</v>
      </c>
      <c r="G12" s="358">
        <v>0</v>
      </c>
      <c r="H12" s="358">
        <v>2.5</v>
      </c>
      <c r="I12" s="358">
        <v>0</v>
      </c>
      <c r="J12" s="358">
        <v>0</v>
      </c>
      <c r="K12" s="358">
        <v>0</v>
      </c>
      <c r="L12" s="358">
        <v>1</v>
      </c>
      <c r="M12" s="358">
        <v>0.1</v>
      </c>
    </row>
    <row r="13" spans="1:13" ht="13.8" x14ac:dyDescent="0.4">
      <c r="A13" s="356">
        <f t="shared" si="0"/>
        <v>9</v>
      </c>
      <c r="B13" s="358">
        <v>25</v>
      </c>
      <c r="C13" s="358">
        <v>7</v>
      </c>
      <c r="D13" s="358">
        <v>0.3</v>
      </c>
      <c r="E13" s="358">
        <v>3.6</v>
      </c>
      <c r="F13" s="358">
        <v>0</v>
      </c>
      <c r="G13" s="358">
        <v>0</v>
      </c>
      <c r="H13" s="358">
        <v>0</v>
      </c>
      <c r="I13" s="358">
        <v>0</v>
      </c>
      <c r="J13" s="358">
        <v>0</v>
      </c>
      <c r="K13" s="358">
        <v>0</v>
      </c>
      <c r="L13" s="358">
        <v>14.8</v>
      </c>
      <c r="M13" s="358">
        <v>0.3</v>
      </c>
    </row>
    <row r="14" spans="1:13" ht="13.8" x14ac:dyDescent="0.4">
      <c r="A14" s="356">
        <f t="shared" si="0"/>
        <v>10</v>
      </c>
      <c r="B14" s="358">
        <v>0</v>
      </c>
      <c r="C14" s="358">
        <v>16.100000000000001</v>
      </c>
      <c r="D14" s="358">
        <v>20.3</v>
      </c>
      <c r="E14" s="358">
        <v>0</v>
      </c>
      <c r="F14" s="358">
        <v>37</v>
      </c>
      <c r="G14" s="358">
        <v>0</v>
      </c>
      <c r="H14" s="358">
        <v>0</v>
      </c>
      <c r="I14" s="358">
        <v>0</v>
      </c>
      <c r="J14" s="358">
        <v>0</v>
      </c>
      <c r="K14" s="358">
        <v>0</v>
      </c>
      <c r="L14" s="358">
        <v>25</v>
      </c>
      <c r="M14" s="358">
        <v>0</v>
      </c>
    </row>
    <row r="15" spans="1:13" ht="13.8" x14ac:dyDescent="0.4">
      <c r="A15" s="356">
        <f t="shared" si="0"/>
        <v>11</v>
      </c>
      <c r="B15" s="358">
        <v>0</v>
      </c>
      <c r="C15" s="358">
        <v>0</v>
      </c>
      <c r="D15" s="358">
        <v>0</v>
      </c>
      <c r="E15" s="358">
        <v>0</v>
      </c>
      <c r="F15" s="358">
        <v>0</v>
      </c>
      <c r="G15" s="358">
        <v>0</v>
      </c>
      <c r="H15" s="358">
        <v>0</v>
      </c>
      <c r="I15" s="358">
        <v>0</v>
      </c>
      <c r="J15" s="358">
        <v>0</v>
      </c>
      <c r="K15" s="358">
        <v>0</v>
      </c>
      <c r="L15" s="358">
        <v>1.2</v>
      </c>
      <c r="M15" s="358">
        <v>0.5</v>
      </c>
    </row>
    <row r="16" spans="1:13" ht="13.8" x14ac:dyDescent="0.4">
      <c r="A16" s="356">
        <f t="shared" si="0"/>
        <v>12</v>
      </c>
      <c r="B16" s="358">
        <v>14.2</v>
      </c>
      <c r="C16" s="358">
        <v>0</v>
      </c>
      <c r="D16" s="358">
        <v>5.8</v>
      </c>
      <c r="E16" s="358">
        <v>0</v>
      </c>
      <c r="F16" s="358">
        <v>0</v>
      </c>
      <c r="G16" s="358">
        <v>0.2</v>
      </c>
      <c r="H16" s="358">
        <v>0</v>
      </c>
      <c r="I16" s="358">
        <v>26.5</v>
      </c>
      <c r="J16" s="358">
        <v>0</v>
      </c>
      <c r="K16" s="358">
        <v>0</v>
      </c>
      <c r="L16" s="358">
        <v>1</v>
      </c>
      <c r="M16" s="358">
        <v>6</v>
      </c>
    </row>
    <row r="17" spans="1:13" ht="13.8" x14ac:dyDescent="0.4">
      <c r="A17" s="356">
        <f t="shared" si="0"/>
        <v>13</v>
      </c>
      <c r="B17" s="358">
        <v>9.6</v>
      </c>
      <c r="C17" s="358">
        <v>0</v>
      </c>
      <c r="D17" s="358">
        <v>0</v>
      </c>
      <c r="E17" s="358">
        <v>0.6</v>
      </c>
      <c r="F17" s="358">
        <v>0</v>
      </c>
      <c r="G17" s="358">
        <v>0</v>
      </c>
      <c r="H17" s="358">
        <v>46</v>
      </c>
      <c r="I17" s="358">
        <v>1.3</v>
      </c>
      <c r="J17" s="358">
        <v>0</v>
      </c>
      <c r="K17" s="358">
        <v>0</v>
      </c>
      <c r="L17" s="358">
        <v>0</v>
      </c>
      <c r="M17" s="358">
        <v>1.9</v>
      </c>
    </row>
    <row r="18" spans="1:13" ht="13.8" x14ac:dyDescent="0.4">
      <c r="A18" s="356">
        <f t="shared" si="0"/>
        <v>14</v>
      </c>
      <c r="B18" s="358">
        <v>1.9</v>
      </c>
      <c r="C18" s="358">
        <v>0</v>
      </c>
      <c r="D18" s="358">
        <v>11.4</v>
      </c>
      <c r="E18" s="358">
        <v>0</v>
      </c>
      <c r="F18" s="358">
        <v>14.8</v>
      </c>
      <c r="G18" s="358">
        <v>12.5</v>
      </c>
      <c r="H18" s="358">
        <v>4.5</v>
      </c>
      <c r="I18" s="358">
        <v>0</v>
      </c>
      <c r="J18" s="358">
        <v>0</v>
      </c>
      <c r="K18" s="358">
        <v>0</v>
      </c>
      <c r="L18" s="358">
        <v>0</v>
      </c>
      <c r="M18" s="358">
        <v>21.4</v>
      </c>
    </row>
    <row r="19" spans="1:13" ht="13.8" x14ac:dyDescent="0.4">
      <c r="A19" s="356">
        <f t="shared" si="0"/>
        <v>15</v>
      </c>
      <c r="B19" s="358">
        <v>29</v>
      </c>
      <c r="C19" s="358">
        <v>1.6</v>
      </c>
      <c r="D19" s="358">
        <v>0</v>
      </c>
      <c r="E19" s="358">
        <v>3.8</v>
      </c>
      <c r="F19" s="358">
        <v>0</v>
      </c>
      <c r="G19" s="358">
        <v>0</v>
      </c>
      <c r="H19" s="358">
        <v>0</v>
      </c>
      <c r="I19" s="358">
        <v>0</v>
      </c>
      <c r="J19" s="358">
        <v>0</v>
      </c>
      <c r="K19" s="358">
        <v>0</v>
      </c>
      <c r="L19" s="358">
        <v>34.700000000000003</v>
      </c>
      <c r="M19" s="358">
        <v>5.2</v>
      </c>
    </row>
    <row r="20" spans="1:13" ht="13.8" x14ac:dyDescent="0.4">
      <c r="A20" s="356">
        <f t="shared" si="0"/>
        <v>16</v>
      </c>
      <c r="B20" s="358">
        <v>0.4</v>
      </c>
      <c r="C20" s="358">
        <v>26</v>
      </c>
      <c r="D20" s="358">
        <v>0</v>
      </c>
      <c r="E20" s="358">
        <v>0</v>
      </c>
      <c r="F20" s="358">
        <v>0</v>
      </c>
      <c r="G20" s="358">
        <v>0</v>
      </c>
      <c r="H20" s="358">
        <v>0</v>
      </c>
      <c r="I20" s="358">
        <v>0</v>
      </c>
      <c r="J20" s="358">
        <v>0</v>
      </c>
      <c r="K20" s="358">
        <v>0</v>
      </c>
      <c r="L20" s="358">
        <v>0</v>
      </c>
      <c r="M20" s="358">
        <v>0</v>
      </c>
    </row>
    <row r="21" spans="1:13" ht="13.8" x14ac:dyDescent="0.4">
      <c r="A21" s="356">
        <f t="shared" si="0"/>
        <v>17</v>
      </c>
      <c r="B21" s="358">
        <v>28.4</v>
      </c>
      <c r="C21" s="358">
        <v>0.2</v>
      </c>
      <c r="D21" s="358">
        <v>0</v>
      </c>
      <c r="E21" s="358">
        <v>10.8</v>
      </c>
      <c r="F21" s="358">
        <v>0.1</v>
      </c>
      <c r="G21" s="358">
        <v>4.5999999999999996</v>
      </c>
      <c r="H21" s="358">
        <v>0</v>
      </c>
      <c r="I21" s="358">
        <v>0</v>
      </c>
      <c r="J21" s="358">
        <v>0</v>
      </c>
      <c r="K21" s="358">
        <v>0</v>
      </c>
      <c r="L21" s="358">
        <v>0</v>
      </c>
      <c r="M21" s="358">
        <v>20</v>
      </c>
    </row>
    <row r="22" spans="1:13" ht="13.8" x14ac:dyDescent="0.4">
      <c r="A22" s="356">
        <f t="shared" si="0"/>
        <v>18</v>
      </c>
      <c r="B22" s="358">
        <v>103.5</v>
      </c>
      <c r="C22" s="358">
        <v>21</v>
      </c>
      <c r="D22" s="358">
        <v>1</v>
      </c>
      <c r="E22" s="358">
        <v>1.7</v>
      </c>
      <c r="F22" s="358">
        <v>0.1</v>
      </c>
      <c r="G22" s="358">
        <v>0.6</v>
      </c>
      <c r="H22" s="358">
        <v>0</v>
      </c>
      <c r="I22" s="358">
        <v>0</v>
      </c>
      <c r="J22" s="358">
        <v>0</v>
      </c>
      <c r="K22" s="358">
        <v>0</v>
      </c>
      <c r="L22" s="358">
        <v>0</v>
      </c>
      <c r="M22" s="358">
        <v>2</v>
      </c>
    </row>
    <row r="23" spans="1:13" ht="13.8" x14ac:dyDescent="0.4">
      <c r="A23" s="356">
        <f t="shared" si="0"/>
        <v>19</v>
      </c>
      <c r="B23" s="358">
        <v>86.3</v>
      </c>
      <c r="C23" s="358">
        <v>12</v>
      </c>
      <c r="D23" s="358">
        <v>16.399999999999999</v>
      </c>
      <c r="E23" s="358">
        <v>0</v>
      </c>
      <c r="F23" s="358">
        <v>0</v>
      </c>
      <c r="G23" s="358">
        <v>0</v>
      </c>
      <c r="H23" s="358">
        <v>0</v>
      </c>
      <c r="I23" s="358">
        <v>0</v>
      </c>
      <c r="J23" s="358">
        <v>0</v>
      </c>
      <c r="K23" s="358">
        <v>0</v>
      </c>
      <c r="L23" s="358">
        <v>3.4</v>
      </c>
      <c r="M23" s="358">
        <v>15</v>
      </c>
    </row>
    <row r="24" spans="1:13" ht="13.8" x14ac:dyDescent="0.4">
      <c r="A24" s="356">
        <f t="shared" si="0"/>
        <v>20</v>
      </c>
      <c r="B24" s="358">
        <v>17.2</v>
      </c>
      <c r="C24" s="358">
        <v>0</v>
      </c>
      <c r="D24" s="358">
        <v>2.5</v>
      </c>
      <c r="E24" s="358">
        <v>0</v>
      </c>
      <c r="F24" s="358">
        <v>0</v>
      </c>
      <c r="G24" s="358">
        <v>0</v>
      </c>
      <c r="H24" s="358">
        <v>9.8000000000000007</v>
      </c>
      <c r="I24" s="358">
        <v>0</v>
      </c>
      <c r="J24" s="358">
        <v>0</v>
      </c>
      <c r="K24" s="358">
        <v>0</v>
      </c>
      <c r="L24" s="358">
        <v>0</v>
      </c>
      <c r="M24" s="358">
        <v>4.3</v>
      </c>
    </row>
    <row r="25" spans="1:13" ht="13.8" x14ac:dyDescent="0.4">
      <c r="A25" s="356">
        <f t="shared" si="0"/>
        <v>21</v>
      </c>
      <c r="B25" s="358">
        <v>43.3</v>
      </c>
      <c r="C25" s="358">
        <v>0</v>
      </c>
      <c r="D25" s="358">
        <v>6.2</v>
      </c>
      <c r="E25" s="358">
        <v>0</v>
      </c>
      <c r="F25" s="358">
        <v>0</v>
      </c>
      <c r="G25" s="358">
        <v>0</v>
      </c>
      <c r="H25" s="358">
        <v>0</v>
      </c>
      <c r="I25" s="358">
        <v>0</v>
      </c>
      <c r="J25" s="358">
        <v>0</v>
      </c>
      <c r="K25" s="358">
        <v>0</v>
      </c>
      <c r="L25" s="358">
        <v>29</v>
      </c>
      <c r="M25" s="358">
        <v>4.4000000000000004</v>
      </c>
    </row>
    <row r="26" spans="1:13" ht="13.8" x14ac:dyDescent="0.4">
      <c r="A26" s="356">
        <f t="shared" si="0"/>
        <v>22</v>
      </c>
      <c r="B26" s="358">
        <v>28.5</v>
      </c>
      <c r="C26" s="358">
        <v>0</v>
      </c>
      <c r="D26" s="358">
        <v>6</v>
      </c>
      <c r="E26" s="358">
        <v>0</v>
      </c>
      <c r="F26" s="358">
        <v>29</v>
      </c>
      <c r="G26" s="358">
        <v>0</v>
      </c>
      <c r="H26" s="358">
        <v>10</v>
      </c>
      <c r="I26" s="358">
        <v>7.4</v>
      </c>
      <c r="J26" s="358">
        <v>0</v>
      </c>
      <c r="K26" s="358">
        <v>6.4</v>
      </c>
      <c r="L26" s="358">
        <v>11</v>
      </c>
      <c r="M26" s="358">
        <v>0.8</v>
      </c>
    </row>
    <row r="27" spans="1:13" ht="13.8" x14ac:dyDescent="0.4">
      <c r="A27" s="356">
        <f t="shared" si="0"/>
        <v>23</v>
      </c>
      <c r="B27" s="358">
        <v>120.5</v>
      </c>
      <c r="C27" s="358">
        <v>8</v>
      </c>
      <c r="D27" s="358">
        <v>13</v>
      </c>
      <c r="E27" s="358">
        <v>0</v>
      </c>
      <c r="F27" s="358">
        <v>18.2</v>
      </c>
      <c r="G27" s="358">
        <v>0</v>
      </c>
      <c r="H27" s="358">
        <v>4</v>
      </c>
      <c r="I27" s="358">
        <v>1.6</v>
      </c>
      <c r="J27" s="358">
        <v>0</v>
      </c>
      <c r="K27" s="358">
        <v>2.5</v>
      </c>
      <c r="L27" s="358">
        <v>5.5</v>
      </c>
      <c r="M27" s="358">
        <v>0</v>
      </c>
    </row>
    <row r="28" spans="1:13" ht="13.8" x14ac:dyDescent="0.4">
      <c r="A28" s="356">
        <f t="shared" si="0"/>
        <v>24</v>
      </c>
      <c r="B28" s="358">
        <v>31.2</v>
      </c>
      <c r="C28" s="358">
        <v>7.4</v>
      </c>
      <c r="D28" s="358">
        <v>0</v>
      </c>
      <c r="E28" s="358">
        <v>0</v>
      </c>
      <c r="F28" s="358">
        <v>0</v>
      </c>
      <c r="G28" s="358">
        <v>0</v>
      </c>
      <c r="H28" s="358">
        <v>0.4</v>
      </c>
      <c r="I28" s="358">
        <v>0</v>
      </c>
      <c r="J28" s="358">
        <v>0</v>
      </c>
      <c r="K28" s="358">
        <v>0</v>
      </c>
      <c r="L28" s="358">
        <v>11.9</v>
      </c>
      <c r="M28" s="358">
        <v>57</v>
      </c>
    </row>
    <row r="29" spans="1:13" ht="13.8" x14ac:dyDescent="0.4">
      <c r="A29" s="356">
        <f t="shared" si="0"/>
        <v>25</v>
      </c>
      <c r="B29" s="358">
        <v>92.8</v>
      </c>
      <c r="C29" s="358">
        <v>0.2</v>
      </c>
      <c r="D29" s="358">
        <v>33.4</v>
      </c>
      <c r="E29" s="358">
        <v>0</v>
      </c>
      <c r="F29" s="358">
        <v>0</v>
      </c>
      <c r="G29" s="358">
        <v>0</v>
      </c>
      <c r="H29" s="358">
        <v>0</v>
      </c>
      <c r="I29" s="358">
        <v>13</v>
      </c>
      <c r="J29" s="358">
        <v>0</v>
      </c>
      <c r="K29" s="358">
        <v>7</v>
      </c>
      <c r="L29" s="358">
        <v>0.4</v>
      </c>
      <c r="M29" s="358">
        <v>0</v>
      </c>
    </row>
    <row r="30" spans="1:13" ht="13.8" x14ac:dyDescent="0.4">
      <c r="A30" s="356">
        <f t="shared" si="0"/>
        <v>26</v>
      </c>
      <c r="B30" s="358">
        <v>0.5</v>
      </c>
      <c r="C30" s="358">
        <v>0</v>
      </c>
      <c r="D30" s="358">
        <v>0</v>
      </c>
      <c r="E30" s="358">
        <v>0</v>
      </c>
      <c r="F30" s="358">
        <v>0</v>
      </c>
      <c r="G30" s="358">
        <v>0</v>
      </c>
      <c r="H30" s="358">
        <v>0.3</v>
      </c>
      <c r="I30" s="358">
        <v>0</v>
      </c>
      <c r="J30" s="358">
        <v>0</v>
      </c>
      <c r="K30" s="358">
        <v>0</v>
      </c>
      <c r="L30" s="358">
        <v>0</v>
      </c>
      <c r="M30" s="358">
        <v>0</v>
      </c>
    </row>
    <row r="31" spans="1:13" ht="13.8" x14ac:dyDescent="0.4">
      <c r="A31" s="356">
        <f t="shared" si="0"/>
        <v>27</v>
      </c>
      <c r="B31" s="358">
        <v>40.700000000000003</v>
      </c>
      <c r="C31" s="358">
        <v>0</v>
      </c>
      <c r="D31" s="358">
        <v>0</v>
      </c>
      <c r="E31" s="358">
        <v>0.8</v>
      </c>
      <c r="F31" s="358">
        <v>0</v>
      </c>
      <c r="G31" s="358">
        <v>10.5</v>
      </c>
      <c r="H31" s="358">
        <v>0</v>
      </c>
      <c r="I31" s="358">
        <v>0</v>
      </c>
      <c r="J31" s="358">
        <v>0</v>
      </c>
      <c r="K31" s="358">
        <v>0</v>
      </c>
      <c r="L31" s="358">
        <v>6.9</v>
      </c>
      <c r="M31" s="358">
        <v>0.2</v>
      </c>
    </row>
    <row r="32" spans="1:13" ht="13.8" x14ac:dyDescent="0.4">
      <c r="A32" s="356">
        <f t="shared" si="0"/>
        <v>28</v>
      </c>
      <c r="B32" s="358">
        <v>90</v>
      </c>
      <c r="C32" s="358">
        <v>0</v>
      </c>
      <c r="D32" s="358">
        <v>0</v>
      </c>
      <c r="E32" s="358">
        <v>0</v>
      </c>
      <c r="F32" s="358">
        <v>1.6</v>
      </c>
      <c r="G32" s="358">
        <v>0</v>
      </c>
      <c r="H32" s="358">
        <v>0</v>
      </c>
      <c r="I32" s="358">
        <v>0.3</v>
      </c>
      <c r="J32" s="358">
        <v>0</v>
      </c>
      <c r="K32" s="358">
        <v>1.6</v>
      </c>
      <c r="L32" s="358">
        <v>0</v>
      </c>
      <c r="M32" s="358">
        <v>13</v>
      </c>
    </row>
    <row r="33" spans="1:13" ht="13.8" x14ac:dyDescent="0.4">
      <c r="A33" s="356">
        <f t="shared" si="0"/>
        <v>29</v>
      </c>
      <c r="B33" s="358">
        <v>22.6</v>
      </c>
      <c r="C33" s="357"/>
      <c r="D33" s="358">
        <v>10</v>
      </c>
      <c r="E33" s="358">
        <v>8.4</v>
      </c>
      <c r="F33" s="358">
        <v>0</v>
      </c>
      <c r="G33" s="358">
        <v>0</v>
      </c>
      <c r="H33" s="358">
        <v>0</v>
      </c>
      <c r="I33" s="358">
        <v>4</v>
      </c>
      <c r="J33" s="358">
        <v>0</v>
      </c>
      <c r="K33" s="358">
        <v>0</v>
      </c>
      <c r="L33" s="358">
        <v>0</v>
      </c>
      <c r="M33" s="358">
        <v>0</v>
      </c>
    </row>
    <row r="34" spans="1:13" ht="13.8" x14ac:dyDescent="0.4">
      <c r="A34" s="356">
        <f t="shared" si="0"/>
        <v>30</v>
      </c>
      <c r="B34" s="358">
        <v>15.7</v>
      </c>
      <c r="C34" s="357"/>
      <c r="D34" s="358">
        <v>16.5</v>
      </c>
      <c r="E34" s="358">
        <v>0</v>
      </c>
      <c r="F34" s="358">
        <v>0</v>
      </c>
      <c r="G34" s="358">
        <v>19.2</v>
      </c>
      <c r="H34" s="358">
        <v>0</v>
      </c>
      <c r="I34" s="358">
        <v>0</v>
      </c>
      <c r="J34" s="358">
        <v>0</v>
      </c>
      <c r="K34" s="358">
        <v>0</v>
      </c>
      <c r="L34" s="358">
        <v>0</v>
      </c>
      <c r="M34" s="358">
        <v>4.0999999999999996</v>
      </c>
    </row>
    <row r="35" spans="1:13" ht="13.8" x14ac:dyDescent="0.4">
      <c r="A35" s="356">
        <f t="shared" si="0"/>
        <v>31</v>
      </c>
      <c r="B35" s="358">
        <v>19.8</v>
      </c>
      <c r="C35" s="357"/>
      <c r="D35" s="358">
        <v>0</v>
      </c>
      <c r="E35" s="357"/>
      <c r="F35" s="358">
        <v>0</v>
      </c>
      <c r="G35" s="357"/>
      <c r="H35" s="358">
        <v>32</v>
      </c>
      <c r="I35" s="358">
        <v>0</v>
      </c>
      <c r="J35" s="357"/>
      <c r="K35" s="358">
        <v>0</v>
      </c>
      <c r="L35" s="357"/>
      <c r="M35" s="358">
        <v>27</v>
      </c>
    </row>
    <row r="36" spans="1:13" ht="13.8" x14ac:dyDescent="0.4">
      <c r="A36" s="356" t="s">
        <v>3296</v>
      </c>
      <c r="B36" s="357">
        <f>MAX(B5:B35)</f>
        <v>120.5</v>
      </c>
      <c r="C36" s="357">
        <f t="shared" ref="C36:E37" si="1">MAX(C5:C35)</f>
        <v>87.7</v>
      </c>
      <c r="D36" s="357">
        <f t="shared" si="1"/>
        <v>33.4</v>
      </c>
      <c r="E36" s="357">
        <f t="shared" si="1"/>
        <v>18</v>
      </c>
      <c r="F36" s="357">
        <f t="shared" ref="F36:F37" si="2">MAX(F5:F35)</f>
        <v>37</v>
      </c>
      <c r="G36" s="357">
        <f t="shared" ref="G36:G37" si="3">MAX(G5:G35)</f>
        <v>22.5</v>
      </c>
      <c r="H36" s="357">
        <f t="shared" ref="H36:H37" si="4">MAX(H5:H35)</f>
        <v>46</v>
      </c>
      <c r="I36" s="357">
        <f>MAX(I5:I35)</f>
        <v>26.5</v>
      </c>
      <c r="J36" s="357">
        <f t="shared" ref="J36:J37" si="5">MAX(J5:J35)</f>
        <v>1.5</v>
      </c>
      <c r="K36" s="357">
        <f t="shared" ref="K36:K37" si="6">MAX(K5:K35)</f>
        <v>7</v>
      </c>
      <c r="L36" s="357">
        <f t="shared" ref="L36:L37" si="7">MAX(L5:L35)</f>
        <v>34.700000000000003</v>
      </c>
      <c r="M36" s="357">
        <f t="shared" ref="M36:M37" si="8">MAX(M5:M35)</f>
        <v>57</v>
      </c>
    </row>
    <row r="37" spans="1:13" ht="13.8" x14ac:dyDescent="0.4">
      <c r="A37" s="356" t="s">
        <v>3296</v>
      </c>
      <c r="B37" s="357">
        <f>MAX(B6:B36)</f>
        <v>120.5</v>
      </c>
      <c r="C37" s="357">
        <f t="shared" si="1"/>
        <v>87.7</v>
      </c>
      <c r="D37" s="357">
        <f t="shared" si="1"/>
        <v>33.4</v>
      </c>
      <c r="E37" s="357">
        <f t="shared" si="1"/>
        <v>18</v>
      </c>
      <c r="F37" s="357">
        <f t="shared" si="2"/>
        <v>37</v>
      </c>
      <c r="G37" s="357">
        <f t="shared" si="3"/>
        <v>22.5</v>
      </c>
      <c r="H37" s="357">
        <f t="shared" si="4"/>
        <v>46</v>
      </c>
      <c r="I37" s="357">
        <f>MAX(I6:I36)</f>
        <v>26.5</v>
      </c>
      <c r="J37" s="357">
        <f t="shared" si="5"/>
        <v>1.5</v>
      </c>
      <c r="K37" s="357">
        <f t="shared" si="6"/>
        <v>7</v>
      </c>
      <c r="L37" s="357">
        <f t="shared" si="7"/>
        <v>34.700000000000003</v>
      </c>
      <c r="M37" s="357">
        <f t="shared" si="8"/>
        <v>57</v>
      </c>
    </row>
    <row r="38" spans="1:13" ht="13.8" x14ac:dyDescent="0.4">
      <c r="A38" s="356" t="s">
        <v>4798</v>
      </c>
      <c r="B38" s="357">
        <f>SUM(B6:B36)</f>
        <v>1108.8000000000002</v>
      </c>
      <c r="C38" s="357">
        <f t="shared" ref="C38:M38" si="9">SUM(C6:C36)</f>
        <v>388.49999999999989</v>
      </c>
      <c r="D38" s="357">
        <f t="shared" si="9"/>
        <v>207.7</v>
      </c>
      <c r="E38" s="357">
        <f t="shared" si="9"/>
        <v>76.199999999999989</v>
      </c>
      <c r="F38" s="357">
        <f t="shared" si="9"/>
        <v>171.29999999999998</v>
      </c>
      <c r="G38" s="357">
        <f t="shared" si="9"/>
        <v>92.600000000000009</v>
      </c>
      <c r="H38" s="357">
        <f t="shared" si="9"/>
        <v>188</v>
      </c>
      <c r="I38" s="357">
        <f t="shared" si="9"/>
        <v>83.6</v>
      </c>
      <c r="J38" s="357">
        <f t="shared" si="9"/>
        <v>3</v>
      </c>
      <c r="K38" s="357">
        <f t="shared" si="9"/>
        <v>29.3</v>
      </c>
      <c r="L38" s="357">
        <f t="shared" si="9"/>
        <v>207.90000000000003</v>
      </c>
      <c r="M38" s="357">
        <f t="shared" si="9"/>
        <v>308.90000000000003</v>
      </c>
    </row>
    <row r="39" spans="1:13" ht="13.8" x14ac:dyDescent="0.4">
      <c r="A39" s="356" t="s">
        <v>4799</v>
      </c>
      <c r="B39" s="357">
        <f>COUNTIF(B6:B36,"&gt;2")</f>
        <v>25</v>
      </c>
      <c r="C39" s="357">
        <f t="shared" ref="C39:M39" si="10">COUNTIF(C6:C36,"&gt;2")</f>
        <v>13</v>
      </c>
      <c r="D39" s="357">
        <f t="shared" si="10"/>
        <v>14</v>
      </c>
      <c r="E39" s="357">
        <f t="shared" si="10"/>
        <v>8</v>
      </c>
      <c r="F39" s="357">
        <f t="shared" si="10"/>
        <v>7</v>
      </c>
      <c r="G39" s="357">
        <f t="shared" si="10"/>
        <v>6</v>
      </c>
      <c r="H39" s="357">
        <f t="shared" si="10"/>
        <v>10</v>
      </c>
      <c r="I39" s="357">
        <f t="shared" si="10"/>
        <v>6</v>
      </c>
      <c r="J39" s="357">
        <f t="shared" si="10"/>
        <v>0</v>
      </c>
      <c r="K39" s="357">
        <f t="shared" si="10"/>
        <v>5</v>
      </c>
      <c r="L39" s="357">
        <f t="shared" si="10"/>
        <v>11</v>
      </c>
      <c r="M39" s="357">
        <f t="shared" si="10"/>
        <v>15</v>
      </c>
    </row>
    <row r="40" spans="1:13" ht="13.8" x14ac:dyDescent="0.4">
      <c r="A40" s="356" t="s">
        <v>4800</v>
      </c>
      <c r="B40" s="357">
        <f>B38/B39</f>
        <v>44.352000000000004</v>
      </c>
      <c r="C40" s="357">
        <f t="shared" ref="C40:I40" si="11">C38/C39</f>
        <v>29.884615384615376</v>
      </c>
      <c r="D40" s="357">
        <f t="shared" si="11"/>
        <v>14.835714285714285</v>
      </c>
      <c r="E40" s="357">
        <f t="shared" si="11"/>
        <v>9.5249999999999986</v>
      </c>
      <c r="F40" s="357">
        <f t="shared" si="11"/>
        <v>24.471428571428568</v>
      </c>
      <c r="G40" s="357">
        <f t="shared" si="11"/>
        <v>15.433333333333335</v>
      </c>
      <c r="H40" s="357">
        <f t="shared" si="11"/>
        <v>18.8</v>
      </c>
      <c r="I40" s="357">
        <f t="shared" si="11"/>
        <v>13.933333333333332</v>
      </c>
      <c r="J40" s="357">
        <v>0</v>
      </c>
      <c r="K40" s="357">
        <f t="shared" ref="K40:M40" si="12">K38/K39</f>
        <v>5.86</v>
      </c>
      <c r="L40" s="357">
        <f t="shared" si="12"/>
        <v>18.900000000000002</v>
      </c>
      <c r="M40" s="357">
        <f t="shared" si="12"/>
        <v>20.593333333333337</v>
      </c>
    </row>
    <row r="42" spans="1:13" ht="15.6" x14ac:dyDescent="0.2">
      <c r="A42" s="817" t="s">
        <v>3273</v>
      </c>
      <c r="B42" s="818">
        <v>2015</v>
      </c>
      <c r="C42" s="818"/>
      <c r="D42" s="818"/>
      <c r="E42" s="818"/>
      <c r="F42" s="818"/>
      <c r="G42" s="818"/>
      <c r="H42" s="818"/>
      <c r="I42" s="818"/>
      <c r="J42" s="818"/>
      <c r="K42" s="818"/>
      <c r="L42" s="818"/>
      <c r="M42" s="818"/>
    </row>
    <row r="43" spans="1:13" x14ac:dyDescent="0.2">
      <c r="A43" s="817"/>
      <c r="B43" s="769" t="s">
        <v>3280</v>
      </c>
      <c r="C43" s="769" t="s">
        <v>3281</v>
      </c>
      <c r="D43" s="769" t="s">
        <v>3282</v>
      </c>
      <c r="E43" s="769" t="s">
        <v>3283</v>
      </c>
      <c r="F43" s="769" t="s">
        <v>3284</v>
      </c>
      <c r="G43" s="769" t="s">
        <v>3285</v>
      </c>
      <c r="H43" s="769" t="s">
        <v>3286</v>
      </c>
      <c r="I43" s="769" t="s">
        <v>3294</v>
      </c>
      <c r="J43" s="769" t="s">
        <v>3288</v>
      </c>
      <c r="K43" s="769" t="s">
        <v>3289</v>
      </c>
      <c r="L43" s="769" t="s">
        <v>3290</v>
      </c>
      <c r="M43" s="769" t="s">
        <v>3291</v>
      </c>
    </row>
    <row r="44" spans="1:13" ht="11.4" customHeight="1" x14ac:dyDescent="0.2">
      <c r="A44" s="817"/>
      <c r="B44" s="819" t="s">
        <v>3295</v>
      </c>
      <c r="C44" s="819" t="s">
        <v>3295</v>
      </c>
      <c r="D44" s="819" t="s">
        <v>3295</v>
      </c>
      <c r="E44" s="819" t="s">
        <v>3295</v>
      </c>
      <c r="F44" s="819" t="s">
        <v>3295</v>
      </c>
      <c r="G44" s="819" t="s">
        <v>3295</v>
      </c>
      <c r="H44" s="819" t="s">
        <v>3295</v>
      </c>
      <c r="I44" s="819" t="s">
        <v>3295</v>
      </c>
      <c r="J44" s="819" t="s">
        <v>3295</v>
      </c>
      <c r="K44" s="819" t="s">
        <v>3295</v>
      </c>
      <c r="L44" s="819" t="s">
        <v>3295</v>
      </c>
      <c r="M44" s="819" t="s">
        <v>3295</v>
      </c>
    </row>
    <row r="45" spans="1:13" ht="22.2" customHeight="1" x14ac:dyDescent="0.2">
      <c r="A45" s="817"/>
      <c r="B45" s="819"/>
      <c r="C45" s="819"/>
      <c r="D45" s="819"/>
      <c r="E45" s="819"/>
      <c r="F45" s="819"/>
      <c r="G45" s="819"/>
      <c r="H45" s="819"/>
      <c r="I45" s="819"/>
      <c r="J45" s="819"/>
      <c r="K45" s="819"/>
      <c r="L45" s="819"/>
      <c r="M45" s="819"/>
    </row>
    <row r="46" spans="1:13" ht="13.8" x14ac:dyDescent="0.4">
      <c r="A46" s="356">
        <v>1</v>
      </c>
      <c r="B46" s="358">
        <v>1.1000000000000001</v>
      </c>
      <c r="C46" s="358">
        <v>4.2</v>
      </c>
      <c r="D46" s="358">
        <v>0</v>
      </c>
      <c r="E46" s="358">
        <v>49.5</v>
      </c>
      <c r="F46" s="358">
        <v>35.799999999999997</v>
      </c>
      <c r="G46" s="358">
        <v>0</v>
      </c>
      <c r="H46" s="358">
        <v>0</v>
      </c>
      <c r="I46" s="358">
        <v>0</v>
      </c>
      <c r="J46" s="358">
        <v>0</v>
      </c>
      <c r="K46" s="358">
        <v>0</v>
      </c>
      <c r="L46" s="358">
        <v>0</v>
      </c>
      <c r="M46" s="358">
        <v>0.4</v>
      </c>
    </row>
    <row r="47" spans="1:13" ht="13.8" x14ac:dyDescent="0.4">
      <c r="A47" s="356">
        <f t="shared" ref="A47:A76" si="13">A46+1</f>
        <v>2</v>
      </c>
      <c r="B47" s="358">
        <v>39.5</v>
      </c>
      <c r="C47" s="358">
        <v>6.7</v>
      </c>
      <c r="D47" s="358">
        <v>0</v>
      </c>
      <c r="E47" s="358">
        <v>44</v>
      </c>
      <c r="F47" s="358">
        <v>23.9</v>
      </c>
      <c r="G47" s="358">
        <v>0</v>
      </c>
      <c r="H47" s="358">
        <v>0</v>
      </c>
      <c r="I47" s="358">
        <v>0</v>
      </c>
      <c r="J47" s="358">
        <v>0</v>
      </c>
      <c r="K47" s="358">
        <v>0</v>
      </c>
      <c r="L47" s="358">
        <v>0</v>
      </c>
      <c r="M47" s="358">
        <v>0</v>
      </c>
    </row>
    <row r="48" spans="1:13" ht="13.8" x14ac:dyDescent="0.4">
      <c r="A48" s="356">
        <f t="shared" si="13"/>
        <v>3</v>
      </c>
      <c r="B48" s="358">
        <v>42.9</v>
      </c>
      <c r="C48" s="358">
        <v>0</v>
      </c>
      <c r="D48" s="358">
        <v>36.799999999999997</v>
      </c>
      <c r="E48" s="358">
        <v>7</v>
      </c>
      <c r="F48" s="358">
        <v>1</v>
      </c>
      <c r="G48" s="358">
        <v>0</v>
      </c>
      <c r="H48" s="358">
        <v>0</v>
      </c>
      <c r="I48" s="358">
        <v>0</v>
      </c>
      <c r="J48" s="358">
        <v>0</v>
      </c>
      <c r="K48" s="358">
        <v>0</v>
      </c>
      <c r="L48" s="358">
        <v>27</v>
      </c>
      <c r="M48" s="358">
        <v>0</v>
      </c>
    </row>
    <row r="49" spans="1:13" ht="13.8" x14ac:dyDescent="0.4">
      <c r="A49" s="356">
        <f t="shared" si="13"/>
        <v>4</v>
      </c>
      <c r="B49" s="358">
        <v>0.7</v>
      </c>
      <c r="C49" s="358">
        <v>0</v>
      </c>
      <c r="D49" s="358">
        <v>10.8</v>
      </c>
      <c r="E49" s="358">
        <v>15</v>
      </c>
      <c r="F49" s="358">
        <v>10.4</v>
      </c>
      <c r="G49" s="358">
        <v>0.2</v>
      </c>
      <c r="H49" s="358">
        <v>0</v>
      </c>
      <c r="I49" s="358">
        <v>0</v>
      </c>
      <c r="J49" s="358">
        <v>0</v>
      </c>
      <c r="K49" s="358">
        <v>0</v>
      </c>
      <c r="L49" s="358">
        <v>3.4</v>
      </c>
      <c r="M49" s="358">
        <v>0</v>
      </c>
    </row>
    <row r="50" spans="1:13" ht="13.8" x14ac:dyDescent="0.4">
      <c r="A50" s="356">
        <f t="shared" si="13"/>
        <v>5</v>
      </c>
      <c r="B50" s="358">
        <v>2.5</v>
      </c>
      <c r="C50" s="358">
        <v>14.6</v>
      </c>
      <c r="D50" s="358">
        <v>25.6</v>
      </c>
      <c r="E50" s="358">
        <v>0</v>
      </c>
      <c r="F50" s="358">
        <v>38.5</v>
      </c>
      <c r="G50" s="358">
        <v>0</v>
      </c>
      <c r="H50" s="358">
        <v>0</v>
      </c>
      <c r="I50" s="358">
        <v>11.9</v>
      </c>
      <c r="J50" s="358">
        <v>0</v>
      </c>
      <c r="K50" s="358">
        <v>0</v>
      </c>
      <c r="L50" s="358">
        <v>0</v>
      </c>
      <c r="M50" s="358">
        <v>4.4000000000000004</v>
      </c>
    </row>
    <row r="51" spans="1:13" ht="13.8" x14ac:dyDescent="0.4">
      <c r="A51" s="356">
        <f t="shared" si="13"/>
        <v>6</v>
      </c>
      <c r="B51" s="358">
        <v>1.5</v>
      </c>
      <c r="C51" s="358">
        <v>0</v>
      </c>
      <c r="D51" s="358">
        <v>0</v>
      </c>
      <c r="E51" s="358">
        <v>0</v>
      </c>
      <c r="F51" s="358">
        <v>0</v>
      </c>
      <c r="G51" s="358">
        <v>0</v>
      </c>
      <c r="H51" s="358">
        <v>0</v>
      </c>
      <c r="I51" s="358">
        <v>0</v>
      </c>
      <c r="J51" s="358">
        <v>0</v>
      </c>
      <c r="K51" s="358">
        <v>0</v>
      </c>
      <c r="L51" s="358">
        <v>0</v>
      </c>
      <c r="M51" s="358">
        <v>20</v>
      </c>
    </row>
    <row r="52" spans="1:13" ht="13.8" x14ac:dyDescent="0.4">
      <c r="A52" s="356">
        <f t="shared" si="13"/>
        <v>7</v>
      </c>
      <c r="B52" s="358">
        <v>0</v>
      </c>
      <c r="C52" s="358">
        <v>0.7</v>
      </c>
      <c r="D52" s="358">
        <v>0</v>
      </c>
      <c r="E52" s="358">
        <v>0</v>
      </c>
      <c r="F52" s="358">
        <v>15.3</v>
      </c>
      <c r="G52" s="358">
        <v>0</v>
      </c>
      <c r="H52" s="358">
        <v>0</v>
      </c>
      <c r="I52" s="358">
        <v>0</v>
      </c>
      <c r="J52" s="358">
        <v>0</v>
      </c>
      <c r="K52" s="358">
        <v>0</v>
      </c>
      <c r="L52" s="358">
        <v>0.2</v>
      </c>
      <c r="M52" s="358">
        <v>0</v>
      </c>
    </row>
    <row r="53" spans="1:13" ht="13.8" x14ac:dyDescent="0.4">
      <c r="A53" s="356">
        <f t="shared" si="13"/>
        <v>8</v>
      </c>
      <c r="B53" s="358">
        <v>0</v>
      </c>
      <c r="C53" s="358">
        <v>0</v>
      </c>
      <c r="D53" s="358">
        <v>7.5</v>
      </c>
      <c r="E53" s="358">
        <v>0</v>
      </c>
      <c r="F53" s="358">
        <v>0</v>
      </c>
      <c r="G53" s="358">
        <v>0</v>
      </c>
      <c r="H53" s="358">
        <v>0</v>
      </c>
      <c r="I53" s="358">
        <v>0</v>
      </c>
      <c r="J53" s="358">
        <v>0</v>
      </c>
      <c r="K53" s="358">
        <v>0</v>
      </c>
      <c r="L53" s="358">
        <v>32.5</v>
      </c>
      <c r="M53" s="358">
        <v>0</v>
      </c>
    </row>
    <row r="54" spans="1:13" ht="13.8" x14ac:dyDescent="0.4">
      <c r="A54" s="356">
        <f t="shared" si="13"/>
        <v>9</v>
      </c>
      <c r="B54" s="358">
        <v>0</v>
      </c>
      <c r="C54" s="358">
        <v>0</v>
      </c>
      <c r="D54" s="358">
        <v>1.4</v>
      </c>
      <c r="E54" s="358">
        <v>0</v>
      </c>
      <c r="F54" s="358">
        <v>0</v>
      </c>
      <c r="G54" s="358">
        <v>0</v>
      </c>
      <c r="H54" s="358">
        <v>0</v>
      </c>
      <c r="I54" s="358">
        <v>0</v>
      </c>
      <c r="J54" s="358">
        <v>0</v>
      </c>
      <c r="K54" s="358">
        <v>0</v>
      </c>
      <c r="L54" s="358">
        <v>0.9</v>
      </c>
      <c r="M54" s="358">
        <v>2.5</v>
      </c>
    </row>
    <row r="55" spans="1:13" ht="13.8" x14ac:dyDescent="0.4">
      <c r="A55" s="356">
        <f t="shared" si="13"/>
        <v>10</v>
      </c>
      <c r="B55" s="358">
        <v>0</v>
      </c>
      <c r="C55" s="358">
        <v>0</v>
      </c>
      <c r="D55" s="358">
        <v>3.5</v>
      </c>
      <c r="E55" s="358">
        <v>0</v>
      </c>
      <c r="F55" s="358">
        <v>0</v>
      </c>
      <c r="G55" s="358">
        <v>23</v>
      </c>
      <c r="H55" s="358">
        <v>0</v>
      </c>
      <c r="I55" s="358">
        <v>0</v>
      </c>
      <c r="J55" s="358">
        <v>0</v>
      </c>
      <c r="K55" s="358">
        <v>0</v>
      </c>
      <c r="L55" s="358">
        <v>0</v>
      </c>
      <c r="M55" s="358">
        <v>53</v>
      </c>
    </row>
    <row r="56" spans="1:13" ht="13.8" x14ac:dyDescent="0.4">
      <c r="A56" s="356">
        <f t="shared" si="13"/>
        <v>11</v>
      </c>
      <c r="B56" s="358">
        <v>8.5</v>
      </c>
      <c r="C56" s="358">
        <v>0</v>
      </c>
      <c r="D56" s="358">
        <v>0</v>
      </c>
      <c r="E56" s="358">
        <v>2.2999999999999998</v>
      </c>
      <c r="F56" s="358">
        <v>0</v>
      </c>
      <c r="G56" s="358">
        <v>0</v>
      </c>
      <c r="H56" s="358">
        <v>0</v>
      </c>
      <c r="I56" s="358">
        <v>0</v>
      </c>
      <c r="J56" s="358">
        <v>0</v>
      </c>
      <c r="K56" s="358">
        <v>0</v>
      </c>
      <c r="L56" s="358">
        <v>2</v>
      </c>
      <c r="M56" s="358">
        <v>0.6</v>
      </c>
    </row>
    <row r="57" spans="1:13" ht="13.8" x14ac:dyDescent="0.4">
      <c r="A57" s="356">
        <f t="shared" si="13"/>
        <v>12</v>
      </c>
      <c r="B57" s="358">
        <v>17</v>
      </c>
      <c r="C57" s="358">
        <v>14.4</v>
      </c>
      <c r="D57" s="358">
        <v>2</v>
      </c>
      <c r="E57" s="358">
        <v>9</v>
      </c>
      <c r="F57" s="358">
        <v>0</v>
      </c>
      <c r="G57" s="358">
        <v>0</v>
      </c>
      <c r="H57" s="358">
        <v>0</v>
      </c>
      <c r="I57" s="358">
        <v>0</v>
      </c>
      <c r="J57" s="358">
        <v>0</v>
      </c>
      <c r="K57" s="358">
        <v>0</v>
      </c>
      <c r="L57" s="358">
        <v>3.5</v>
      </c>
      <c r="M57" s="358">
        <v>16</v>
      </c>
    </row>
    <row r="58" spans="1:13" ht="13.8" x14ac:dyDescent="0.4">
      <c r="A58" s="356">
        <f t="shared" si="13"/>
        <v>13</v>
      </c>
      <c r="B58" s="358">
        <v>0</v>
      </c>
      <c r="C58" s="358">
        <v>119.4</v>
      </c>
      <c r="D58" s="358">
        <v>2.5</v>
      </c>
      <c r="E58" s="358">
        <v>41.4</v>
      </c>
      <c r="F58" s="358">
        <v>0</v>
      </c>
      <c r="G58" s="358">
        <v>0</v>
      </c>
      <c r="H58" s="358">
        <v>0</v>
      </c>
      <c r="I58" s="358">
        <v>0</v>
      </c>
      <c r="J58" s="358">
        <v>0</v>
      </c>
      <c r="K58" s="358">
        <v>0</v>
      </c>
      <c r="L58" s="358">
        <v>8.9</v>
      </c>
      <c r="M58" s="358">
        <v>0</v>
      </c>
    </row>
    <row r="59" spans="1:13" ht="13.8" x14ac:dyDescent="0.4">
      <c r="A59" s="356">
        <f t="shared" si="13"/>
        <v>14</v>
      </c>
      <c r="B59" s="358">
        <v>9</v>
      </c>
      <c r="C59" s="358">
        <v>14.2</v>
      </c>
      <c r="D59" s="358">
        <v>22.2</v>
      </c>
      <c r="E59" s="358">
        <v>0</v>
      </c>
      <c r="F59" s="358">
        <v>0</v>
      </c>
      <c r="G59" s="358">
        <v>0</v>
      </c>
      <c r="H59" s="358">
        <v>0</v>
      </c>
      <c r="I59" s="358">
        <v>0</v>
      </c>
      <c r="J59" s="358">
        <v>0</v>
      </c>
      <c r="K59" s="358">
        <v>0</v>
      </c>
      <c r="L59" s="358">
        <v>1.6</v>
      </c>
      <c r="M59" s="358">
        <v>0</v>
      </c>
    </row>
    <row r="60" spans="1:13" ht="13.8" x14ac:dyDescent="0.4">
      <c r="A60" s="356">
        <f t="shared" si="13"/>
        <v>15</v>
      </c>
      <c r="B60" s="358">
        <v>0.9</v>
      </c>
      <c r="C60" s="358" t="s">
        <v>165</v>
      </c>
      <c r="D60" s="358">
        <v>0</v>
      </c>
      <c r="E60" s="358">
        <v>42.2</v>
      </c>
      <c r="F60" s="358">
        <v>0</v>
      </c>
      <c r="G60" s="358">
        <v>54</v>
      </c>
      <c r="H60" s="358">
        <v>0</v>
      </c>
      <c r="I60" s="358">
        <v>0</v>
      </c>
      <c r="J60" s="358">
        <v>0</v>
      </c>
      <c r="K60" s="358">
        <v>0</v>
      </c>
      <c r="L60" s="358">
        <v>0</v>
      </c>
      <c r="M60" s="358">
        <v>49</v>
      </c>
    </row>
    <row r="61" spans="1:13" ht="13.8" x14ac:dyDescent="0.4">
      <c r="A61" s="356">
        <f t="shared" si="13"/>
        <v>16</v>
      </c>
      <c r="B61" s="358">
        <v>0</v>
      </c>
      <c r="C61" s="358">
        <v>0</v>
      </c>
      <c r="D61" s="358">
        <v>7.9</v>
      </c>
      <c r="E61" s="358">
        <v>0.2</v>
      </c>
      <c r="F61" s="358">
        <v>0</v>
      </c>
      <c r="G61" s="358">
        <v>0</v>
      </c>
      <c r="H61" s="358">
        <v>0</v>
      </c>
      <c r="I61" s="358">
        <v>0</v>
      </c>
      <c r="J61" s="358">
        <v>0</v>
      </c>
      <c r="K61" s="358">
        <v>0</v>
      </c>
      <c r="L61" s="358">
        <v>0</v>
      </c>
      <c r="M61" s="358">
        <v>8.5</v>
      </c>
    </row>
    <row r="62" spans="1:13" ht="13.8" x14ac:dyDescent="0.4">
      <c r="A62" s="356">
        <f t="shared" si="13"/>
        <v>17</v>
      </c>
      <c r="B62" s="358">
        <v>18.7</v>
      </c>
      <c r="C62" s="358">
        <v>0</v>
      </c>
      <c r="D62" s="358">
        <v>0.4</v>
      </c>
      <c r="E62" s="358">
        <v>0</v>
      </c>
      <c r="F62" s="358">
        <v>0</v>
      </c>
      <c r="G62" s="358">
        <v>0</v>
      </c>
      <c r="H62" s="358">
        <v>0</v>
      </c>
      <c r="I62" s="358">
        <v>0</v>
      </c>
      <c r="J62" s="358">
        <v>0</v>
      </c>
      <c r="K62" s="358">
        <v>0</v>
      </c>
      <c r="L62" s="358">
        <v>19.5</v>
      </c>
      <c r="M62" s="358">
        <v>44.2</v>
      </c>
    </row>
    <row r="63" spans="1:13" ht="13.8" x14ac:dyDescent="0.4">
      <c r="A63" s="356">
        <f t="shared" si="13"/>
        <v>18</v>
      </c>
      <c r="B63" s="358">
        <v>0</v>
      </c>
      <c r="C63" s="358">
        <v>40.799999999999997</v>
      </c>
      <c r="D63" s="358">
        <v>0.5</v>
      </c>
      <c r="E63" s="358">
        <v>0.4</v>
      </c>
      <c r="F63" s="358">
        <v>0</v>
      </c>
      <c r="G63" s="358">
        <v>0</v>
      </c>
      <c r="H63" s="358">
        <v>0</v>
      </c>
      <c r="I63" s="358">
        <v>0</v>
      </c>
      <c r="J63" s="358">
        <v>0</v>
      </c>
      <c r="K63" s="358">
        <v>0</v>
      </c>
      <c r="L63" s="358">
        <v>7</v>
      </c>
      <c r="M63" s="358">
        <v>6.4</v>
      </c>
    </row>
    <row r="64" spans="1:13" ht="13.8" x14ac:dyDescent="0.4">
      <c r="A64" s="356">
        <f t="shared" si="13"/>
        <v>19</v>
      </c>
      <c r="B64" s="358">
        <v>0</v>
      </c>
      <c r="C64" s="358">
        <v>3.5</v>
      </c>
      <c r="D64" s="358">
        <v>14</v>
      </c>
      <c r="E64" s="358">
        <v>3</v>
      </c>
      <c r="F64" s="358">
        <v>0</v>
      </c>
      <c r="G64" s="358">
        <v>0</v>
      </c>
      <c r="H64" s="358">
        <v>0</v>
      </c>
      <c r="I64" s="358">
        <v>0</v>
      </c>
      <c r="J64" s="358">
        <v>0</v>
      </c>
      <c r="K64" s="358">
        <v>0</v>
      </c>
      <c r="L64" s="358">
        <v>0</v>
      </c>
      <c r="M64" s="358">
        <v>9</v>
      </c>
    </row>
    <row r="65" spans="1:13" ht="13.8" x14ac:dyDescent="0.4">
      <c r="A65" s="356">
        <f t="shared" si="13"/>
        <v>20</v>
      </c>
      <c r="B65" s="358">
        <v>33</v>
      </c>
      <c r="C65" s="358">
        <v>43</v>
      </c>
      <c r="D65" s="358">
        <v>6</v>
      </c>
      <c r="E65" s="358">
        <v>2.8</v>
      </c>
      <c r="F65" s="358">
        <v>0</v>
      </c>
      <c r="G65" s="358">
        <v>0</v>
      </c>
      <c r="H65" s="358">
        <v>0</v>
      </c>
      <c r="I65" s="358">
        <v>0</v>
      </c>
      <c r="J65" s="358">
        <v>0</v>
      </c>
      <c r="K65" s="358">
        <v>0</v>
      </c>
      <c r="L65" s="358">
        <v>6</v>
      </c>
      <c r="M65" s="358">
        <v>0.4</v>
      </c>
    </row>
    <row r="66" spans="1:13" ht="13.8" x14ac:dyDescent="0.4">
      <c r="A66" s="356">
        <f t="shared" si="13"/>
        <v>21</v>
      </c>
      <c r="B66" s="358">
        <v>3.4</v>
      </c>
      <c r="C66" s="358">
        <v>0</v>
      </c>
      <c r="D66" s="358">
        <v>18.5</v>
      </c>
      <c r="E66" s="358">
        <v>0</v>
      </c>
      <c r="F66" s="358">
        <v>0</v>
      </c>
      <c r="G66" s="358">
        <v>0</v>
      </c>
      <c r="H66" s="358">
        <v>0</v>
      </c>
      <c r="I66" s="358">
        <v>0</v>
      </c>
      <c r="J66" s="358">
        <v>0</v>
      </c>
      <c r="K66" s="358">
        <v>0.1</v>
      </c>
      <c r="L66" s="358">
        <v>12</v>
      </c>
      <c r="M66" s="358">
        <v>12.5</v>
      </c>
    </row>
    <row r="67" spans="1:13" ht="13.8" x14ac:dyDescent="0.4">
      <c r="A67" s="356">
        <f t="shared" si="13"/>
        <v>22</v>
      </c>
      <c r="B67" s="358">
        <v>0</v>
      </c>
      <c r="C67" s="358">
        <v>0</v>
      </c>
      <c r="D67" s="358">
        <v>0</v>
      </c>
      <c r="E67" s="358">
        <v>0</v>
      </c>
      <c r="F67" s="358">
        <v>0</v>
      </c>
      <c r="G67" s="358">
        <v>0</v>
      </c>
      <c r="H67" s="358">
        <v>0</v>
      </c>
      <c r="I67" s="358">
        <v>0</v>
      </c>
      <c r="J67" s="358">
        <v>0</v>
      </c>
      <c r="K67" s="358">
        <v>0</v>
      </c>
      <c r="L67" s="358">
        <v>0</v>
      </c>
      <c r="M67" s="358">
        <v>11.7</v>
      </c>
    </row>
    <row r="68" spans="1:13" ht="13.8" x14ac:dyDescent="0.4">
      <c r="A68" s="356">
        <f t="shared" si="13"/>
        <v>23</v>
      </c>
      <c r="B68" s="358">
        <v>0</v>
      </c>
      <c r="C68" s="358">
        <v>0</v>
      </c>
      <c r="D68" s="358">
        <v>0</v>
      </c>
      <c r="E68" s="358">
        <v>0.4</v>
      </c>
      <c r="F68" s="358">
        <v>0</v>
      </c>
      <c r="G68" s="358">
        <v>0</v>
      </c>
      <c r="H68" s="358">
        <v>0</v>
      </c>
      <c r="I68" s="358">
        <v>0</v>
      </c>
      <c r="J68" s="358">
        <v>0</v>
      </c>
      <c r="K68" s="358">
        <v>0</v>
      </c>
      <c r="L68" s="358">
        <v>0</v>
      </c>
      <c r="M68" s="358">
        <v>1</v>
      </c>
    </row>
    <row r="69" spans="1:13" ht="13.8" x14ac:dyDescent="0.4">
      <c r="A69" s="356">
        <f t="shared" si="13"/>
        <v>24</v>
      </c>
      <c r="B69" s="358">
        <v>1.4</v>
      </c>
      <c r="C69" s="358">
        <v>0</v>
      </c>
      <c r="D69" s="358">
        <v>0</v>
      </c>
      <c r="E69" s="358">
        <v>14.4</v>
      </c>
      <c r="F69" s="358">
        <v>0</v>
      </c>
      <c r="G69" s="358">
        <v>0</v>
      </c>
      <c r="H69" s="358">
        <v>0</v>
      </c>
      <c r="I69" s="358">
        <v>0</v>
      </c>
      <c r="J69" s="358">
        <v>0</v>
      </c>
      <c r="K69" s="358">
        <v>0</v>
      </c>
      <c r="L69" s="358">
        <v>0</v>
      </c>
      <c r="M69" s="358">
        <v>5</v>
      </c>
    </row>
    <row r="70" spans="1:13" ht="13.8" x14ac:dyDescent="0.4">
      <c r="A70" s="356">
        <f t="shared" si="13"/>
        <v>25</v>
      </c>
      <c r="B70" s="358">
        <v>12.5</v>
      </c>
      <c r="C70" s="358">
        <v>0</v>
      </c>
      <c r="D70" s="358">
        <v>4.3</v>
      </c>
      <c r="E70" s="358">
        <v>40.9</v>
      </c>
      <c r="F70" s="358">
        <v>0</v>
      </c>
      <c r="G70" s="358">
        <v>0</v>
      </c>
      <c r="H70" s="358">
        <v>0</v>
      </c>
      <c r="I70" s="358">
        <v>0</v>
      </c>
      <c r="J70" s="358">
        <v>0</v>
      </c>
      <c r="K70" s="358">
        <v>0</v>
      </c>
      <c r="L70" s="358">
        <v>0</v>
      </c>
      <c r="M70" s="358">
        <v>0</v>
      </c>
    </row>
    <row r="71" spans="1:13" ht="13.8" x14ac:dyDescent="0.4">
      <c r="A71" s="356">
        <f t="shared" si="13"/>
        <v>26</v>
      </c>
      <c r="B71" s="358">
        <v>0.8</v>
      </c>
      <c r="C71" s="358">
        <v>0</v>
      </c>
      <c r="D71" s="358">
        <v>0</v>
      </c>
      <c r="E71" s="358">
        <v>0.4</v>
      </c>
      <c r="F71" s="358">
        <v>0</v>
      </c>
      <c r="G71" s="358">
        <v>0</v>
      </c>
      <c r="H71" s="358">
        <v>1.7</v>
      </c>
      <c r="I71" s="358">
        <v>0</v>
      </c>
      <c r="J71" s="358">
        <v>0</v>
      </c>
      <c r="K71" s="358">
        <v>0</v>
      </c>
      <c r="L71" s="358">
        <v>3.3</v>
      </c>
      <c r="M71" s="358">
        <v>0</v>
      </c>
    </row>
    <row r="72" spans="1:13" ht="13.8" x14ac:dyDescent="0.4">
      <c r="A72" s="356">
        <f t="shared" si="13"/>
        <v>27</v>
      </c>
      <c r="B72" s="358">
        <v>1.5</v>
      </c>
      <c r="C72" s="358">
        <v>0.3</v>
      </c>
      <c r="D72" s="358">
        <v>0.6</v>
      </c>
      <c r="E72" s="358">
        <v>2.5</v>
      </c>
      <c r="F72" s="358">
        <v>0</v>
      </c>
      <c r="G72" s="358">
        <v>0</v>
      </c>
      <c r="H72" s="358">
        <v>0</v>
      </c>
      <c r="I72" s="358">
        <v>0</v>
      </c>
      <c r="J72" s="358">
        <v>0</v>
      </c>
      <c r="K72" s="358">
        <v>0</v>
      </c>
      <c r="L72" s="358">
        <v>0.1</v>
      </c>
      <c r="M72" s="358">
        <v>0.2</v>
      </c>
    </row>
    <row r="73" spans="1:13" ht="13.8" x14ac:dyDescent="0.4">
      <c r="A73" s="356">
        <f t="shared" si="13"/>
        <v>28</v>
      </c>
      <c r="B73" s="358">
        <v>0</v>
      </c>
      <c r="C73" s="358">
        <v>0</v>
      </c>
      <c r="D73" s="358">
        <v>0.1</v>
      </c>
      <c r="E73" s="358">
        <v>0</v>
      </c>
      <c r="F73" s="358">
        <v>0</v>
      </c>
      <c r="G73" s="358">
        <v>0</v>
      </c>
      <c r="H73" s="358">
        <v>0</v>
      </c>
      <c r="I73" s="358">
        <v>0</v>
      </c>
      <c r="J73" s="358">
        <v>0</v>
      </c>
      <c r="K73" s="358">
        <v>0</v>
      </c>
      <c r="L73" s="358">
        <v>0</v>
      </c>
      <c r="M73" s="358">
        <v>0</v>
      </c>
    </row>
    <row r="74" spans="1:13" ht="13.8" x14ac:dyDescent="0.4">
      <c r="A74" s="356">
        <f t="shared" si="13"/>
        <v>29</v>
      </c>
      <c r="B74" s="358">
        <v>0</v>
      </c>
      <c r="C74" s="357"/>
      <c r="D74" s="358">
        <v>0.3</v>
      </c>
      <c r="E74" s="358">
        <v>0</v>
      </c>
      <c r="F74" s="358">
        <v>0</v>
      </c>
      <c r="G74" s="358">
        <v>0</v>
      </c>
      <c r="H74" s="358">
        <v>0</v>
      </c>
      <c r="I74" s="358">
        <v>0</v>
      </c>
      <c r="J74" s="358">
        <v>0</v>
      </c>
      <c r="K74" s="358">
        <v>0</v>
      </c>
      <c r="L74" s="358">
        <v>0</v>
      </c>
      <c r="M74" s="358">
        <v>0</v>
      </c>
    </row>
    <row r="75" spans="1:13" ht="13.8" x14ac:dyDescent="0.4">
      <c r="A75" s="356">
        <f t="shared" si="13"/>
        <v>30</v>
      </c>
      <c r="B75" s="358">
        <v>0</v>
      </c>
      <c r="C75" s="357"/>
      <c r="D75" s="358">
        <v>0</v>
      </c>
      <c r="E75" s="358">
        <v>31.6</v>
      </c>
      <c r="F75" s="358">
        <v>0</v>
      </c>
      <c r="G75" s="358">
        <v>0</v>
      </c>
      <c r="H75" s="358">
        <v>0</v>
      </c>
      <c r="I75" s="358">
        <v>0</v>
      </c>
      <c r="J75" s="358">
        <v>0</v>
      </c>
      <c r="K75" s="358">
        <v>0</v>
      </c>
      <c r="L75" s="358">
        <v>3</v>
      </c>
      <c r="M75" s="358">
        <v>1.5</v>
      </c>
    </row>
    <row r="76" spans="1:13" ht="13.8" x14ac:dyDescent="0.4">
      <c r="A76" s="356">
        <f t="shared" si="13"/>
        <v>31</v>
      </c>
      <c r="B76" s="358">
        <v>0.2</v>
      </c>
      <c r="C76" s="357"/>
      <c r="D76" s="358">
        <v>0</v>
      </c>
      <c r="E76" s="357"/>
      <c r="F76" s="358">
        <v>0</v>
      </c>
      <c r="G76" s="357"/>
      <c r="H76" s="358">
        <v>0</v>
      </c>
      <c r="I76" s="358">
        <v>0</v>
      </c>
      <c r="J76" s="357"/>
      <c r="K76" s="358">
        <v>0.5</v>
      </c>
      <c r="L76" s="357"/>
      <c r="M76" s="358">
        <v>0.5</v>
      </c>
    </row>
    <row r="77" spans="1:13" ht="13.8" x14ac:dyDescent="0.4">
      <c r="A77" s="356" t="s">
        <v>3296</v>
      </c>
      <c r="B77" s="357">
        <f>MAX(B46:B76)</f>
        <v>42.9</v>
      </c>
      <c r="C77" s="357">
        <f t="shared" ref="C77" si="14">MAX(C46:C76)</f>
        <v>119.4</v>
      </c>
      <c r="D77" s="357">
        <f t="shared" ref="D77" si="15">MAX(D46:D76)</f>
        <v>36.799999999999997</v>
      </c>
      <c r="E77" s="357">
        <f t="shared" ref="E77" si="16">MAX(E46:E76)</f>
        <v>49.5</v>
      </c>
      <c r="F77" s="357">
        <f t="shared" ref="F77" si="17">MAX(F46:F76)</f>
        <v>38.5</v>
      </c>
      <c r="G77" s="357">
        <f t="shared" ref="G77" si="18">MAX(G46:G76)</f>
        <v>54</v>
      </c>
      <c r="H77" s="357">
        <f t="shared" ref="H77" si="19">MAX(H46:H76)</f>
        <v>1.7</v>
      </c>
      <c r="I77" s="357">
        <f>MAX(I46:I76)</f>
        <v>11.9</v>
      </c>
      <c r="J77" s="357">
        <f t="shared" ref="J77" si="20">MAX(J46:J76)</f>
        <v>0</v>
      </c>
      <c r="K77" s="357">
        <f t="shared" ref="K77" si="21">MAX(K46:K76)</f>
        <v>0.5</v>
      </c>
      <c r="L77" s="357">
        <f t="shared" ref="L77" si="22">MAX(L46:L76)</f>
        <v>32.5</v>
      </c>
      <c r="M77" s="357">
        <f t="shared" ref="M77" si="23">MAX(M46:M76)</f>
        <v>53</v>
      </c>
    </row>
    <row r="78" spans="1:13" ht="13.8" x14ac:dyDescent="0.4">
      <c r="A78" s="356" t="s">
        <v>4798</v>
      </c>
      <c r="B78" s="357">
        <f>SUM(B46:B76)</f>
        <v>195.10000000000002</v>
      </c>
      <c r="C78" s="357">
        <f t="shared" ref="C78:M78" si="24">SUM(C46:C76)</f>
        <v>261.8</v>
      </c>
      <c r="D78" s="357">
        <f t="shared" si="24"/>
        <v>164.90000000000003</v>
      </c>
      <c r="E78" s="357">
        <f t="shared" si="24"/>
        <v>307</v>
      </c>
      <c r="F78" s="357">
        <f t="shared" si="24"/>
        <v>124.89999999999999</v>
      </c>
      <c r="G78" s="357">
        <f t="shared" si="24"/>
        <v>77.2</v>
      </c>
      <c r="H78" s="357">
        <f t="shared" si="24"/>
        <v>1.7</v>
      </c>
      <c r="I78" s="357">
        <f t="shared" si="24"/>
        <v>11.9</v>
      </c>
      <c r="J78" s="357">
        <f t="shared" si="24"/>
        <v>0</v>
      </c>
      <c r="K78" s="357">
        <f t="shared" si="24"/>
        <v>0.6</v>
      </c>
      <c r="L78" s="357">
        <f t="shared" si="24"/>
        <v>130.89999999999998</v>
      </c>
      <c r="M78" s="357">
        <f t="shared" si="24"/>
        <v>246.79999999999995</v>
      </c>
    </row>
    <row r="79" spans="1:13" ht="13.8" x14ac:dyDescent="0.4">
      <c r="A79" s="356" t="s">
        <v>4799</v>
      </c>
      <c r="B79" s="357">
        <f>COUNTIF(B46:B76,"&gt;2")</f>
        <v>10</v>
      </c>
      <c r="C79" s="357">
        <f t="shared" ref="C79:M79" si="25">COUNTIF(C46:C76,"&gt;2")</f>
        <v>9</v>
      </c>
      <c r="D79" s="357">
        <f t="shared" si="25"/>
        <v>12</v>
      </c>
      <c r="E79" s="357">
        <f t="shared" si="25"/>
        <v>14</v>
      </c>
      <c r="F79" s="357">
        <f t="shared" si="25"/>
        <v>5</v>
      </c>
      <c r="G79" s="357">
        <f t="shared" si="25"/>
        <v>2</v>
      </c>
      <c r="H79" s="357">
        <f t="shared" si="25"/>
        <v>0</v>
      </c>
      <c r="I79" s="357">
        <f t="shared" si="25"/>
        <v>1</v>
      </c>
      <c r="J79" s="357">
        <f t="shared" si="25"/>
        <v>0</v>
      </c>
      <c r="K79" s="357">
        <f t="shared" si="25"/>
        <v>0</v>
      </c>
      <c r="L79" s="357">
        <f t="shared" si="25"/>
        <v>11</v>
      </c>
      <c r="M79" s="357">
        <f t="shared" si="25"/>
        <v>13</v>
      </c>
    </row>
    <row r="80" spans="1:13" ht="13.8" x14ac:dyDescent="0.4">
      <c r="A80" s="356" t="s">
        <v>4800</v>
      </c>
      <c r="B80" s="357">
        <f>B78/B79</f>
        <v>19.510000000000002</v>
      </c>
      <c r="C80" s="357">
        <f t="shared" ref="C80:M80" si="26">C78/C79</f>
        <v>29.088888888888889</v>
      </c>
      <c r="D80" s="357">
        <f t="shared" si="26"/>
        <v>13.741666666666669</v>
      </c>
      <c r="E80" s="357">
        <f t="shared" si="26"/>
        <v>21.928571428571427</v>
      </c>
      <c r="F80" s="357">
        <f t="shared" si="26"/>
        <v>24.979999999999997</v>
      </c>
      <c r="G80" s="357">
        <f t="shared" si="26"/>
        <v>38.6</v>
      </c>
      <c r="H80" s="357" t="e">
        <f t="shared" si="26"/>
        <v>#DIV/0!</v>
      </c>
      <c r="I80" s="357">
        <f t="shared" si="26"/>
        <v>11.9</v>
      </c>
      <c r="J80" s="357">
        <v>0</v>
      </c>
      <c r="K80" s="357" t="e">
        <f t="shared" si="26"/>
        <v>#DIV/0!</v>
      </c>
      <c r="L80" s="357">
        <f t="shared" si="26"/>
        <v>11.899999999999999</v>
      </c>
      <c r="M80" s="357">
        <f t="shared" si="26"/>
        <v>18.984615384615381</v>
      </c>
    </row>
    <row r="82" spans="1:13" ht="15.6" x14ac:dyDescent="0.2">
      <c r="A82" s="817" t="s">
        <v>3273</v>
      </c>
      <c r="B82" s="818">
        <v>2016</v>
      </c>
      <c r="C82" s="818"/>
      <c r="D82" s="818"/>
      <c r="E82" s="818"/>
      <c r="F82" s="818"/>
      <c r="G82" s="818"/>
      <c r="H82" s="818"/>
      <c r="I82" s="818"/>
      <c r="J82" s="818"/>
      <c r="K82" s="818"/>
      <c r="L82" s="818"/>
      <c r="M82" s="818"/>
    </row>
    <row r="83" spans="1:13" x14ac:dyDescent="0.2">
      <c r="A83" s="817"/>
      <c r="B83" s="769" t="s">
        <v>3280</v>
      </c>
      <c r="C83" s="769" t="s">
        <v>3281</v>
      </c>
      <c r="D83" s="769" t="s">
        <v>3282</v>
      </c>
      <c r="E83" s="769" t="s">
        <v>3283</v>
      </c>
      <c r="F83" s="769" t="s">
        <v>3284</v>
      </c>
      <c r="G83" s="769" t="s">
        <v>3285</v>
      </c>
      <c r="H83" s="769" t="s">
        <v>3286</v>
      </c>
      <c r="I83" s="769" t="s">
        <v>3294</v>
      </c>
      <c r="J83" s="769" t="s">
        <v>3288</v>
      </c>
      <c r="K83" s="769" t="s">
        <v>3289</v>
      </c>
      <c r="L83" s="769" t="s">
        <v>3290</v>
      </c>
      <c r="M83" s="769" t="s">
        <v>3291</v>
      </c>
    </row>
    <row r="84" spans="1:13" ht="11.4" customHeight="1" x14ac:dyDescent="0.2">
      <c r="A84" s="817"/>
      <c r="B84" s="819" t="s">
        <v>3295</v>
      </c>
      <c r="C84" s="819" t="s">
        <v>3295</v>
      </c>
      <c r="D84" s="819" t="s">
        <v>3295</v>
      </c>
      <c r="E84" s="819" t="s">
        <v>3295</v>
      </c>
      <c r="F84" s="819" t="s">
        <v>3295</v>
      </c>
      <c r="G84" s="819" t="s">
        <v>3295</v>
      </c>
      <c r="H84" s="819" t="s">
        <v>3295</v>
      </c>
      <c r="I84" s="819" t="s">
        <v>3295</v>
      </c>
      <c r="J84" s="819" t="s">
        <v>3295</v>
      </c>
      <c r="K84" s="819" t="s">
        <v>3295</v>
      </c>
      <c r="L84" s="819" t="s">
        <v>3295</v>
      </c>
      <c r="M84" s="819" t="s">
        <v>3295</v>
      </c>
    </row>
    <row r="85" spans="1:13" ht="24" customHeight="1" x14ac:dyDescent="0.2">
      <c r="A85" s="817"/>
      <c r="B85" s="819"/>
      <c r="C85" s="819"/>
      <c r="D85" s="819"/>
      <c r="E85" s="819"/>
      <c r="F85" s="819"/>
      <c r="G85" s="819"/>
      <c r="H85" s="819"/>
      <c r="I85" s="819"/>
      <c r="J85" s="819"/>
      <c r="K85" s="819"/>
      <c r="L85" s="819"/>
      <c r="M85" s="819"/>
    </row>
    <row r="86" spans="1:13" ht="13.8" x14ac:dyDescent="0.4">
      <c r="A86" s="356">
        <v>1</v>
      </c>
      <c r="B86" s="358">
        <v>0</v>
      </c>
      <c r="C86" s="358">
        <v>8</v>
      </c>
      <c r="D86" s="358">
        <v>35.299999999999997</v>
      </c>
      <c r="E86" s="358">
        <v>4.4000000000000004</v>
      </c>
      <c r="F86" s="358">
        <v>0</v>
      </c>
      <c r="G86" s="358">
        <v>0</v>
      </c>
      <c r="H86" s="358">
        <v>0</v>
      </c>
      <c r="I86" s="358" t="s">
        <v>165</v>
      </c>
      <c r="J86" s="358">
        <v>0</v>
      </c>
      <c r="K86" s="358">
        <v>6</v>
      </c>
      <c r="L86" s="358">
        <v>0</v>
      </c>
      <c r="M86" s="368">
        <v>2</v>
      </c>
    </row>
    <row r="87" spans="1:13" ht="13.8" x14ac:dyDescent="0.4">
      <c r="A87" s="356">
        <f t="shared" ref="A87:A116" si="27">A86+1</f>
        <v>2</v>
      </c>
      <c r="B87" s="358">
        <v>0.8</v>
      </c>
      <c r="C87" s="358">
        <v>0.5</v>
      </c>
      <c r="D87" s="358">
        <v>4</v>
      </c>
      <c r="E87" s="358">
        <v>0</v>
      </c>
      <c r="F87" s="358">
        <v>0.5</v>
      </c>
      <c r="G87" s="358">
        <v>4.0999999999999996</v>
      </c>
      <c r="H87" s="358">
        <v>0</v>
      </c>
      <c r="I87" s="358">
        <v>0</v>
      </c>
      <c r="J87" s="358">
        <v>21</v>
      </c>
      <c r="K87" s="358">
        <v>0</v>
      </c>
      <c r="L87" s="358">
        <v>0</v>
      </c>
      <c r="M87" s="368">
        <v>5</v>
      </c>
    </row>
    <row r="88" spans="1:13" ht="13.8" x14ac:dyDescent="0.4">
      <c r="A88" s="356">
        <f t="shared" si="27"/>
        <v>3</v>
      </c>
      <c r="B88" s="358">
        <v>2</v>
      </c>
      <c r="C88" s="358">
        <v>0.1</v>
      </c>
      <c r="D88" s="358">
        <v>0</v>
      </c>
      <c r="E88" s="358">
        <v>0</v>
      </c>
      <c r="F88" s="358">
        <v>0</v>
      </c>
      <c r="G88" s="358">
        <v>0.4</v>
      </c>
      <c r="H88" s="358">
        <v>66.5</v>
      </c>
      <c r="I88" s="358">
        <v>0</v>
      </c>
      <c r="J88" s="358">
        <v>20.5</v>
      </c>
      <c r="K88" s="358">
        <v>3</v>
      </c>
      <c r="L88" s="358">
        <v>0</v>
      </c>
      <c r="M88" s="368">
        <v>0</v>
      </c>
    </row>
    <row r="89" spans="1:13" ht="13.8" x14ac:dyDescent="0.4">
      <c r="A89" s="356">
        <f t="shared" si="27"/>
        <v>4</v>
      </c>
      <c r="B89" s="358">
        <v>56</v>
      </c>
      <c r="C89" s="358">
        <v>0</v>
      </c>
      <c r="D89" s="358">
        <v>0</v>
      </c>
      <c r="E89" s="358">
        <v>22</v>
      </c>
      <c r="F89" s="358">
        <v>0</v>
      </c>
      <c r="G89" s="358">
        <v>0</v>
      </c>
      <c r="H89" s="358">
        <v>0</v>
      </c>
      <c r="I89" s="358">
        <v>0</v>
      </c>
      <c r="J89" s="358">
        <v>41.8</v>
      </c>
      <c r="K89" s="358">
        <v>0</v>
      </c>
      <c r="L89" s="358">
        <v>0</v>
      </c>
      <c r="M89" s="368">
        <v>3</v>
      </c>
    </row>
    <row r="90" spans="1:13" ht="13.8" x14ac:dyDescent="0.4">
      <c r="A90" s="356">
        <f t="shared" si="27"/>
        <v>5</v>
      </c>
      <c r="B90" s="358">
        <v>0</v>
      </c>
      <c r="C90" s="358">
        <v>3.4</v>
      </c>
      <c r="D90" s="358">
        <v>5.2</v>
      </c>
      <c r="E90" s="358">
        <v>18.8</v>
      </c>
      <c r="F90" s="358">
        <v>0</v>
      </c>
      <c r="G90" s="358">
        <v>0</v>
      </c>
      <c r="H90" s="358">
        <v>0</v>
      </c>
      <c r="I90" s="358">
        <v>0</v>
      </c>
      <c r="J90" s="358">
        <v>0</v>
      </c>
      <c r="K90" s="358">
        <v>0.8</v>
      </c>
      <c r="L90" s="358">
        <v>8.6</v>
      </c>
      <c r="M90" s="368">
        <v>0</v>
      </c>
    </row>
    <row r="91" spans="1:13" ht="13.8" x14ac:dyDescent="0.4">
      <c r="A91" s="356">
        <f t="shared" si="27"/>
        <v>6</v>
      </c>
      <c r="B91" s="358">
        <v>8</v>
      </c>
      <c r="C91" s="358">
        <v>10.4</v>
      </c>
      <c r="D91" s="358">
        <v>0</v>
      </c>
      <c r="E91" s="358">
        <v>0</v>
      </c>
      <c r="F91" s="358">
        <v>0</v>
      </c>
      <c r="G91" s="358">
        <v>0</v>
      </c>
      <c r="H91" s="358">
        <v>0</v>
      </c>
      <c r="I91" s="358">
        <v>0</v>
      </c>
      <c r="J91" s="358">
        <v>0</v>
      </c>
      <c r="K91" s="358">
        <v>1.5</v>
      </c>
      <c r="L91" s="358">
        <v>32.200000000000003</v>
      </c>
      <c r="M91" s="368">
        <v>0</v>
      </c>
    </row>
    <row r="92" spans="1:13" ht="13.8" x14ac:dyDescent="0.4">
      <c r="A92" s="356">
        <f t="shared" si="27"/>
        <v>7</v>
      </c>
      <c r="B92" s="358">
        <v>0.2</v>
      </c>
      <c r="C92" s="358">
        <v>42</v>
      </c>
      <c r="D92" s="358">
        <v>0</v>
      </c>
      <c r="E92" s="358">
        <v>11.5</v>
      </c>
      <c r="F92" s="358">
        <v>0</v>
      </c>
      <c r="G92" s="358">
        <v>0</v>
      </c>
      <c r="H92" s="358">
        <v>0</v>
      </c>
      <c r="I92" s="358">
        <v>0</v>
      </c>
      <c r="J92" s="358">
        <v>0</v>
      </c>
      <c r="K92" s="358">
        <v>0</v>
      </c>
      <c r="L92" s="358">
        <v>9.4</v>
      </c>
      <c r="M92" s="368">
        <v>2</v>
      </c>
    </row>
    <row r="93" spans="1:13" ht="13.8" x14ac:dyDescent="0.4">
      <c r="A93" s="356">
        <f t="shared" si="27"/>
        <v>8</v>
      </c>
      <c r="B93" s="358">
        <v>0</v>
      </c>
      <c r="C93" s="358">
        <v>2.6</v>
      </c>
      <c r="D93" s="358">
        <v>0</v>
      </c>
      <c r="E93" s="358">
        <v>0</v>
      </c>
      <c r="F93" s="358">
        <v>1</v>
      </c>
      <c r="G93" s="358">
        <v>0</v>
      </c>
      <c r="H93" s="358">
        <v>0</v>
      </c>
      <c r="I93" s="358">
        <v>6</v>
      </c>
      <c r="J93" s="358">
        <v>0</v>
      </c>
      <c r="K93" s="358">
        <v>1</v>
      </c>
      <c r="L93" s="358">
        <v>0</v>
      </c>
      <c r="M93" s="368">
        <v>12</v>
      </c>
    </row>
    <row r="94" spans="1:13" ht="13.8" x14ac:dyDescent="0.4">
      <c r="A94" s="356">
        <f t="shared" si="27"/>
        <v>9</v>
      </c>
      <c r="B94" s="358">
        <v>22.7</v>
      </c>
      <c r="C94" s="358">
        <v>6.5</v>
      </c>
      <c r="D94" s="358">
        <v>0</v>
      </c>
      <c r="E94" s="358">
        <v>0</v>
      </c>
      <c r="F94" s="358">
        <v>0</v>
      </c>
      <c r="G94" s="358">
        <v>0</v>
      </c>
      <c r="H94" s="358">
        <v>0</v>
      </c>
      <c r="I94" s="358">
        <v>0</v>
      </c>
      <c r="J94" s="358">
        <v>0</v>
      </c>
      <c r="K94" s="358">
        <v>6.2</v>
      </c>
      <c r="L94" s="358">
        <v>0</v>
      </c>
      <c r="M94" s="368">
        <v>0</v>
      </c>
    </row>
    <row r="95" spans="1:13" ht="13.8" x14ac:dyDescent="0.4">
      <c r="A95" s="356">
        <f t="shared" si="27"/>
        <v>10</v>
      </c>
      <c r="B95" s="358">
        <v>0</v>
      </c>
      <c r="C95" s="358">
        <v>33.799999999999997</v>
      </c>
      <c r="D95" s="358">
        <v>0</v>
      </c>
      <c r="E95" s="358">
        <v>3</v>
      </c>
      <c r="F95" s="358">
        <v>0</v>
      </c>
      <c r="G95" s="358">
        <v>0</v>
      </c>
      <c r="H95" s="358">
        <v>0</v>
      </c>
      <c r="I95" s="358">
        <v>0</v>
      </c>
      <c r="J95" s="358">
        <v>74</v>
      </c>
      <c r="K95" s="358">
        <v>19.8</v>
      </c>
      <c r="L95" s="358">
        <v>27.4</v>
      </c>
      <c r="M95" s="368">
        <v>3</v>
      </c>
    </row>
    <row r="96" spans="1:13" ht="13.8" x14ac:dyDescent="0.4">
      <c r="A96" s="356">
        <f t="shared" si="27"/>
        <v>11</v>
      </c>
      <c r="B96" s="358">
        <v>3</v>
      </c>
      <c r="C96" s="358">
        <v>3</v>
      </c>
      <c r="D96" s="358">
        <v>3</v>
      </c>
      <c r="E96" s="358">
        <v>0</v>
      </c>
      <c r="F96" s="358">
        <v>0</v>
      </c>
      <c r="G96" s="358">
        <v>0</v>
      </c>
      <c r="H96" s="358">
        <v>21.6</v>
      </c>
      <c r="I96" s="358">
        <v>0</v>
      </c>
      <c r="J96" s="358">
        <v>0</v>
      </c>
      <c r="K96" s="358">
        <v>9.8000000000000007</v>
      </c>
      <c r="L96" s="358">
        <v>0.5</v>
      </c>
      <c r="M96" s="368">
        <v>8</v>
      </c>
    </row>
    <row r="97" spans="1:13" ht="13.8" x14ac:dyDescent="0.4">
      <c r="A97" s="356">
        <f t="shared" si="27"/>
        <v>12</v>
      </c>
      <c r="B97" s="358">
        <v>0</v>
      </c>
      <c r="C97" s="358">
        <v>23.2</v>
      </c>
      <c r="D97" s="358">
        <v>0</v>
      </c>
      <c r="E97" s="358">
        <v>0.8</v>
      </c>
      <c r="F97" s="358">
        <v>1.4</v>
      </c>
      <c r="G97" s="358">
        <v>0</v>
      </c>
      <c r="H97" s="358">
        <v>0</v>
      </c>
      <c r="I97" s="358">
        <v>0</v>
      </c>
      <c r="J97" s="358">
        <v>0.1</v>
      </c>
      <c r="K97" s="358">
        <v>0</v>
      </c>
      <c r="L97" s="358">
        <v>5</v>
      </c>
      <c r="M97" s="368">
        <v>5</v>
      </c>
    </row>
    <row r="98" spans="1:13" ht="13.8" x14ac:dyDescent="0.4">
      <c r="A98" s="356">
        <f t="shared" si="27"/>
        <v>13</v>
      </c>
      <c r="B98" s="358">
        <v>0</v>
      </c>
      <c r="C98" s="358">
        <v>0.8</v>
      </c>
      <c r="D98" s="358">
        <v>0</v>
      </c>
      <c r="E98" s="358">
        <v>3.2</v>
      </c>
      <c r="F98" s="358">
        <v>14.5</v>
      </c>
      <c r="G98" s="358">
        <v>0</v>
      </c>
      <c r="H98" s="358">
        <v>0</v>
      </c>
      <c r="I98" s="358">
        <v>55</v>
      </c>
      <c r="J98" s="358">
        <v>0</v>
      </c>
      <c r="K98" s="358">
        <v>0</v>
      </c>
      <c r="L98" s="358">
        <v>0</v>
      </c>
      <c r="M98" s="368">
        <v>1</v>
      </c>
    </row>
    <row r="99" spans="1:13" ht="13.8" x14ac:dyDescent="0.4">
      <c r="A99" s="356">
        <f t="shared" si="27"/>
        <v>14</v>
      </c>
      <c r="B99" s="358">
        <v>0</v>
      </c>
      <c r="C99" s="358">
        <v>0</v>
      </c>
      <c r="D99" s="358">
        <v>0</v>
      </c>
      <c r="E99" s="358">
        <v>44.2</v>
      </c>
      <c r="F99" s="358">
        <v>0</v>
      </c>
      <c r="G99" s="358">
        <v>0</v>
      </c>
      <c r="H99" s="358">
        <v>0</v>
      </c>
      <c r="I99" s="358">
        <v>0</v>
      </c>
      <c r="J99" s="358">
        <v>2.5</v>
      </c>
      <c r="K99" s="358">
        <v>1.5</v>
      </c>
      <c r="L99" s="358">
        <v>7.5</v>
      </c>
      <c r="M99" s="368">
        <v>5</v>
      </c>
    </row>
    <row r="100" spans="1:13" ht="13.8" x14ac:dyDescent="0.4">
      <c r="A100" s="356">
        <f t="shared" si="27"/>
        <v>15</v>
      </c>
      <c r="B100" s="358">
        <v>0</v>
      </c>
      <c r="C100" s="358">
        <v>0</v>
      </c>
      <c r="D100" s="358">
        <v>0</v>
      </c>
      <c r="E100" s="358">
        <v>0</v>
      </c>
      <c r="F100" s="358">
        <v>0</v>
      </c>
      <c r="G100" s="358">
        <v>0</v>
      </c>
      <c r="H100" s="358">
        <v>0</v>
      </c>
      <c r="I100" s="358">
        <v>0</v>
      </c>
      <c r="J100" s="358">
        <v>0</v>
      </c>
      <c r="K100" s="358">
        <v>0</v>
      </c>
      <c r="L100" s="358">
        <v>27.6</v>
      </c>
      <c r="M100" s="368">
        <v>6</v>
      </c>
    </row>
    <row r="101" spans="1:13" ht="13.8" x14ac:dyDescent="0.4">
      <c r="A101" s="356">
        <f t="shared" si="27"/>
        <v>16</v>
      </c>
      <c r="B101" s="358">
        <v>0</v>
      </c>
      <c r="C101" s="358">
        <v>27</v>
      </c>
      <c r="D101" s="358">
        <v>0</v>
      </c>
      <c r="E101" s="358">
        <v>5.4</v>
      </c>
      <c r="F101" s="358">
        <v>12.8</v>
      </c>
      <c r="G101" s="358">
        <v>1.6</v>
      </c>
      <c r="H101" s="358">
        <v>0</v>
      </c>
      <c r="I101" s="358">
        <v>0</v>
      </c>
      <c r="J101" s="358">
        <v>13.9</v>
      </c>
      <c r="K101" s="358">
        <v>0</v>
      </c>
      <c r="L101" s="358">
        <v>22</v>
      </c>
      <c r="M101" s="368">
        <v>0</v>
      </c>
    </row>
    <row r="102" spans="1:13" ht="13.8" x14ac:dyDescent="0.4">
      <c r="A102" s="356">
        <f t="shared" si="27"/>
        <v>17</v>
      </c>
      <c r="B102" s="358">
        <v>0</v>
      </c>
      <c r="C102" s="358">
        <v>3.6</v>
      </c>
      <c r="D102" s="358">
        <v>0</v>
      </c>
      <c r="E102" s="358">
        <v>0</v>
      </c>
      <c r="F102" s="358">
        <v>0</v>
      </c>
      <c r="G102" s="358">
        <v>0</v>
      </c>
      <c r="H102" s="358">
        <v>2.4</v>
      </c>
      <c r="I102" s="358">
        <v>0</v>
      </c>
      <c r="J102" s="358">
        <v>6.5</v>
      </c>
      <c r="K102" s="358">
        <v>0</v>
      </c>
      <c r="L102" s="358">
        <v>19.8</v>
      </c>
      <c r="M102" s="368">
        <v>9</v>
      </c>
    </row>
    <row r="103" spans="1:13" ht="13.8" x14ac:dyDescent="0.4">
      <c r="A103" s="356">
        <f t="shared" si="27"/>
        <v>18</v>
      </c>
      <c r="B103" s="358">
        <v>9.5</v>
      </c>
      <c r="C103" s="358">
        <v>0</v>
      </c>
      <c r="D103" s="358">
        <v>0</v>
      </c>
      <c r="E103" s="358">
        <v>0</v>
      </c>
      <c r="F103" s="358">
        <v>0.3</v>
      </c>
      <c r="G103" s="358">
        <v>7</v>
      </c>
      <c r="H103" s="358">
        <v>0</v>
      </c>
      <c r="I103" s="358">
        <v>21.8</v>
      </c>
      <c r="J103" s="358">
        <v>10.199999999999999</v>
      </c>
      <c r="K103" s="358">
        <v>0</v>
      </c>
      <c r="L103" s="358">
        <v>0</v>
      </c>
      <c r="M103" s="368">
        <v>0</v>
      </c>
    </row>
    <row r="104" spans="1:13" ht="13.8" x14ac:dyDescent="0.4">
      <c r="A104" s="356">
        <f t="shared" si="27"/>
        <v>19</v>
      </c>
      <c r="B104" s="358">
        <v>12</v>
      </c>
      <c r="C104" s="358">
        <v>2.2000000000000002</v>
      </c>
      <c r="D104" s="358">
        <v>0.8</v>
      </c>
      <c r="E104" s="358">
        <v>10</v>
      </c>
      <c r="F104" s="358">
        <v>0</v>
      </c>
      <c r="G104" s="358">
        <v>15.8</v>
      </c>
      <c r="H104" s="358">
        <v>1.4</v>
      </c>
      <c r="I104" s="358">
        <v>0</v>
      </c>
      <c r="J104" s="358">
        <v>0</v>
      </c>
      <c r="K104" s="358">
        <v>10.6</v>
      </c>
      <c r="L104" s="358">
        <v>15</v>
      </c>
      <c r="M104" s="368">
        <v>4</v>
      </c>
    </row>
    <row r="105" spans="1:13" ht="13.8" x14ac:dyDescent="0.4">
      <c r="A105" s="356">
        <f t="shared" si="27"/>
        <v>20</v>
      </c>
      <c r="B105" s="358">
        <v>1</v>
      </c>
      <c r="C105" s="358">
        <v>0</v>
      </c>
      <c r="D105" s="358">
        <v>0</v>
      </c>
      <c r="E105" s="358">
        <v>0</v>
      </c>
      <c r="F105" s="358">
        <v>33</v>
      </c>
      <c r="G105" s="358">
        <v>0</v>
      </c>
      <c r="H105" s="358">
        <v>24.8</v>
      </c>
      <c r="I105" s="358">
        <v>0</v>
      </c>
      <c r="J105" s="358">
        <v>33.5</v>
      </c>
      <c r="K105" s="358">
        <v>0</v>
      </c>
      <c r="L105" s="358">
        <v>0</v>
      </c>
      <c r="M105" s="368">
        <v>1</v>
      </c>
    </row>
    <row r="106" spans="1:13" ht="13.8" x14ac:dyDescent="0.4">
      <c r="A106" s="356">
        <f t="shared" si="27"/>
        <v>21</v>
      </c>
      <c r="B106" s="358">
        <v>0</v>
      </c>
      <c r="C106" s="358">
        <v>10.199999999999999</v>
      </c>
      <c r="D106" s="358">
        <v>0</v>
      </c>
      <c r="E106" s="358">
        <v>15.5</v>
      </c>
      <c r="F106" s="358">
        <v>2.4</v>
      </c>
      <c r="G106" s="358">
        <v>2.1</v>
      </c>
      <c r="H106" s="358">
        <v>0</v>
      </c>
      <c r="I106" s="358">
        <v>0</v>
      </c>
      <c r="J106" s="358">
        <v>0</v>
      </c>
      <c r="K106" s="358">
        <v>0</v>
      </c>
      <c r="L106" s="358">
        <v>12.1</v>
      </c>
      <c r="M106" s="368">
        <v>0</v>
      </c>
    </row>
    <row r="107" spans="1:13" ht="13.8" x14ac:dyDescent="0.4">
      <c r="A107" s="356">
        <f t="shared" si="27"/>
        <v>22</v>
      </c>
      <c r="B107" s="358">
        <v>3.1</v>
      </c>
      <c r="C107" s="358">
        <v>64</v>
      </c>
      <c r="D107" s="358">
        <v>0</v>
      </c>
      <c r="E107" s="358">
        <v>0</v>
      </c>
      <c r="F107" s="358">
        <v>0</v>
      </c>
      <c r="G107" s="358">
        <v>0</v>
      </c>
      <c r="H107" s="358">
        <v>12</v>
      </c>
      <c r="I107" s="358">
        <v>0</v>
      </c>
      <c r="J107" s="358">
        <v>10</v>
      </c>
      <c r="K107" s="358">
        <v>0</v>
      </c>
      <c r="L107" s="358">
        <v>6.7</v>
      </c>
      <c r="M107" s="368">
        <v>0</v>
      </c>
    </row>
    <row r="108" spans="1:13" ht="13.8" x14ac:dyDescent="0.4">
      <c r="A108" s="356">
        <f t="shared" si="27"/>
        <v>23</v>
      </c>
      <c r="B108" s="358">
        <v>52.5</v>
      </c>
      <c r="C108" s="358">
        <v>70.099999999999994</v>
      </c>
      <c r="D108" s="358">
        <v>0.2</v>
      </c>
      <c r="E108" s="358">
        <v>12.5</v>
      </c>
      <c r="F108" s="358">
        <v>0</v>
      </c>
      <c r="G108" s="358">
        <v>60.5</v>
      </c>
      <c r="H108" s="358">
        <v>0</v>
      </c>
      <c r="I108" s="358">
        <v>0</v>
      </c>
      <c r="J108" s="358">
        <v>17.3</v>
      </c>
      <c r="K108" s="358">
        <v>0</v>
      </c>
      <c r="L108" s="358">
        <v>0.3</v>
      </c>
      <c r="M108" s="368">
        <v>0</v>
      </c>
    </row>
    <row r="109" spans="1:13" ht="13.8" x14ac:dyDescent="0.4">
      <c r="A109" s="356">
        <f t="shared" si="27"/>
        <v>24</v>
      </c>
      <c r="B109" s="358">
        <v>0.3</v>
      </c>
      <c r="C109" s="358">
        <v>3.5</v>
      </c>
      <c r="D109" s="358">
        <v>0</v>
      </c>
      <c r="E109" s="358">
        <v>4.0999999999999996</v>
      </c>
      <c r="F109" s="358">
        <v>0</v>
      </c>
      <c r="G109" s="358">
        <v>0.5</v>
      </c>
      <c r="H109" s="358">
        <v>0</v>
      </c>
      <c r="I109" s="358">
        <v>0</v>
      </c>
      <c r="J109" s="358">
        <v>4</v>
      </c>
      <c r="K109" s="358">
        <v>29.5</v>
      </c>
      <c r="L109" s="358">
        <v>13.9</v>
      </c>
      <c r="M109" s="368">
        <v>11</v>
      </c>
    </row>
    <row r="110" spans="1:13" ht="13.8" x14ac:dyDescent="0.4">
      <c r="A110" s="356">
        <f t="shared" si="27"/>
        <v>25</v>
      </c>
      <c r="B110" s="358">
        <v>9.5</v>
      </c>
      <c r="C110" s="358">
        <v>0.2</v>
      </c>
      <c r="D110" s="358">
        <v>0</v>
      </c>
      <c r="E110" s="358">
        <v>0</v>
      </c>
      <c r="F110" s="358">
        <v>1.4</v>
      </c>
      <c r="G110" s="358">
        <v>0</v>
      </c>
      <c r="H110" s="358">
        <v>0</v>
      </c>
      <c r="I110" s="358">
        <v>6.8</v>
      </c>
      <c r="J110" s="358">
        <v>1.9</v>
      </c>
      <c r="K110" s="358">
        <v>1</v>
      </c>
      <c r="L110" s="358">
        <v>0.2</v>
      </c>
      <c r="M110" s="368">
        <v>0</v>
      </c>
    </row>
    <row r="111" spans="1:13" ht="13.8" x14ac:dyDescent="0.4">
      <c r="A111" s="356">
        <f t="shared" si="27"/>
        <v>26</v>
      </c>
      <c r="B111" s="358">
        <v>0</v>
      </c>
      <c r="C111" s="358">
        <v>7</v>
      </c>
      <c r="D111" s="358">
        <v>12.1</v>
      </c>
      <c r="E111" s="358">
        <v>0</v>
      </c>
      <c r="F111" s="358">
        <v>2</v>
      </c>
      <c r="G111" s="358">
        <v>4</v>
      </c>
      <c r="H111" s="358">
        <v>0.3</v>
      </c>
      <c r="I111" s="358">
        <v>0</v>
      </c>
      <c r="J111" s="358">
        <v>0</v>
      </c>
      <c r="K111" s="358">
        <v>0.2</v>
      </c>
      <c r="L111" s="358">
        <v>1.6</v>
      </c>
      <c r="M111" s="368">
        <v>4</v>
      </c>
    </row>
    <row r="112" spans="1:13" ht="13.8" x14ac:dyDescent="0.4">
      <c r="A112" s="356">
        <f t="shared" si="27"/>
        <v>27</v>
      </c>
      <c r="B112" s="358">
        <v>6.5</v>
      </c>
      <c r="C112" s="358">
        <v>2.2000000000000002</v>
      </c>
      <c r="D112" s="358">
        <v>0</v>
      </c>
      <c r="E112" s="358">
        <v>0</v>
      </c>
      <c r="F112" s="358">
        <v>0</v>
      </c>
      <c r="G112" s="358">
        <v>0</v>
      </c>
      <c r="H112" s="358">
        <v>0</v>
      </c>
      <c r="I112" s="358">
        <v>0</v>
      </c>
      <c r="J112" s="358">
        <v>59</v>
      </c>
      <c r="K112" s="358">
        <v>0.1</v>
      </c>
      <c r="L112" s="358">
        <v>1</v>
      </c>
      <c r="M112" s="368">
        <v>4</v>
      </c>
    </row>
    <row r="113" spans="1:13" ht="13.8" x14ac:dyDescent="0.4">
      <c r="A113" s="356">
        <f t="shared" si="27"/>
        <v>28</v>
      </c>
      <c r="B113" s="358">
        <v>27</v>
      </c>
      <c r="C113" s="358">
        <v>0</v>
      </c>
      <c r="D113" s="358">
        <v>15.6</v>
      </c>
      <c r="E113" s="358">
        <v>1.5</v>
      </c>
      <c r="F113" s="358">
        <v>1.2</v>
      </c>
      <c r="G113" s="358">
        <v>1.5</v>
      </c>
      <c r="H113" s="358">
        <v>0</v>
      </c>
      <c r="I113" s="358">
        <v>0</v>
      </c>
      <c r="J113" s="358">
        <v>34.299999999999997</v>
      </c>
      <c r="K113" s="358">
        <v>0</v>
      </c>
      <c r="L113" s="358">
        <v>0</v>
      </c>
      <c r="M113" s="368">
        <v>0</v>
      </c>
    </row>
    <row r="114" spans="1:13" ht="13.8" x14ac:dyDescent="0.4">
      <c r="A114" s="356">
        <f t="shared" si="27"/>
        <v>29</v>
      </c>
      <c r="B114" s="358">
        <v>0.1</v>
      </c>
      <c r="C114" s="358">
        <v>0</v>
      </c>
      <c r="D114" s="358">
        <v>0</v>
      </c>
      <c r="E114" s="358">
        <v>24.2</v>
      </c>
      <c r="F114" s="358">
        <v>0</v>
      </c>
      <c r="G114" s="358">
        <v>0</v>
      </c>
      <c r="H114" s="358">
        <v>0</v>
      </c>
      <c r="I114" s="358">
        <v>14.5</v>
      </c>
      <c r="J114" s="358">
        <v>6</v>
      </c>
      <c r="K114" s="358">
        <v>4.7</v>
      </c>
      <c r="L114" s="358">
        <v>16.100000000000001</v>
      </c>
      <c r="M114" s="368">
        <v>22</v>
      </c>
    </row>
    <row r="115" spans="1:13" ht="13.8" x14ac:dyDescent="0.4">
      <c r="A115" s="356">
        <f t="shared" si="27"/>
        <v>30</v>
      </c>
      <c r="B115" s="358">
        <v>0</v>
      </c>
      <c r="C115" s="357"/>
      <c r="D115" s="358">
        <v>0</v>
      </c>
      <c r="E115" s="358">
        <v>1.2</v>
      </c>
      <c r="F115" s="358">
        <v>1.7</v>
      </c>
      <c r="G115" s="358">
        <v>0</v>
      </c>
      <c r="H115" s="358">
        <v>0</v>
      </c>
      <c r="I115" s="358">
        <v>33.200000000000003</v>
      </c>
      <c r="J115" s="358">
        <v>0</v>
      </c>
      <c r="K115" s="358">
        <v>0</v>
      </c>
      <c r="L115" s="358">
        <v>1.7</v>
      </c>
      <c r="M115" s="368">
        <v>22</v>
      </c>
    </row>
    <row r="116" spans="1:13" ht="13.8" x14ac:dyDescent="0.4">
      <c r="A116" s="356">
        <f t="shared" si="27"/>
        <v>31</v>
      </c>
      <c r="B116" s="358">
        <v>6</v>
      </c>
      <c r="C116" s="357"/>
      <c r="D116" s="358">
        <v>9.5</v>
      </c>
      <c r="E116" s="357"/>
      <c r="F116" s="358">
        <v>0.1</v>
      </c>
      <c r="G116" s="357"/>
      <c r="H116" s="358">
        <v>0</v>
      </c>
      <c r="I116" s="358">
        <v>0</v>
      </c>
      <c r="J116" s="357"/>
      <c r="K116" s="358">
        <v>11.9</v>
      </c>
      <c r="L116" s="357"/>
      <c r="M116" s="368">
        <v>1</v>
      </c>
    </row>
    <row r="117" spans="1:13" ht="13.8" x14ac:dyDescent="0.4">
      <c r="A117" s="356" t="s">
        <v>3296</v>
      </c>
      <c r="B117" s="357">
        <f>MAX(B86:B116)</f>
        <v>56</v>
      </c>
      <c r="C117" s="357">
        <f t="shared" ref="C117" si="28">MAX(C86:C116)</f>
        <v>70.099999999999994</v>
      </c>
      <c r="D117" s="357">
        <f t="shared" ref="D117" si="29">MAX(D86:D116)</f>
        <v>35.299999999999997</v>
      </c>
      <c r="E117" s="357">
        <f t="shared" ref="E117" si="30">MAX(E86:E116)</f>
        <v>44.2</v>
      </c>
      <c r="F117" s="357">
        <f t="shared" ref="F117" si="31">MAX(F86:F116)</f>
        <v>33</v>
      </c>
      <c r="G117" s="357">
        <f t="shared" ref="G117" si="32">MAX(G86:G116)</f>
        <v>60.5</v>
      </c>
      <c r="H117" s="357">
        <f t="shared" ref="H117" si="33">MAX(H86:H116)</f>
        <v>66.5</v>
      </c>
      <c r="I117" s="357">
        <f>MAX(I86:I116)</f>
        <v>55</v>
      </c>
      <c r="J117" s="357">
        <f t="shared" ref="J117" si="34">MAX(J86:J116)</f>
        <v>74</v>
      </c>
      <c r="K117" s="357">
        <f t="shared" ref="K117" si="35">MAX(K86:K116)</f>
        <v>29.5</v>
      </c>
      <c r="L117" s="357">
        <f t="shared" ref="L117" si="36">MAX(L86:L116)</f>
        <v>32.200000000000003</v>
      </c>
      <c r="M117" s="357">
        <f t="shared" ref="M117" si="37">MAX(M86:M116)</f>
        <v>22</v>
      </c>
    </row>
    <row r="118" spans="1:13" ht="13.8" x14ac:dyDescent="0.4">
      <c r="A118" s="356" t="s">
        <v>4798</v>
      </c>
      <c r="B118" s="357">
        <f>SUM(B86:B116)</f>
        <v>220.20000000000002</v>
      </c>
      <c r="C118" s="357">
        <f t="shared" ref="C118:M118" si="38">SUM(C86:C116)</f>
        <v>324.29999999999995</v>
      </c>
      <c r="D118" s="357">
        <f t="shared" si="38"/>
        <v>85.7</v>
      </c>
      <c r="E118" s="357">
        <f t="shared" si="38"/>
        <v>182.29999999999998</v>
      </c>
      <c r="F118" s="357">
        <f t="shared" si="38"/>
        <v>72.300000000000011</v>
      </c>
      <c r="G118" s="357">
        <f t="shared" si="38"/>
        <v>97.5</v>
      </c>
      <c r="H118" s="357">
        <f t="shared" si="38"/>
        <v>129</v>
      </c>
      <c r="I118" s="357">
        <f t="shared" si="38"/>
        <v>137.30000000000001</v>
      </c>
      <c r="J118" s="357">
        <f t="shared" si="38"/>
        <v>356.5</v>
      </c>
      <c r="K118" s="357">
        <f t="shared" si="38"/>
        <v>107.6</v>
      </c>
      <c r="L118" s="357">
        <f t="shared" si="38"/>
        <v>228.59999999999997</v>
      </c>
      <c r="M118" s="357">
        <f t="shared" si="38"/>
        <v>130</v>
      </c>
    </row>
    <row r="119" spans="1:13" ht="13.8" x14ac:dyDescent="0.4">
      <c r="A119" s="356" t="s">
        <v>4799</v>
      </c>
      <c r="B119" s="357">
        <f>COUNTIF(B86:B116,"&gt;2")</f>
        <v>12</v>
      </c>
      <c r="C119" s="357">
        <f t="shared" ref="C119:M119" si="39">COUNTIF(C86:C116,"&gt;2")</f>
        <v>18</v>
      </c>
      <c r="D119" s="357">
        <f t="shared" si="39"/>
        <v>7</v>
      </c>
      <c r="E119" s="357">
        <f t="shared" si="39"/>
        <v>13</v>
      </c>
      <c r="F119" s="357">
        <f t="shared" si="39"/>
        <v>4</v>
      </c>
      <c r="G119" s="357">
        <f t="shared" si="39"/>
        <v>6</v>
      </c>
      <c r="H119" s="357">
        <f t="shared" si="39"/>
        <v>5</v>
      </c>
      <c r="I119" s="357">
        <f t="shared" si="39"/>
        <v>6</v>
      </c>
      <c r="J119" s="357">
        <f t="shared" si="39"/>
        <v>15</v>
      </c>
      <c r="K119" s="357">
        <f t="shared" si="39"/>
        <v>9</v>
      </c>
      <c r="L119" s="357">
        <f t="shared" si="39"/>
        <v>14</v>
      </c>
      <c r="M119" s="357">
        <f t="shared" si="39"/>
        <v>15</v>
      </c>
    </row>
    <row r="120" spans="1:13" ht="13.8" x14ac:dyDescent="0.4">
      <c r="A120" s="356" t="s">
        <v>4800</v>
      </c>
      <c r="B120" s="357">
        <f>B118/B119</f>
        <v>18.350000000000001</v>
      </c>
      <c r="C120" s="357">
        <f t="shared" ref="C120" si="40">C118/C119</f>
        <v>18.016666666666666</v>
      </c>
      <c r="D120" s="357">
        <f t="shared" ref="D120" si="41">D118/D119</f>
        <v>12.242857142857144</v>
      </c>
      <c r="E120" s="357">
        <f t="shared" ref="E120" si="42">E118/E119</f>
        <v>14.023076923076921</v>
      </c>
      <c r="F120" s="357">
        <f t="shared" ref="F120" si="43">F118/F119</f>
        <v>18.075000000000003</v>
      </c>
      <c r="G120" s="357">
        <f t="shared" ref="G120" si="44">G118/G119</f>
        <v>16.25</v>
      </c>
      <c r="H120" s="357">
        <f t="shared" ref="H120" si="45">H118/H119</f>
        <v>25.8</v>
      </c>
      <c r="I120" s="357">
        <f t="shared" ref="I120" si="46">I118/I119</f>
        <v>22.883333333333336</v>
      </c>
      <c r="J120" s="357">
        <f t="shared" ref="J120" si="47">J118/J119</f>
        <v>23.766666666666666</v>
      </c>
      <c r="K120" s="357">
        <f t="shared" ref="K120" si="48">K118/K119</f>
        <v>11.955555555555556</v>
      </c>
      <c r="L120" s="357">
        <f t="shared" ref="L120" si="49">L118/L119</f>
        <v>16.328571428571426</v>
      </c>
      <c r="M120" s="357">
        <f t="shared" ref="M120" si="50">M118/M119</f>
        <v>8.6666666666666661</v>
      </c>
    </row>
    <row r="122" spans="1:13" ht="15.6" x14ac:dyDescent="0.2">
      <c r="A122" s="817" t="s">
        <v>3273</v>
      </c>
      <c r="B122" s="818">
        <v>2017</v>
      </c>
      <c r="C122" s="818"/>
      <c r="D122" s="818"/>
      <c r="E122" s="818"/>
      <c r="F122" s="818"/>
      <c r="G122" s="818"/>
      <c r="H122" s="818"/>
      <c r="I122" s="818"/>
      <c r="J122" s="818"/>
      <c r="K122" s="818"/>
      <c r="L122" s="818"/>
      <c r="M122" s="818"/>
    </row>
    <row r="123" spans="1:13" x14ac:dyDescent="0.2">
      <c r="A123" s="817"/>
      <c r="B123" s="769" t="s">
        <v>3280</v>
      </c>
      <c r="C123" s="769" t="s">
        <v>3281</v>
      </c>
      <c r="D123" s="769" t="s">
        <v>3282</v>
      </c>
      <c r="E123" s="769" t="s">
        <v>3283</v>
      </c>
      <c r="F123" s="769" t="s">
        <v>3284</v>
      </c>
      <c r="G123" s="769" t="s">
        <v>3285</v>
      </c>
      <c r="H123" s="769" t="s">
        <v>3286</v>
      </c>
      <c r="I123" s="769" t="s">
        <v>3294</v>
      </c>
      <c r="J123" s="769" t="s">
        <v>3288</v>
      </c>
      <c r="K123" s="769" t="s">
        <v>3289</v>
      </c>
      <c r="L123" s="769" t="s">
        <v>3290</v>
      </c>
      <c r="M123" s="769" t="s">
        <v>3291</v>
      </c>
    </row>
    <row r="124" spans="1:13" ht="11.4" customHeight="1" x14ac:dyDescent="0.2">
      <c r="A124" s="817"/>
      <c r="B124" s="819" t="s">
        <v>3295</v>
      </c>
      <c r="C124" s="819" t="s">
        <v>3295</v>
      </c>
      <c r="D124" s="819" t="s">
        <v>3295</v>
      </c>
      <c r="E124" s="819" t="s">
        <v>3295</v>
      </c>
      <c r="F124" s="819" t="s">
        <v>3295</v>
      </c>
      <c r="G124" s="819" t="s">
        <v>3295</v>
      </c>
      <c r="H124" s="819" t="s">
        <v>3295</v>
      </c>
      <c r="I124" s="819" t="s">
        <v>3295</v>
      </c>
      <c r="J124" s="819" t="s">
        <v>3295</v>
      </c>
      <c r="K124" s="819" t="s">
        <v>3295</v>
      </c>
      <c r="L124" s="819" t="s">
        <v>3295</v>
      </c>
      <c r="M124" s="819" t="s">
        <v>3295</v>
      </c>
    </row>
    <row r="125" spans="1:13" ht="24" customHeight="1" x14ac:dyDescent="0.2">
      <c r="A125" s="817"/>
      <c r="B125" s="819"/>
      <c r="C125" s="819"/>
      <c r="D125" s="819"/>
      <c r="E125" s="819"/>
      <c r="F125" s="819"/>
      <c r="G125" s="819"/>
      <c r="H125" s="819"/>
      <c r="I125" s="819"/>
      <c r="J125" s="819"/>
      <c r="K125" s="819"/>
      <c r="L125" s="819"/>
      <c r="M125" s="819"/>
    </row>
    <row r="126" spans="1:13" ht="13.8" x14ac:dyDescent="0.4">
      <c r="A126" s="356">
        <v>1</v>
      </c>
      <c r="B126" s="358">
        <v>15</v>
      </c>
      <c r="C126" s="358">
        <v>3</v>
      </c>
      <c r="D126" s="358">
        <v>1.4</v>
      </c>
      <c r="E126" s="358">
        <v>0</v>
      </c>
      <c r="F126" s="358">
        <v>0.6</v>
      </c>
      <c r="G126" s="358">
        <v>0</v>
      </c>
      <c r="H126" s="358">
        <v>0</v>
      </c>
      <c r="I126" s="358">
        <v>0</v>
      </c>
      <c r="J126" s="368">
        <v>0</v>
      </c>
      <c r="K126" s="358">
        <v>45.5</v>
      </c>
      <c r="L126" s="358">
        <v>0</v>
      </c>
      <c r="M126" s="358">
        <v>54.7</v>
      </c>
    </row>
    <row r="127" spans="1:13" ht="13.8" x14ac:dyDescent="0.4">
      <c r="A127" s="356">
        <f t="shared" ref="A127:A156" si="51">A126+1</f>
        <v>2</v>
      </c>
      <c r="B127" s="358">
        <v>31</v>
      </c>
      <c r="C127" s="358">
        <v>19</v>
      </c>
      <c r="D127" s="358">
        <v>41.5</v>
      </c>
      <c r="E127" s="358">
        <v>1.5</v>
      </c>
      <c r="F127" s="358">
        <v>17</v>
      </c>
      <c r="G127" s="358">
        <v>7</v>
      </c>
      <c r="H127" s="358">
        <v>0</v>
      </c>
      <c r="I127" s="358">
        <v>0</v>
      </c>
      <c r="J127" s="368">
        <v>0</v>
      </c>
      <c r="K127" s="358">
        <v>58.5</v>
      </c>
      <c r="L127" s="358">
        <v>0</v>
      </c>
      <c r="M127" s="358">
        <v>0</v>
      </c>
    </row>
    <row r="128" spans="1:13" ht="13.8" x14ac:dyDescent="0.4">
      <c r="A128" s="356">
        <f t="shared" si="51"/>
        <v>3</v>
      </c>
      <c r="B128" s="358">
        <v>17</v>
      </c>
      <c r="C128" s="358">
        <v>2</v>
      </c>
      <c r="D128" s="358">
        <v>0</v>
      </c>
      <c r="E128" s="358">
        <v>0</v>
      </c>
      <c r="F128" s="358">
        <v>0</v>
      </c>
      <c r="G128" s="358">
        <v>14</v>
      </c>
      <c r="H128" s="358">
        <v>0.5</v>
      </c>
      <c r="I128" s="358">
        <v>0</v>
      </c>
      <c r="J128" s="368">
        <v>0</v>
      </c>
      <c r="K128" s="358">
        <v>35.5</v>
      </c>
      <c r="L128" s="358">
        <v>0</v>
      </c>
      <c r="M128" s="358">
        <v>0</v>
      </c>
    </row>
    <row r="129" spans="1:13" ht="13.8" x14ac:dyDescent="0.4">
      <c r="A129" s="356">
        <f t="shared" si="51"/>
        <v>4</v>
      </c>
      <c r="B129" s="358">
        <v>7</v>
      </c>
      <c r="C129" s="358">
        <v>13</v>
      </c>
      <c r="D129" s="358">
        <v>44</v>
      </c>
      <c r="E129" s="358">
        <v>45.5</v>
      </c>
      <c r="F129" s="358">
        <v>40</v>
      </c>
      <c r="G129" s="358">
        <v>0</v>
      </c>
      <c r="H129" s="358">
        <v>0</v>
      </c>
      <c r="I129" s="358">
        <v>0</v>
      </c>
      <c r="J129" s="368">
        <v>0</v>
      </c>
      <c r="K129" s="358">
        <v>16.5</v>
      </c>
      <c r="L129" s="358">
        <v>4</v>
      </c>
      <c r="M129" s="358">
        <v>0</v>
      </c>
    </row>
    <row r="130" spans="1:13" ht="13.8" x14ac:dyDescent="0.4">
      <c r="A130" s="356">
        <f t="shared" si="51"/>
        <v>5</v>
      </c>
      <c r="B130" s="358">
        <v>0</v>
      </c>
      <c r="C130" s="358">
        <v>2</v>
      </c>
      <c r="D130" s="358">
        <v>0</v>
      </c>
      <c r="E130" s="358">
        <v>0</v>
      </c>
      <c r="F130" s="358">
        <v>0.6</v>
      </c>
      <c r="G130" s="358">
        <v>0</v>
      </c>
      <c r="H130" s="358">
        <v>0</v>
      </c>
      <c r="I130" s="358">
        <v>0</v>
      </c>
      <c r="J130" s="368">
        <v>0</v>
      </c>
      <c r="K130" s="358">
        <v>0</v>
      </c>
      <c r="L130" s="358">
        <v>15</v>
      </c>
      <c r="M130" s="358">
        <v>9.1</v>
      </c>
    </row>
    <row r="131" spans="1:13" ht="13.8" x14ac:dyDescent="0.4">
      <c r="A131" s="356">
        <f t="shared" si="51"/>
        <v>6</v>
      </c>
      <c r="B131" s="358">
        <v>2</v>
      </c>
      <c r="C131" s="358">
        <v>0</v>
      </c>
      <c r="D131" s="358">
        <v>0</v>
      </c>
      <c r="E131" s="358">
        <v>1.6</v>
      </c>
      <c r="F131" s="358">
        <v>11.4</v>
      </c>
      <c r="G131" s="358">
        <v>0</v>
      </c>
      <c r="H131" s="358">
        <v>0</v>
      </c>
      <c r="I131" s="358">
        <v>0</v>
      </c>
      <c r="J131" s="368">
        <v>0</v>
      </c>
      <c r="K131" s="358">
        <v>0</v>
      </c>
      <c r="L131" s="358">
        <v>1</v>
      </c>
      <c r="M131" s="358">
        <v>0</v>
      </c>
    </row>
    <row r="132" spans="1:13" ht="13.8" x14ac:dyDescent="0.4">
      <c r="A132" s="356">
        <f t="shared" si="51"/>
        <v>7</v>
      </c>
      <c r="B132" s="358">
        <v>9</v>
      </c>
      <c r="C132" s="358">
        <v>31</v>
      </c>
      <c r="D132" s="358">
        <v>0.7</v>
      </c>
      <c r="E132" s="358">
        <v>2.5</v>
      </c>
      <c r="F132" s="358">
        <v>0</v>
      </c>
      <c r="G132" s="358">
        <v>0</v>
      </c>
      <c r="H132" s="358">
        <v>0</v>
      </c>
      <c r="I132" s="358">
        <v>0</v>
      </c>
      <c r="J132" s="368">
        <v>0</v>
      </c>
      <c r="K132" s="358">
        <v>1.5</v>
      </c>
      <c r="L132" s="358">
        <v>0</v>
      </c>
      <c r="M132" s="358">
        <v>0</v>
      </c>
    </row>
    <row r="133" spans="1:13" ht="13.8" x14ac:dyDescent="0.4">
      <c r="A133" s="356">
        <f t="shared" si="51"/>
        <v>8</v>
      </c>
      <c r="B133" s="358">
        <v>0</v>
      </c>
      <c r="C133" s="358">
        <v>12</v>
      </c>
      <c r="D133" s="358">
        <v>30.8</v>
      </c>
      <c r="E133" s="358">
        <v>0</v>
      </c>
      <c r="F133" s="358">
        <v>0</v>
      </c>
      <c r="G133" s="358">
        <v>0</v>
      </c>
      <c r="H133" s="358">
        <v>0</v>
      </c>
      <c r="I133" s="358">
        <v>0</v>
      </c>
      <c r="J133" s="368">
        <v>0</v>
      </c>
      <c r="K133" s="358">
        <v>1.1000000000000001</v>
      </c>
      <c r="L133" s="358">
        <v>0</v>
      </c>
      <c r="M133" s="358">
        <v>0</v>
      </c>
    </row>
    <row r="134" spans="1:13" ht="13.8" x14ac:dyDescent="0.4">
      <c r="A134" s="356">
        <f t="shared" si="51"/>
        <v>9</v>
      </c>
      <c r="B134" s="358">
        <v>10</v>
      </c>
      <c r="C134" s="358">
        <v>19</v>
      </c>
      <c r="D134" s="358">
        <v>0</v>
      </c>
      <c r="E134" s="358">
        <v>0.8</v>
      </c>
      <c r="F134" s="358">
        <v>0</v>
      </c>
      <c r="G134" s="358">
        <v>0</v>
      </c>
      <c r="H134" s="358">
        <v>0</v>
      </c>
      <c r="I134" s="358">
        <v>0</v>
      </c>
      <c r="J134" s="368">
        <v>0</v>
      </c>
      <c r="K134" s="358">
        <v>8</v>
      </c>
      <c r="L134" s="358">
        <v>0</v>
      </c>
      <c r="M134" s="358">
        <v>1</v>
      </c>
    </row>
    <row r="135" spans="1:13" ht="13.8" x14ac:dyDescent="0.4">
      <c r="A135" s="356">
        <f t="shared" si="51"/>
        <v>10</v>
      </c>
      <c r="B135" s="358">
        <v>0</v>
      </c>
      <c r="C135" s="358">
        <v>60</v>
      </c>
      <c r="D135" s="358">
        <v>1.5</v>
      </c>
      <c r="E135" s="358">
        <v>0</v>
      </c>
      <c r="F135" s="358">
        <v>0</v>
      </c>
      <c r="G135" s="358">
        <v>0</v>
      </c>
      <c r="H135" s="358" t="s">
        <v>165</v>
      </c>
      <c r="I135" s="358">
        <v>0</v>
      </c>
      <c r="J135" s="368">
        <v>0</v>
      </c>
      <c r="K135" s="358">
        <v>4.8</v>
      </c>
      <c r="L135" s="358">
        <v>3.5</v>
      </c>
      <c r="M135" s="358">
        <v>0</v>
      </c>
    </row>
    <row r="136" spans="1:13" ht="13.8" x14ac:dyDescent="0.4">
      <c r="A136" s="356">
        <f t="shared" si="51"/>
        <v>11</v>
      </c>
      <c r="B136" s="358">
        <v>1</v>
      </c>
      <c r="C136" s="358">
        <v>54</v>
      </c>
      <c r="D136" s="358">
        <v>0</v>
      </c>
      <c r="E136" s="358">
        <v>2.5</v>
      </c>
      <c r="F136" s="358">
        <v>0</v>
      </c>
      <c r="G136" s="358">
        <v>0</v>
      </c>
      <c r="H136" s="358">
        <v>0</v>
      </c>
      <c r="I136" s="358">
        <v>1.5</v>
      </c>
      <c r="J136" s="368">
        <v>0.7</v>
      </c>
      <c r="K136" s="358">
        <v>0</v>
      </c>
      <c r="L136" s="358">
        <v>11.5</v>
      </c>
      <c r="M136" s="358">
        <v>32.5</v>
      </c>
    </row>
    <row r="137" spans="1:13" ht="13.8" x14ac:dyDescent="0.4">
      <c r="A137" s="356">
        <f t="shared" si="51"/>
        <v>12</v>
      </c>
      <c r="B137" s="358">
        <v>0</v>
      </c>
      <c r="C137" s="358">
        <v>21</v>
      </c>
      <c r="D137" s="358">
        <v>0</v>
      </c>
      <c r="E137" s="358">
        <v>38</v>
      </c>
      <c r="F137" s="358">
        <v>0</v>
      </c>
      <c r="G137" s="358">
        <v>0</v>
      </c>
      <c r="H137" s="358">
        <v>0</v>
      </c>
      <c r="I137" s="358">
        <v>0</v>
      </c>
      <c r="J137" s="368">
        <v>0</v>
      </c>
      <c r="K137" s="358">
        <v>1.5</v>
      </c>
      <c r="L137" s="358">
        <v>3.5</v>
      </c>
      <c r="M137" s="358">
        <v>0.2</v>
      </c>
    </row>
    <row r="138" spans="1:13" ht="13.8" x14ac:dyDescent="0.4">
      <c r="A138" s="356">
        <f t="shared" si="51"/>
        <v>13</v>
      </c>
      <c r="B138" s="358">
        <v>4</v>
      </c>
      <c r="C138" s="358">
        <v>16</v>
      </c>
      <c r="D138" s="358">
        <v>0.2</v>
      </c>
      <c r="E138" s="358">
        <v>0</v>
      </c>
      <c r="F138" s="358">
        <v>16</v>
      </c>
      <c r="G138" s="358">
        <v>34</v>
      </c>
      <c r="H138" s="358">
        <v>0</v>
      </c>
      <c r="I138" s="358">
        <v>0</v>
      </c>
      <c r="J138" s="368">
        <v>0</v>
      </c>
      <c r="K138" s="358">
        <v>0</v>
      </c>
      <c r="L138" s="358">
        <v>1.3</v>
      </c>
      <c r="M138" s="358">
        <v>1</v>
      </c>
    </row>
    <row r="139" spans="1:13" ht="13.8" x14ac:dyDescent="0.4">
      <c r="A139" s="356">
        <f t="shared" si="51"/>
        <v>14</v>
      </c>
      <c r="B139" s="358">
        <v>0</v>
      </c>
      <c r="C139" s="358">
        <v>19</v>
      </c>
      <c r="D139" s="358">
        <v>13.8</v>
      </c>
      <c r="E139" s="358">
        <v>51.9</v>
      </c>
      <c r="F139" s="358">
        <v>0</v>
      </c>
      <c r="G139" s="358">
        <v>0</v>
      </c>
      <c r="H139" s="358">
        <v>0</v>
      </c>
      <c r="I139" s="358">
        <v>0</v>
      </c>
      <c r="J139" s="368">
        <v>0</v>
      </c>
      <c r="K139" s="358">
        <v>9.1999999999999993</v>
      </c>
      <c r="L139" s="358">
        <v>34.299999999999997</v>
      </c>
      <c r="M139" s="358">
        <v>17</v>
      </c>
    </row>
    <row r="140" spans="1:13" ht="13.8" x14ac:dyDescent="0.4">
      <c r="A140" s="356">
        <f t="shared" si="51"/>
        <v>15</v>
      </c>
      <c r="B140" s="358">
        <v>12</v>
      </c>
      <c r="C140" s="358">
        <v>1</v>
      </c>
      <c r="D140" s="358">
        <v>0.7</v>
      </c>
      <c r="E140" s="358">
        <v>0</v>
      </c>
      <c r="F140" s="358">
        <v>0.5</v>
      </c>
      <c r="G140" s="358">
        <v>1.4</v>
      </c>
      <c r="H140" s="358">
        <v>0</v>
      </c>
      <c r="I140" s="358">
        <v>0</v>
      </c>
      <c r="J140" s="368">
        <v>0</v>
      </c>
      <c r="K140" s="358">
        <v>0</v>
      </c>
      <c r="L140" s="358">
        <v>0</v>
      </c>
      <c r="M140" s="358">
        <v>0</v>
      </c>
    </row>
    <row r="141" spans="1:13" ht="13.8" x14ac:dyDescent="0.4">
      <c r="A141" s="356">
        <f t="shared" si="51"/>
        <v>16</v>
      </c>
      <c r="B141" s="358">
        <v>29.3</v>
      </c>
      <c r="C141" s="358">
        <v>18</v>
      </c>
      <c r="D141" s="358">
        <v>47</v>
      </c>
      <c r="E141" s="358">
        <v>5.5</v>
      </c>
      <c r="F141" s="358">
        <v>0</v>
      </c>
      <c r="G141" s="358">
        <v>0</v>
      </c>
      <c r="H141" s="358">
        <v>0</v>
      </c>
      <c r="I141" s="358">
        <v>0</v>
      </c>
      <c r="J141" s="368">
        <v>0</v>
      </c>
      <c r="K141" s="358">
        <v>5</v>
      </c>
      <c r="L141" s="358">
        <v>0</v>
      </c>
      <c r="M141" s="358">
        <v>0</v>
      </c>
    </row>
    <row r="142" spans="1:13" ht="13.8" x14ac:dyDescent="0.4">
      <c r="A142" s="356">
        <f t="shared" si="51"/>
        <v>17</v>
      </c>
      <c r="B142" s="358">
        <v>6</v>
      </c>
      <c r="C142" s="358">
        <v>0</v>
      </c>
      <c r="D142" s="358">
        <v>0</v>
      </c>
      <c r="E142" s="358">
        <v>1.5</v>
      </c>
      <c r="F142" s="358">
        <v>11</v>
      </c>
      <c r="G142" s="358">
        <v>0</v>
      </c>
      <c r="H142" s="358">
        <v>0</v>
      </c>
      <c r="I142" s="358">
        <v>0</v>
      </c>
      <c r="J142" s="368">
        <v>0</v>
      </c>
      <c r="K142" s="358">
        <v>37.5</v>
      </c>
      <c r="L142" s="358">
        <v>6</v>
      </c>
      <c r="M142" s="358">
        <v>0.5</v>
      </c>
    </row>
    <row r="143" spans="1:13" ht="13.8" x14ac:dyDescent="0.4">
      <c r="A143" s="356">
        <f t="shared" si="51"/>
        <v>18</v>
      </c>
      <c r="B143" s="358">
        <v>2</v>
      </c>
      <c r="C143" s="358">
        <v>0</v>
      </c>
      <c r="D143" s="358">
        <v>0</v>
      </c>
      <c r="E143" s="358">
        <v>86</v>
      </c>
      <c r="F143" s="358">
        <v>0</v>
      </c>
      <c r="G143" s="358">
        <v>0</v>
      </c>
      <c r="H143" s="358">
        <v>0</v>
      </c>
      <c r="I143" s="358">
        <v>0</v>
      </c>
      <c r="J143" s="368">
        <v>12.8</v>
      </c>
      <c r="K143" s="358">
        <v>0</v>
      </c>
      <c r="L143" s="358">
        <v>0</v>
      </c>
      <c r="M143" s="358">
        <v>1.8</v>
      </c>
    </row>
    <row r="144" spans="1:13" ht="13.8" x14ac:dyDescent="0.4">
      <c r="A144" s="356">
        <f t="shared" si="51"/>
        <v>19</v>
      </c>
      <c r="B144" s="358">
        <v>3</v>
      </c>
      <c r="C144" s="358">
        <v>0</v>
      </c>
      <c r="D144" s="358">
        <v>0</v>
      </c>
      <c r="E144" s="358">
        <v>0</v>
      </c>
      <c r="F144" s="358">
        <v>0</v>
      </c>
      <c r="G144" s="358">
        <v>0</v>
      </c>
      <c r="H144" s="358">
        <v>0</v>
      </c>
      <c r="I144" s="358">
        <v>0</v>
      </c>
      <c r="J144" s="368">
        <v>0</v>
      </c>
      <c r="K144" s="358">
        <v>0</v>
      </c>
      <c r="L144" s="358">
        <v>3.5</v>
      </c>
      <c r="M144" s="358">
        <v>3.2</v>
      </c>
    </row>
    <row r="145" spans="1:13" ht="13.8" x14ac:dyDescent="0.4">
      <c r="A145" s="356">
        <f t="shared" si="51"/>
        <v>20</v>
      </c>
      <c r="B145" s="358">
        <v>0</v>
      </c>
      <c r="C145" s="358">
        <v>0</v>
      </c>
      <c r="D145" s="358">
        <v>0</v>
      </c>
      <c r="E145" s="358">
        <v>0</v>
      </c>
      <c r="F145" s="358">
        <v>0</v>
      </c>
      <c r="G145" s="358">
        <v>0</v>
      </c>
      <c r="H145" s="358">
        <v>0</v>
      </c>
      <c r="I145" s="358">
        <v>0</v>
      </c>
      <c r="J145" s="368">
        <v>0</v>
      </c>
      <c r="K145" s="358">
        <v>0</v>
      </c>
      <c r="L145" s="358">
        <v>7.5</v>
      </c>
      <c r="M145" s="358">
        <v>8.1</v>
      </c>
    </row>
    <row r="146" spans="1:13" ht="13.8" x14ac:dyDescent="0.4">
      <c r="A146" s="356">
        <f t="shared" si="51"/>
        <v>21</v>
      </c>
      <c r="B146" s="358">
        <v>1</v>
      </c>
      <c r="C146" s="358">
        <v>0</v>
      </c>
      <c r="D146" s="358">
        <v>0</v>
      </c>
      <c r="E146" s="358">
        <v>19.5</v>
      </c>
      <c r="F146" s="358">
        <v>0</v>
      </c>
      <c r="G146" s="358" t="s">
        <v>165</v>
      </c>
      <c r="H146" s="358">
        <v>10.199999999999999</v>
      </c>
      <c r="I146" s="358">
        <v>0</v>
      </c>
      <c r="J146" s="368">
        <v>0</v>
      </c>
      <c r="K146" s="358">
        <v>0</v>
      </c>
      <c r="L146" s="358">
        <v>5.4</v>
      </c>
      <c r="M146" s="358">
        <v>28.1</v>
      </c>
    </row>
    <row r="147" spans="1:13" ht="13.8" x14ac:dyDescent="0.4">
      <c r="A147" s="356">
        <f t="shared" si="51"/>
        <v>22</v>
      </c>
      <c r="B147" s="358">
        <v>1</v>
      </c>
      <c r="C147" s="358">
        <v>0</v>
      </c>
      <c r="D147" s="358">
        <v>0</v>
      </c>
      <c r="E147" s="358">
        <v>3</v>
      </c>
      <c r="F147" s="358">
        <v>0</v>
      </c>
      <c r="G147" s="358">
        <v>34.4</v>
      </c>
      <c r="H147" s="358">
        <v>7.8</v>
      </c>
      <c r="I147" s="358">
        <v>0</v>
      </c>
      <c r="J147" s="368">
        <v>0</v>
      </c>
      <c r="K147" s="358">
        <v>0</v>
      </c>
      <c r="L147" s="358">
        <v>0</v>
      </c>
      <c r="M147" s="358">
        <v>1.4</v>
      </c>
    </row>
    <row r="148" spans="1:13" ht="13.8" x14ac:dyDescent="0.4">
      <c r="A148" s="356">
        <f t="shared" si="51"/>
        <v>23</v>
      </c>
      <c r="B148" s="358">
        <v>0</v>
      </c>
      <c r="C148" s="358">
        <v>35</v>
      </c>
      <c r="D148" s="358">
        <v>0</v>
      </c>
      <c r="E148" s="358">
        <v>0</v>
      </c>
      <c r="F148" s="358">
        <v>0</v>
      </c>
      <c r="G148" s="358">
        <v>0</v>
      </c>
      <c r="H148" s="358">
        <v>0</v>
      </c>
      <c r="I148" s="358">
        <v>0</v>
      </c>
      <c r="J148" s="368">
        <v>2.5</v>
      </c>
      <c r="K148" s="358">
        <v>0</v>
      </c>
      <c r="L148" s="358">
        <v>28.9</v>
      </c>
      <c r="M148" s="358">
        <v>2</v>
      </c>
    </row>
    <row r="149" spans="1:13" ht="13.8" x14ac:dyDescent="0.4">
      <c r="A149" s="356">
        <f t="shared" si="51"/>
        <v>24</v>
      </c>
      <c r="B149" s="358">
        <v>0</v>
      </c>
      <c r="C149" s="358">
        <v>8.5</v>
      </c>
      <c r="D149" s="358">
        <v>0</v>
      </c>
      <c r="E149" s="358">
        <v>1</v>
      </c>
      <c r="F149" s="358">
        <v>0</v>
      </c>
      <c r="G149" s="358">
        <v>0</v>
      </c>
      <c r="H149" s="358">
        <v>0</v>
      </c>
      <c r="I149" s="358">
        <v>0</v>
      </c>
      <c r="J149" s="368">
        <v>0</v>
      </c>
      <c r="K149" s="358">
        <v>0</v>
      </c>
      <c r="L149" s="358">
        <v>0.5</v>
      </c>
      <c r="M149" s="358">
        <v>0</v>
      </c>
    </row>
    <row r="150" spans="1:13" ht="13.8" x14ac:dyDescent="0.4">
      <c r="A150" s="356">
        <f t="shared" si="51"/>
        <v>25</v>
      </c>
      <c r="B150" s="358">
        <v>1</v>
      </c>
      <c r="C150" s="358">
        <v>4</v>
      </c>
      <c r="D150" s="358">
        <v>0.6</v>
      </c>
      <c r="E150" s="358">
        <v>0</v>
      </c>
      <c r="F150" s="358">
        <v>0</v>
      </c>
      <c r="G150" s="358">
        <v>0</v>
      </c>
      <c r="H150" s="358">
        <v>0</v>
      </c>
      <c r="I150" s="358">
        <v>0</v>
      </c>
      <c r="J150" s="368">
        <v>0</v>
      </c>
      <c r="K150" s="358">
        <v>0.7</v>
      </c>
      <c r="L150" s="358">
        <v>3.9</v>
      </c>
      <c r="M150" s="358">
        <v>0</v>
      </c>
    </row>
    <row r="151" spans="1:13" ht="13.8" x14ac:dyDescent="0.4">
      <c r="A151" s="356">
        <f t="shared" si="51"/>
        <v>26</v>
      </c>
      <c r="B151" s="358">
        <v>28</v>
      </c>
      <c r="C151" s="358">
        <v>67</v>
      </c>
      <c r="D151" s="358">
        <v>0</v>
      </c>
      <c r="E151" s="358">
        <v>0</v>
      </c>
      <c r="F151" s="358">
        <v>0</v>
      </c>
      <c r="G151" s="358">
        <v>0.3</v>
      </c>
      <c r="H151" s="358">
        <v>0</v>
      </c>
      <c r="I151" s="358">
        <v>0</v>
      </c>
      <c r="J151" s="368">
        <v>0.5</v>
      </c>
      <c r="K151" s="358">
        <v>0</v>
      </c>
      <c r="L151" s="358">
        <v>4.3</v>
      </c>
      <c r="M151" s="358">
        <v>25</v>
      </c>
    </row>
    <row r="152" spans="1:13" ht="13.8" x14ac:dyDescent="0.4">
      <c r="A152" s="356">
        <f t="shared" si="51"/>
        <v>27</v>
      </c>
      <c r="B152" s="358">
        <v>0</v>
      </c>
      <c r="C152" s="358">
        <v>0</v>
      </c>
      <c r="D152" s="358">
        <v>8.8000000000000007</v>
      </c>
      <c r="E152" s="358">
        <v>0</v>
      </c>
      <c r="F152" s="358">
        <v>28.6</v>
      </c>
      <c r="G152" s="358">
        <v>0</v>
      </c>
      <c r="H152" s="358">
        <v>0</v>
      </c>
      <c r="I152" s="358">
        <v>0</v>
      </c>
      <c r="J152" s="368">
        <v>0</v>
      </c>
      <c r="K152" s="358">
        <v>0</v>
      </c>
      <c r="L152" s="358">
        <v>12.5</v>
      </c>
      <c r="M152" s="358">
        <v>0</v>
      </c>
    </row>
    <row r="153" spans="1:13" ht="13.8" x14ac:dyDescent="0.4">
      <c r="A153" s="356">
        <f t="shared" si="51"/>
        <v>28</v>
      </c>
      <c r="B153" s="358">
        <v>1</v>
      </c>
      <c r="C153" s="358">
        <v>0</v>
      </c>
      <c r="D153" s="358">
        <v>0</v>
      </c>
      <c r="E153" s="358">
        <v>0</v>
      </c>
      <c r="F153" s="358">
        <v>0</v>
      </c>
      <c r="G153" s="358">
        <v>1.5</v>
      </c>
      <c r="H153" s="358">
        <v>6.6</v>
      </c>
      <c r="I153" s="358">
        <v>0</v>
      </c>
      <c r="J153" s="368">
        <v>0</v>
      </c>
      <c r="K153" s="358">
        <v>99.5</v>
      </c>
      <c r="L153" s="358">
        <v>10.199999999999999</v>
      </c>
      <c r="M153" s="358">
        <v>10.5</v>
      </c>
    </row>
    <row r="154" spans="1:13" ht="13.8" x14ac:dyDescent="0.4">
      <c r="A154" s="356">
        <f t="shared" si="51"/>
        <v>29</v>
      </c>
      <c r="B154" s="358">
        <v>45</v>
      </c>
      <c r="C154" s="357"/>
      <c r="D154" s="358">
        <v>11</v>
      </c>
      <c r="E154" s="358">
        <v>0</v>
      </c>
      <c r="F154" s="358">
        <v>0</v>
      </c>
      <c r="G154" s="358">
        <v>0</v>
      </c>
      <c r="H154" s="358">
        <v>0</v>
      </c>
      <c r="I154" s="358">
        <v>0</v>
      </c>
      <c r="J154" s="368">
        <v>0</v>
      </c>
      <c r="K154" s="358">
        <v>0</v>
      </c>
      <c r="L154" s="358">
        <v>31</v>
      </c>
      <c r="M154" s="358">
        <v>2.5</v>
      </c>
    </row>
    <row r="155" spans="1:13" ht="13.8" x14ac:dyDescent="0.4">
      <c r="A155" s="356">
        <f t="shared" si="51"/>
        <v>30</v>
      </c>
      <c r="B155" s="358">
        <v>4</v>
      </c>
      <c r="C155" s="357"/>
      <c r="D155" s="358">
        <v>0</v>
      </c>
      <c r="E155" s="358">
        <v>3.4</v>
      </c>
      <c r="F155" s="358">
        <v>0</v>
      </c>
      <c r="G155" s="358">
        <v>0</v>
      </c>
      <c r="H155" s="358">
        <v>0</v>
      </c>
      <c r="I155" s="358">
        <v>0</v>
      </c>
      <c r="J155" s="368">
        <v>21</v>
      </c>
      <c r="K155" s="358">
        <v>0.5</v>
      </c>
      <c r="L155" s="358">
        <v>9.5</v>
      </c>
      <c r="M155" s="358">
        <v>0</v>
      </c>
    </row>
    <row r="156" spans="1:13" ht="13.8" x14ac:dyDescent="0.4">
      <c r="A156" s="356">
        <f t="shared" si="51"/>
        <v>31</v>
      </c>
      <c r="B156" s="358">
        <v>0</v>
      </c>
      <c r="C156" s="357"/>
      <c r="D156" s="358">
        <v>1.4</v>
      </c>
      <c r="E156" s="357"/>
      <c r="F156" s="358">
        <v>0</v>
      </c>
      <c r="G156" s="357"/>
      <c r="H156" s="358">
        <v>0</v>
      </c>
      <c r="I156" s="358">
        <v>0</v>
      </c>
      <c r="J156" s="357"/>
      <c r="K156" s="358">
        <v>0</v>
      </c>
      <c r="L156" s="357"/>
      <c r="M156" s="358">
        <v>1.5</v>
      </c>
    </row>
    <row r="157" spans="1:13" ht="13.8" x14ac:dyDescent="0.4">
      <c r="A157" s="356" t="s">
        <v>3296</v>
      </c>
      <c r="B157" s="357">
        <f>MAX(B126:B156)</f>
        <v>45</v>
      </c>
      <c r="C157" s="357">
        <f t="shared" ref="C157" si="52">MAX(C126:C156)</f>
        <v>67</v>
      </c>
      <c r="D157" s="357">
        <f t="shared" ref="D157" si="53">MAX(D126:D156)</f>
        <v>47</v>
      </c>
      <c r="E157" s="357">
        <f t="shared" ref="E157" si="54">MAX(E126:E156)</f>
        <v>86</v>
      </c>
      <c r="F157" s="357">
        <f t="shared" ref="F157" si="55">MAX(F126:F156)</f>
        <v>40</v>
      </c>
      <c r="G157" s="357">
        <f t="shared" ref="G157" si="56">MAX(G126:G156)</f>
        <v>34.4</v>
      </c>
      <c r="H157" s="357">
        <f t="shared" ref="H157" si="57">MAX(H126:H156)</f>
        <v>10.199999999999999</v>
      </c>
      <c r="I157" s="357">
        <f>MAX(I126:I156)</f>
        <v>1.5</v>
      </c>
      <c r="J157" s="357">
        <f t="shared" ref="J157" si="58">MAX(J126:J156)</f>
        <v>21</v>
      </c>
      <c r="K157" s="357">
        <f t="shared" ref="K157" si="59">MAX(K126:K156)</f>
        <v>99.5</v>
      </c>
      <c r="L157" s="357">
        <f t="shared" ref="L157" si="60">MAX(L126:L156)</f>
        <v>34.299999999999997</v>
      </c>
      <c r="M157" s="357">
        <f t="shared" ref="M157" si="61">MAX(M126:M156)</f>
        <v>54.7</v>
      </c>
    </row>
    <row r="158" spans="1:13" ht="13.8" x14ac:dyDescent="0.4">
      <c r="A158" s="356" t="s">
        <v>4798</v>
      </c>
      <c r="B158" s="357">
        <f>SUM(B126:B156)</f>
        <v>229.3</v>
      </c>
      <c r="C158" s="357">
        <f t="shared" ref="C158:M158" si="62">SUM(C126:C156)</f>
        <v>404.5</v>
      </c>
      <c r="D158" s="357">
        <f t="shared" si="62"/>
        <v>203.4</v>
      </c>
      <c r="E158" s="357">
        <f t="shared" si="62"/>
        <v>264.2</v>
      </c>
      <c r="F158" s="357">
        <f t="shared" si="62"/>
        <v>125.70000000000002</v>
      </c>
      <c r="G158" s="357">
        <f t="shared" si="62"/>
        <v>92.6</v>
      </c>
      <c r="H158" s="357">
        <f t="shared" si="62"/>
        <v>25.1</v>
      </c>
      <c r="I158" s="357">
        <f t="shared" si="62"/>
        <v>1.5</v>
      </c>
      <c r="J158" s="357">
        <f t="shared" si="62"/>
        <v>37.5</v>
      </c>
      <c r="K158" s="357">
        <f t="shared" si="62"/>
        <v>325.29999999999995</v>
      </c>
      <c r="L158" s="357">
        <f t="shared" si="62"/>
        <v>197.3</v>
      </c>
      <c r="M158" s="357">
        <f t="shared" si="62"/>
        <v>200.10000000000002</v>
      </c>
    </row>
    <row r="159" spans="1:13" ht="13.8" x14ac:dyDescent="0.4">
      <c r="A159" s="356" t="s">
        <v>4799</v>
      </c>
      <c r="B159" s="357">
        <f>COUNTIF(B126:B156,"&gt;2")</f>
        <v>14</v>
      </c>
      <c r="C159" s="357">
        <f t="shared" ref="C159:M159" si="63">COUNTIF(C126:C156,"&gt;2")</f>
        <v>16</v>
      </c>
      <c r="D159" s="357">
        <f t="shared" si="63"/>
        <v>7</v>
      </c>
      <c r="E159" s="357">
        <f t="shared" si="63"/>
        <v>10</v>
      </c>
      <c r="F159" s="357">
        <f t="shared" si="63"/>
        <v>6</v>
      </c>
      <c r="G159" s="357">
        <f t="shared" si="63"/>
        <v>4</v>
      </c>
      <c r="H159" s="357">
        <f t="shared" si="63"/>
        <v>3</v>
      </c>
      <c r="I159" s="357">
        <f t="shared" si="63"/>
        <v>0</v>
      </c>
      <c r="J159" s="357">
        <f t="shared" si="63"/>
        <v>3</v>
      </c>
      <c r="K159" s="357">
        <f t="shared" si="63"/>
        <v>10</v>
      </c>
      <c r="L159" s="357">
        <f t="shared" si="63"/>
        <v>17</v>
      </c>
      <c r="M159" s="357">
        <f t="shared" si="63"/>
        <v>10</v>
      </c>
    </row>
    <row r="160" spans="1:13" ht="13.8" x14ac:dyDescent="0.4">
      <c r="A160" s="356" t="s">
        <v>4800</v>
      </c>
      <c r="B160" s="357">
        <f>B158/B159</f>
        <v>16.37857142857143</v>
      </c>
      <c r="C160" s="357">
        <f t="shared" ref="C160" si="64">C158/C159</f>
        <v>25.28125</v>
      </c>
      <c r="D160" s="357">
        <f t="shared" ref="D160" si="65">D158/D159</f>
        <v>29.057142857142857</v>
      </c>
      <c r="E160" s="357">
        <f t="shared" ref="E160" si="66">E158/E159</f>
        <v>26.419999999999998</v>
      </c>
      <c r="F160" s="357">
        <f t="shared" ref="F160" si="67">F158/F159</f>
        <v>20.950000000000003</v>
      </c>
      <c r="G160" s="357">
        <f t="shared" ref="G160" si="68">G158/G159</f>
        <v>23.15</v>
      </c>
      <c r="H160" s="357">
        <f t="shared" ref="H160" si="69">H158/H159</f>
        <v>8.3666666666666671</v>
      </c>
      <c r="I160" s="357" t="e">
        <f t="shared" ref="I160" si="70">I158/I159</f>
        <v>#DIV/0!</v>
      </c>
      <c r="J160" s="357">
        <f t="shared" ref="J160" si="71">J158/J159</f>
        <v>12.5</v>
      </c>
      <c r="K160" s="357">
        <f t="shared" ref="K160" si="72">K158/K159</f>
        <v>32.529999999999994</v>
      </c>
      <c r="L160" s="357">
        <f t="shared" ref="L160" si="73">L158/L159</f>
        <v>11.605882352941178</v>
      </c>
      <c r="M160" s="357">
        <f t="shared" ref="M160" si="74">M158/M159</f>
        <v>20.010000000000002</v>
      </c>
    </row>
    <row r="163" spans="1:13" ht="15.6" x14ac:dyDescent="0.2">
      <c r="A163" s="817" t="s">
        <v>3273</v>
      </c>
      <c r="B163" s="818">
        <v>2018</v>
      </c>
      <c r="C163" s="818"/>
      <c r="D163" s="818"/>
      <c r="E163" s="818"/>
      <c r="F163" s="818"/>
      <c r="G163" s="818"/>
      <c r="H163" s="818"/>
      <c r="I163" s="818"/>
      <c r="J163" s="818"/>
      <c r="K163" s="818"/>
      <c r="L163" s="818"/>
      <c r="M163" s="818"/>
    </row>
    <row r="164" spans="1:13" x14ac:dyDescent="0.2">
      <c r="A164" s="817"/>
      <c r="B164" s="769" t="s">
        <v>3280</v>
      </c>
      <c r="C164" s="769" t="s">
        <v>3281</v>
      </c>
      <c r="D164" s="769" t="s">
        <v>3282</v>
      </c>
      <c r="E164" s="769" t="s">
        <v>3283</v>
      </c>
      <c r="F164" s="769" t="s">
        <v>3284</v>
      </c>
      <c r="G164" s="769" t="s">
        <v>3285</v>
      </c>
      <c r="H164" s="769" t="s">
        <v>3286</v>
      </c>
      <c r="I164" s="769" t="s">
        <v>3294</v>
      </c>
      <c r="J164" s="769" t="s">
        <v>3288</v>
      </c>
      <c r="K164" s="769" t="s">
        <v>3289</v>
      </c>
      <c r="L164" s="769" t="s">
        <v>3290</v>
      </c>
      <c r="M164" s="769" t="s">
        <v>3291</v>
      </c>
    </row>
    <row r="165" spans="1:13" ht="11.4" customHeight="1" x14ac:dyDescent="0.2">
      <c r="A165" s="817"/>
      <c r="B165" s="819" t="s">
        <v>3295</v>
      </c>
      <c r="C165" s="819" t="s">
        <v>3295</v>
      </c>
      <c r="D165" s="819" t="s">
        <v>3295</v>
      </c>
      <c r="E165" s="819" t="s">
        <v>3295</v>
      </c>
      <c r="F165" s="819" t="s">
        <v>3295</v>
      </c>
      <c r="G165" s="819" t="s">
        <v>3295</v>
      </c>
      <c r="H165" s="819" t="s">
        <v>3295</v>
      </c>
      <c r="I165" s="819" t="s">
        <v>3295</v>
      </c>
      <c r="J165" s="819" t="s">
        <v>3295</v>
      </c>
      <c r="K165" s="819" t="s">
        <v>3295</v>
      </c>
      <c r="L165" s="819" t="s">
        <v>3295</v>
      </c>
      <c r="M165" s="819" t="s">
        <v>3295</v>
      </c>
    </row>
    <row r="166" spans="1:13" ht="16.95" customHeight="1" x14ac:dyDescent="0.2">
      <c r="A166" s="817"/>
      <c r="B166" s="819"/>
      <c r="C166" s="819"/>
      <c r="D166" s="819"/>
      <c r="E166" s="819"/>
      <c r="F166" s="819"/>
      <c r="G166" s="819"/>
      <c r="H166" s="819"/>
      <c r="I166" s="819"/>
      <c r="J166" s="819"/>
      <c r="K166" s="819"/>
      <c r="L166" s="819"/>
      <c r="M166" s="819"/>
    </row>
    <row r="167" spans="1:13" ht="13.8" x14ac:dyDescent="0.4">
      <c r="A167" s="356">
        <v>1</v>
      </c>
      <c r="B167" s="358">
        <v>3.2</v>
      </c>
      <c r="C167" s="358">
        <v>20</v>
      </c>
      <c r="D167" s="358">
        <v>16.7</v>
      </c>
      <c r="E167" s="358">
        <v>0</v>
      </c>
      <c r="F167" s="358">
        <v>0</v>
      </c>
      <c r="G167" s="358">
        <v>0</v>
      </c>
      <c r="H167" s="358">
        <v>0</v>
      </c>
      <c r="I167" s="358">
        <v>0</v>
      </c>
      <c r="J167" s="358">
        <v>0</v>
      </c>
      <c r="K167" s="358">
        <v>0</v>
      </c>
      <c r="L167" s="358">
        <v>0</v>
      </c>
      <c r="M167" s="358">
        <v>0</v>
      </c>
    </row>
    <row r="168" spans="1:13" ht="13.8" x14ac:dyDescent="0.4">
      <c r="A168" s="356">
        <f t="shared" ref="A168:A197" si="75">A167+1</f>
        <v>2</v>
      </c>
      <c r="B168" s="358">
        <v>5.6</v>
      </c>
      <c r="C168" s="358">
        <v>56.5</v>
      </c>
      <c r="D168" s="358">
        <v>0</v>
      </c>
      <c r="E168" s="358">
        <v>2.5</v>
      </c>
      <c r="F168" s="358">
        <v>0</v>
      </c>
      <c r="G168" s="358">
        <v>0</v>
      </c>
      <c r="H168" s="358">
        <v>0</v>
      </c>
      <c r="I168" s="358">
        <v>0</v>
      </c>
      <c r="J168" s="358">
        <v>3.3</v>
      </c>
      <c r="K168" s="358">
        <v>0.2</v>
      </c>
      <c r="L168" s="358">
        <v>2.2999999999999998</v>
      </c>
      <c r="M168" s="358">
        <v>0</v>
      </c>
    </row>
    <row r="169" spans="1:13" ht="13.8" x14ac:dyDescent="0.4">
      <c r="A169" s="356">
        <f t="shared" si="75"/>
        <v>3</v>
      </c>
      <c r="B169" s="358">
        <v>0</v>
      </c>
      <c r="C169" s="358">
        <v>4.5</v>
      </c>
      <c r="D169" s="358">
        <v>4.5</v>
      </c>
      <c r="E169" s="358">
        <v>43.5</v>
      </c>
      <c r="F169" s="358">
        <v>0</v>
      </c>
      <c r="G169" s="358">
        <v>0</v>
      </c>
      <c r="H169" s="358">
        <v>0</v>
      </c>
      <c r="I169" s="358">
        <v>0</v>
      </c>
      <c r="J169" s="358">
        <v>0</v>
      </c>
      <c r="K169" s="358">
        <v>0.4</v>
      </c>
      <c r="L169" s="358">
        <v>0</v>
      </c>
      <c r="M169" s="358">
        <v>32</v>
      </c>
    </row>
    <row r="170" spans="1:13" ht="13.8" x14ac:dyDescent="0.4">
      <c r="A170" s="356">
        <f t="shared" si="75"/>
        <v>4</v>
      </c>
      <c r="B170" s="358">
        <v>10.1</v>
      </c>
      <c r="C170" s="358">
        <v>32.9</v>
      </c>
      <c r="D170" s="358">
        <v>0</v>
      </c>
      <c r="E170" s="358">
        <v>0</v>
      </c>
      <c r="F170" s="358">
        <v>0</v>
      </c>
      <c r="G170" s="358">
        <v>0</v>
      </c>
      <c r="H170" s="358">
        <v>0</v>
      </c>
      <c r="I170" s="358">
        <v>0</v>
      </c>
      <c r="J170" s="358">
        <v>0</v>
      </c>
      <c r="K170" s="358">
        <v>0.3</v>
      </c>
      <c r="L170" s="358">
        <v>9</v>
      </c>
      <c r="M170" s="358">
        <v>105.7</v>
      </c>
    </row>
    <row r="171" spans="1:13" ht="13.8" x14ac:dyDescent="0.4">
      <c r="A171" s="356">
        <f t="shared" si="75"/>
        <v>5</v>
      </c>
      <c r="B171" s="358">
        <v>0</v>
      </c>
      <c r="C171" s="358">
        <v>4</v>
      </c>
      <c r="D171" s="358">
        <v>0</v>
      </c>
      <c r="E171" s="358">
        <v>2</v>
      </c>
      <c r="F171" s="358">
        <v>0</v>
      </c>
      <c r="G171" s="358">
        <v>0</v>
      </c>
      <c r="H171" s="358">
        <v>0</v>
      </c>
      <c r="I171" s="358">
        <v>0</v>
      </c>
      <c r="J171" s="358">
        <v>0</v>
      </c>
      <c r="K171" s="358">
        <v>0</v>
      </c>
      <c r="L171" s="358">
        <v>0</v>
      </c>
      <c r="M171" s="358">
        <v>14.5</v>
      </c>
    </row>
    <row r="172" spans="1:13" ht="13.8" x14ac:dyDescent="0.4">
      <c r="A172" s="356">
        <f t="shared" si="75"/>
        <v>6</v>
      </c>
      <c r="B172" s="358">
        <v>0</v>
      </c>
      <c r="C172" s="358">
        <v>63</v>
      </c>
      <c r="D172" s="358">
        <v>0</v>
      </c>
      <c r="E172" s="358">
        <v>8.5</v>
      </c>
      <c r="F172" s="358">
        <v>0</v>
      </c>
      <c r="G172" s="358">
        <v>0</v>
      </c>
      <c r="H172" s="358">
        <v>0</v>
      </c>
      <c r="I172" s="358">
        <v>0</v>
      </c>
      <c r="J172" s="358">
        <v>0</v>
      </c>
      <c r="K172" s="358">
        <v>0</v>
      </c>
      <c r="L172" s="358">
        <v>17.5</v>
      </c>
      <c r="M172" s="358">
        <v>1.6</v>
      </c>
    </row>
    <row r="173" spans="1:13" ht="13.8" x14ac:dyDescent="0.4">
      <c r="A173" s="356">
        <f t="shared" si="75"/>
        <v>7</v>
      </c>
      <c r="B173" s="358">
        <v>0</v>
      </c>
      <c r="C173" s="358">
        <v>1.4</v>
      </c>
      <c r="D173" s="358">
        <v>0</v>
      </c>
      <c r="E173" s="358">
        <v>1.5</v>
      </c>
      <c r="F173" s="358">
        <v>0</v>
      </c>
      <c r="G173" s="358">
        <v>0</v>
      </c>
      <c r="H173" s="358">
        <v>0</v>
      </c>
      <c r="I173" s="358">
        <v>0</v>
      </c>
      <c r="J173" s="358">
        <v>0</v>
      </c>
      <c r="K173" s="358">
        <v>0</v>
      </c>
      <c r="L173" s="358">
        <v>1</v>
      </c>
      <c r="M173" s="358">
        <v>0</v>
      </c>
    </row>
    <row r="174" spans="1:13" ht="13.8" x14ac:dyDescent="0.4">
      <c r="A174" s="356">
        <f t="shared" si="75"/>
        <v>8</v>
      </c>
      <c r="B174" s="358">
        <v>23.4</v>
      </c>
      <c r="C174" s="358">
        <v>4.0999999999999996</v>
      </c>
      <c r="D174" s="358">
        <v>0.1</v>
      </c>
      <c r="E174" s="358">
        <v>0</v>
      </c>
      <c r="F174" s="358">
        <v>2</v>
      </c>
      <c r="G174" s="358">
        <v>0</v>
      </c>
      <c r="H174" s="358">
        <v>0</v>
      </c>
      <c r="I174" s="358">
        <v>0</v>
      </c>
      <c r="J174" s="358">
        <v>0</v>
      </c>
      <c r="K174" s="358">
        <v>0</v>
      </c>
      <c r="L174" s="358">
        <v>16.3</v>
      </c>
      <c r="M174" s="358">
        <v>18.3</v>
      </c>
    </row>
    <row r="175" spans="1:13" ht="13.8" x14ac:dyDescent="0.4">
      <c r="A175" s="356">
        <f t="shared" si="75"/>
        <v>9</v>
      </c>
      <c r="B175" s="358">
        <v>0</v>
      </c>
      <c r="C175" s="358">
        <v>36</v>
      </c>
      <c r="D175" s="358">
        <v>0</v>
      </c>
      <c r="E175" s="358">
        <v>1.5</v>
      </c>
      <c r="F175" s="358">
        <v>0</v>
      </c>
      <c r="G175" s="358">
        <v>13.6</v>
      </c>
      <c r="H175" s="358">
        <v>0</v>
      </c>
      <c r="I175" s="358">
        <v>0</v>
      </c>
      <c r="J175" s="358">
        <v>0</v>
      </c>
      <c r="K175" s="358">
        <v>0</v>
      </c>
      <c r="L175" s="358">
        <v>2.6</v>
      </c>
      <c r="M175" s="358">
        <v>3.8</v>
      </c>
    </row>
    <row r="176" spans="1:13" ht="13.8" x14ac:dyDescent="0.4">
      <c r="A176" s="356">
        <f t="shared" si="75"/>
        <v>10</v>
      </c>
      <c r="B176" s="358">
        <v>0</v>
      </c>
      <c r="C176" s="358">
        <v>66.5</v>
      </c>
      <c r="D176" s="358">
        <v>72</v>
      </c>
      <c r="E176" s="358">
        <v>0</v>
      </c>
      <c r="F176" s="358">
        <v>0</v>
      </c>
      <c r="G176" s="358">
        <v>0</v>
      </c>
      <c r="H176" s="358">
        <v>0</v>
      </c>
      <c r="I176" s="358">
        <v>0</v>
      </c>
      <c r="J176" s="358">
        <v>0</v>
      </c>
      <c r="K176" s="358">
        <v>0</v>
      </c>
      <c r="L176" s="358">
        <v>37.5</v>
      </c>
      <c r="M176" s="358">
        <v>14.6</v>
      </c>
    </row>
    <row r="177" spans="1:13" ht="13.8" x14ac:dyDescent="0.4">
      <c r="A177" s="356">
        <f t="shared" si="75"/>
        <v>11</v>
      </c>
      <c r="B177" s="358">
        <v>14.8</v>
      </c>
      <c r="C177" s="358">
        <v>3.6</v>
      </c>
      <c r="D177" s="358">
        <v>25.5</v>
      </c>
      <c r="E177" s="358">
        <v>0</v>
      </c>
      <c r="F177" s="358">
        <v>0</v>
      </c>
      <c r="G177" s="358">
        <v>0</v>
      </c>
      <c r="H177" s="358">
        <v>0</v>
      </c>
      <c r="I177" s="358">
        <v>0</v>
      </c>
      <c r="J177" s="358">
        <v>0</v>
      </c>
      <c r="K177" s="358">
        <v>0</v>
      </c>
      <c r="L177" s="358">
        <v>3</v>
      </c>
      <c r="M177" s="358">
        <v>0</v>
      </c>
    </row>
    <row r="178" spans="1:13" ht="13.8" x14ac:dyDescent="0.4">
      <c r="A178" s="356">
        <f t="shared" si="75"/>
        <v>12</v>
      </c>
      <c r="B178" s="358">
        <v>0.5</v>
      </c>
      <c r="C178" s="358">
        <v>17.100000000000001</v>
      </c>
      <c r="D178" s="358">
        <v>25</v>
      </c>
      <c r="E178" s="358">
        <v>0</v>
      </c>
      <c r="F178" s="358">
        <v>0</v>
      </c>
      <c r="G178" s="358">
        <v>0</v>
      </c>
      <c r="H178" s="358">
        <v>0</v>
      </c>
      <c r="I178" s="358">
        <v>0</v>
      </c>
      <c r="J178" s="358">
        <v>0</v>
      </c>
      <c r="K178" s="358">
        <v>0</v>
      </c>
      <c r="L178" s="358">
        <v>0</v>
      </c>
      <c r="M178" s="358">
        <v>0</v>
      </c>
    </row>
    <row r="179" spans="1:13" ht="13.8" x14ac:dyDescent="0.4">
      <c r="A179" s="356">
        <f t="shared" si="75"/>
        <v>13</v>
      </c>
      <c r="B179" s="358">
        <v>8.5</v>
      </c>
      <c r="C179" s="358">
        <v>0</v>
      </c>
      <c r="D179" s="358">
        <v>0</v>
      </c>
      <c r="E179" s="358">
        <v>0</v>
      </c>
      <c r="F179" s="358">
        <v>0</v>
      </c>
      <c r="G179" s="358">
        <v>0</v>
      </c>
      <c r="H179" s="358">
        <v>0</v>
      </c>
      <c r="I179" s="358">
        <v>0</v>
      </c>
      <c r="J179" s="358">
        <v>0</v>
      </c>
      <c r="K179" s="358">
        <v>0</v>
      </c>
      <c r="L179" s="358">
        <v>3</v>
      </c>
      <c r="M179" s="358">
        <v>26</v>
      </c>
    </row>
    <row r="180" spans="1:13" ht="13.8" x14ac:dyDescent="0.4">
      <c r="A180" s="356">
        <f t="shared" si="75"/>
        <v>14</v>
      </c>
      <c r="B180" s="358">
        <v>29.7</v>
      </c>
      <c r="C180" s="358">
        <v>13.5</v>
      </c>
      <c r="D180" s="358">
        <v>0</v>
      </c>
      <c r="E180" s="358">
        <v>0.5</v>
      </c>
      <c r="F180" s="358">
        <v>0</v>
      </c>
      <c r="G180" s="358">
        <v>0</v>
      </c>
      <c r="H180" s="358">
        <v>0</v>
      </c>
      <c r="I180" s="358">
        <v>0</v>
      </c>
      <c r="J180" s="358">
        <v>0</v>
      </c>
      <c r="K180" s="358">
        <v>0</v>
      </c>
      <c r="L180" s="358">
        <v>0</v>
      </c>
      <c r="M180" s="358">
        <v>26.5</v>
      </c>
    </row>
    <row r="181" spans="1:13" ht="13.8" x14ac:dyDescent="0.4">
      <c r="A181" s="356">
        <f t="shared" si="75"/>
        <v>15</v>
      </c>
      <c r="B181" s="358">
        <v>29.3</v>
      </c>
      <c r="C181" s="358">
        <v>0</v>
      </c>
      <c r="D181" s="358">
        <v>0</v>
      </c>
      <c r="E181" s="358">
        <v>0</v>
      </c>
      <c r="F181" s="358">
        <v>0</v>
      </c>
      <c r="G181" s="358">
        <v>0</v>
      </c>
      <c r="H181" s="358">
        <v>0</v>
      </c>
      <c r="I181" s="358">
        <v>0</v>
      </c>
      <c r="J181" s="358">
        <v>0</v>
      </c>
      <c r="K181" s="358">
        <v>0</v>
      </c>
      <c r="L181" s="358">
        <v>6</v>
      </c>
      <c r="M181" s="358">
        <v>10.5</v>
      </c>
    </row>
    <row r="182" spans="1:13" ht="13.8" x14ac:dyDescent="0.4">
      <c r="A182" s="356">
        <f t="shared" si="75"/>
        <v>16</v>
      </c>
      <c r="B182" s="358">
        <v>3.6</v>
      </c>
      <c r="C182" s="358">
        <v>85.9</v>
      </c>
      <c r="D182" s="358">
        <v>0</v>
      </c>
      <c r="E182" s="358">
        <v>0</v>
      </c>
      <c r="F182" s="358">
        <v>0</v>
      </c>
      <c r="G182" s="358">
        <v>0</v>
      </c>
      <c r="H182" s="358">
        <v>0</v>
      </c>
      <c r="I182" s="358">
        <v>0</v>
      </c>
      <c r="J182" s="358">
        <v>0</v>
      </c>
      <c r="K182" s="358">
        <v>42</v>
      </c>
      <c r="L182" s="358">
        <v>0</v>
      </c>
      <c r="M182" s="358">
        <v>1</v>
      </c>
    </row>
    <row r="183" spans="1:13" ht="13.8" x14ac:dyDescent="0.4">
      <c r="A183" s="356">
        <f t="shared" si="75"/>
        <v>17</v>
      </c>
      <c r="B183" s="358">
        <v>0</v>
      </c>
      <c r="C183" s="358">
        <v>138.5</v>
      </c>
      <c r="D183" s="358">
        <v>0.2</v>
      </c>
      <c r="E183" s="358">
        <v>0</v>
      </c>
      <c r="F183" s="358">
        <v>0</v>
      </c>
      <c r="G183" s="358">
        <v>0</v>
      </c>
      <c r="H183" s="358">
        <v>0</v>
      </c>
      <c r="I183" s="358">
        <v>0</v>
      </c>
      <c r="J183" s="358">
        <v>0</v>
      </c>
      <c r="K183" s="358">
        <v>2</v>
      </c>
      <c r="L183" s="358">
        <v>3.3</v>
      </c>
      <c r="M183" s="358">
        <v>0</v>
      </c>
    </row>
    <row r="184" spans="1:13" ht="13.8" x14ac:dyDescent="0.4">
      <c r="A184" s="356">
        <f t="shared" si="75"/>
        <v>18</v>
      </c>
      <c r="B184" s="358">
        <v>5.7</v>
      </c>
      <c r="C184" s="358">
        <v>39.700000000000003</v>
      </c>
      <c r="D184" s="358">
        <v>4.5</v>
      </c>
      <c r="E184" s="358">
        <v>0</v>
      </c>
      <c r="F184" s="358">
        <v>0</v>
      </c>
      <c r="G184" s="358">
        <v>0</v>
      </c>
      <c r="H184" s="358">
        <v>0.4</v>
      </c>
      <c r="I184" s="358">
        <v>0</v>
      </c>
      <c r="J184" s="358">
        <v>0</v>
      </c>
      <c r="K184" s="358">
        <v>0</v>
      </c>
      <c r="L184" s="358">
        <v>0</v>
      </c>
      <c r="M184" s="358">
        <v>0</v>
      </c>
    </row>
    <row r="185" spans="1:13" ht="13.8" x14ac:dyDescent="0.4">
      <c r="A185" s="356">
        <f t="shared" si="75"/>
        <v>19</v>
      </c>
      <c r="B185" s="358">
        <v>0</v>
      </c>
      <c r="C185" s="358">
        <v>0</v>
      </c>
      <c r="D185" s="358">
        <v>0</v>
      </c>
      <c r="E185" s="358">
        <v>0</v>
      </c>
      <c r="F185" s="358">
        <v>3.9</v>
      </c>
      <c r="G185" s="358">
        <v>0</v>
      </c>
      <c r="H185" s="358">
        <v>0</v>
      </c>
      <c r="I185" s="358">
        <v>0</v>
      </c>
      <c r="J185" s="358">
        <v>0</v>
      </c>
      <c r="K185" s="358">
        <v>0.5</v>
      </c>
      <c r="L185" s="358">
        <v>0</v>
      </c>
      <c r="M185" s="358">
        <v>0</v>
      </c>
    </row>
    <row r="186" spans="1:13" ht="13.8" x14ac:dyDescent="0.4">
      <c r="A186" s="356">
        <f t="shared" si="75"/>
        <v>20</v>
      </c>
      <c r="B186" s="358">
        <v>1.2</v>
      </c>
      <c r="C186" s="358">
        <v>0.5</v>
      </c>
      <c r="D186" s="358">
        <v>0</v>
      </c>
      <c r="E186" s="358">
        <v>41.5</v>
      </c>
      <c r="F186" s="358">
        <v>0</v>
      </c>
      <c r="G186" s="358">
        <v>2.5</v>
      </c>
      <c r="H186" s="358">
        <v>0</v>
      </c>
      <c r="I186" s="358">
        <v>0</v>
      </c>
      <c r="J186" s="358">
        <v>0.2</v>
      </c>
      <c r="K186" s="358">
        <v>0</v>
      </c>
      <c r="L186" s="358">
        <v>0</v>
      </c>
      <c r="M186" s="358">
        <v>0</v>
      </c>
    </row>
    <row r="187" spans="1:13" ht="13.8" x14ac:dyDescent="0.4">
      <c r="A187" s="356">
        <f t="shared" si="75"/>
        <v>21</v>
      </c>
      <c r="B187" s="358">
        <v>4.8</v>
      </c>
      <c r="C187" s="358">
        <v>75.599999999999994</v>
      </c>
      <c r="D187" s="358">
        <v>0</v>
      </c>
      <c r="E187" s="358">
        <v>1.6</v>
      </c>
      <c r="F187" s="358">
        <v>0</v>
      </c>
      <c r="G187" s="358">
        <v>0</v>
      </c>
      <c r="H187" s="358">
        <v>0</v>
      </c>
      <c r="I187" s="358">
        <v>0</v>
      </c>
      <c r="J187" s="358">
        <v>0.6</v>
      </c>
      <c r="K187" s="358">
        <v>0</v>
      </c>
      <c r="L187" s="358">
        <v>0</v>
      </c>
      <c r="M187" s="358">
        <v>0</v>
      </c>
    </row>
    <row r="188" spans="1:13" ht="13.8" x14ac:dyDescent="0.4">
      <c r="A188" s="356">
        <f t="shared" si="75"/>
        <v>22</v>
      </c>
      <c r="B188" s="358">
        <v>5.9</v>
      </c>
      <c r="C188" s="358">
        <v>0.4</v>
      </c>
      <c r="D188" s="358">
        <v>18.5</v>
      </c>
      <c r="E188" s="358">
        <v>6</v>
      </c>
      <c r="F188" s="358">
        <v>0</v>
      </c>
      <c r="G188" s="358">
        <v>0</v>
      </c>
      <c r="H188" s="358">
        <v>0</v>
      </c>
      <c r="I188" s="358">
        <v>0</v>
      </c>
      <c r="J188" s="358">
        <v>0</v>
      </c>
      <c r="K188" s="358">
        <v>0</v>
      </c>
      <c r="L188" s="358">
        <v>0</v>
      </c>
      <c r="M188" s="358">
        <v>0</v>
      </c>
    </row>
    <row r="189" spans="1:13" ht="13.8" x14ac:dyDescent="0.4">
      <c r="A189" s="356">
        <f t="shared" si="75"/>
        <v>23</v>
      </c>
      <c r="B189" s="358">
        <v>31.1</v>
      </c>
      <c r="C189" s="358">
        <v>9.6999999999999993</v>
      </c>
      <c r="D189" s="358">
        <v>0.2</v>
      </c>
      <c r="E189" s="358">
        <v>4.5</v>
      </c>
      <c r="F189" s="358">
        <v>4.7</v>
      </c>
      <c r="G189" s="358">
        <v>0</v>
      </c>
      <c r="H189" s="358">
        <v>0</v>
      </c>
      <c r="I189" s="358">
        <v>0</v>
      </c>
      <c r="J189" s="358">
        <v>1.6</v>
      </c>
      <c r="K189" s="358">
        <v>0</v>
      </c>
      <c r="L189" s="358">
        <v>0</v>
      </c>
      <c r="M189" s="358">
        <v>0</v>
      </c>
    </row>
    <row r="190" spans="1:13" ht="13.8" x14ac:dyDescent="0.4">
      <c r="A190" s="356">
        <f t="shared" si="75"/>
        <v>24</v>
      </c>
      <c r="B190" s="358">
        <v>0</v>
      </c>
      <c r="C190" s="358">
        <v>0</v>
      </c>
      <c r="D190" s="358">
        <v>0</v>
      </c>
      <c r="E190" s="358">
        <v>14.5</v>
      </c>
      <c r="F190" s="358">
        <v>10</v>
      </c>
      <c r="G190" s="358">
        <v>0</v>
      </c>
      <c r="H190" s="358">
        <v>0</v>
      </c>
      <c r="I190" s="358">
        <v>0</v>
      </c>
      <c r="J190" s="358">
        <v>0</v>
      </c>
      <c r="K190" s="358">
        <v>10.199999999999999</v>
      </c>
      <c r="L190" s="358">
        <v>0</v>
      </c>
      <c r="M190" s="358">
        <v>6.6</v>
      </c>
    </row>
    <row r="191" spans="1:13" ht="13.8" x14ac:dyDescent="0.4">
      <c r="A191" s="356">
        <f t="shared" si="75"/>
        <v>25</v>
      </c>
      <c r="B191" s="358">
        <v>2</v>
      </c>
      <c r="C191" s="358">
        <v>29.2</v>
      </c>
      <c r="D191" s="358">
        <v>1</v>
      </c>
      <c r="E191" s="358">
        <v>0</v>
      </c>
      <c r="F191" s="358">
        <v>0</v>
      </c>
      <c r="G191" s="358">
        <v>50</v>
      </c>
      <c r="H191" s="358">
        <v>0</v>
      </c>
      <c r="I191" s="358">
        <v>0</v>
      </c>
      <c r="J191" s="358">
        <v>0</v>
      </c>
      <c r="K191" s="358">
        <v>25</v>
      </c>
      <c r="L191" s="358">
        <v>0</v>
      </c>
      <c r="M191" s="358">
        <v>1.2</v>
      </c>
    </row>
    <row r="192" spans="1:13" ht="13.8" x14ac:dyDescent="0.4">
      <c r="A192" s="356">
        <f t="shared" si="75"/>
        <v>26</v>
      </c>
      <c r="B192" s="358">
        <v>2.5</v>
      </c>
      <c r="C192" s="358">
        <v>2</v>
      </c>
      <c r="D192" s="358">
        <v>33</v>
      </c>
      <c r="E192" s="358">
        <v>0</v>
      </c>
      <c r="F192" s="358">
        <v>0</v>
      </c>
      <c r="G192" s="358">
        <v>7</v>
      </c>
      <c r="H192" s="358">
        <v>0</v>
      </c>
      <c r="I192" s="358">
        <v>0</v>
      </c>
      <c r="J192" s="358">
        <v>0</v>
      </c>
      <c r="K192" s="358">
        <v>0</v>
      </c>
      <c r="L192" s="358">
        <v>0.6</v>
      </c>
      <c r="M192" s="358">
        <v>12</v>
      </c>
    </row>
    <row r="193" spans="1:13" ht="13.8" x14ac:dyDescent="0.4">
      <c r="A193" s="356">
        <f t="shared" si="75"/>
        <v>27</v>
      </c>
      <c r="B193" s="358">
        <v>2</v>
      </c>
      <c r="C193" s="358">
        <v>0</v>
      </c>
      <c r="D193" s="358">
        <v>0</v>
      </c>
      <c r="E193" s="358">
        <v>0</v>
      </c>
      <c r="F193" s="358">
        <v>0</v>
      </c>
      <c r="G193" s="358">
        <v>0</v>
      </c>
      <c r="H193" s="358">
        <v>0</v>
      </c>
      <c r="I193" s="358">
        <v>0</v>
      </c>
      <c r="J193" s="358">
        <v>0</v>
      </c>
      <c r="K193" s="358">
        <v>0</v>
      </c>
      <c r="L193" s="358">
        <v>0.4</v>
      </c>
      <c r="M193" s="358">
        <v>8.5</v>
      </c>
    </row>
    <row r="194" spans="1:13" ht="13.8" x14ac:dyDescent="0.4">
      <c r="A194" s="356">
        <f t="shared" si="75"/>
        <v>28</v>
      </c>
      <c r="B194" s="358">
        <v>36.799999999999997</v>
      </c>
      <c r="C194" s="358">
        <v>4</v>
      </c>
      <c r="D194" s="358">
        <v>2</v>
      </c>
      <c r="E194" s="358">
        <v>0</v>
      </c>
      <c r="F194" s="358">
        <v>0</v>
      </c>
      <c r="G194" s="358">
        <v>0</v>
      </c>
      <c r="H194" s="358">
        <v>0</v>
      </c>
      <c r="I194" s="358">
        <v>0</v>
      </c>
      <c r="J194" s="358">
        <v>0</v>
      </c>
      <c r="K194" s="358">
        <v>0</v>
      </c>
      <c r="L194" s="358">
        <v>5.6</v>
      </c>
      <c r="M194" s="358">
        <v>0</v>
      </c>
    </row>
    <row r="195" spans="1:13" ht="13.8" x14ac:dyDescent="0.4">
      <c r="A195" s="356">
        <f t="shared" si="75"/>
        <v>29</v>
      </c>
      <c r="B195" s="358">
        <v>3.8</v>
      </c>
      <c r="C195" s="357"/>
      <c r="D195" s="358">
        <v>0</v>
      </c>
      <c r="E195" s="358">
        <v>0.8</v>
      </c>
      <c r="F195" s="358">
        <v>0</v>
      </c>
      <c r="G195" s="358">
        <v>0</v>
      </c>
      <c r="H195" s="358">
        <v>0</v>
      </c>
      <c r="I195" s="358">
        <v>0</v>
      </c>
      <c r="J195" s="358">
        <v>0</v>
      </c>
      <c r="K195" s="358">
        <v>0</v>
      </c>
      <c r="L195" s="358">
        <v>0</v>
      </c>
      <c r="M195" s="358">
        <v>0</v>
      </c>
    </row>
    <row r="196" spans="1:13" ht="13.8" x14ac:dyDescent="0.4">
      <c r="A196" s="356">
        <f t="shared" si="75"/>
        <v>30</v>
      </c>
      <c r="B196" s="358">
        <v>22.5</v>
      </c>
      <c r="C196" s="357"/>
      <c r="D196" s="358">
        <v>0</v>
      </c>
      <c r="E196" s="358">
        <v>0</v>
      </c>
      <c r="F196" s="358">
        <v>0</v>
      </c>
      <c r="G196" s="358">
        <v>0</v>
      </c>
      <c r="H196" s="358">
        <v>0</v>
      </c>
      <c r="I196" s="358">
        <v>0</v>
      </c>
      <c r="J196" s="358">
        <v>0</v>
      </c>
      <c r="K196" s="358">
        <v>0</v>
      </c>
      <c r="L196" s="358">
        <v>18</v>
      </c>
      <c r="M196" s="358">
        <v>0</v>
      </c>
    </row>
    <row r="197" spans="1:13" ht="13.8" x14ac:dyDescent="0.4">
      <c r="A197" s="356">
        <f t="shared" si="75"/>
        <v>31</v>
      </c>
      <c r="B197" s="358">
        <v>18.8</v>
      </c>
      <c r="C197" s="357"/>
      <c r="D197" s="358">
        <v>0</v>
      </c>
      <c r="E197" s="357"/>
      <c r="F197" s="358">
        <v>0</v>
      </c>
      <c r="G197" s="357"/>
      <c r="H197" s="358">
        <v>0</v>
      </c>
      <c r="I197" s="358">
        <v>0</v>
      </c>
      <c r="J197" s="357"/>
      <c r="K197" s="358">
        <v>0</v>
      </c>
      <c r="L197" s="357"/>
      <c r="M197" s="358">
        <v>0</v>
      </c>
    </row>
    <row r="198" spans="1:13" ht="13.8" x14ac:dyDescent="0.4">
      <c r="A198" s="356" t="s">
        <v>3296</v>
      </c>
      <c r="B198" s="357">
        <f>MAX(B167:B197)</f>
        <v>36.799999999999997</v>
      </c>
      <c r="C198" s="357">
        <f t="shared" ref="C198" si="76">MAX(C167:C197)</f>
        <v>138.5</v>
      </c>
      <c r="D198" s="357">
        <f t="shared" ref="D198" si="77">MAX(D167:D197)</f>
        <v>72</v>
      </c>
      <c r="E198" s="357">
        <f t="shared" ref="E198" si="78">MAX(E167:E197)</f>
        <v>43.5</v>
      </c>
      <c r="F198" s="357">
        <f t="shared" ref="F198" si="79">MAX(F167:F197)</f>
        <v>10</v>
      </c>
      <c r="G198" s="357">
        <f t="shared" ref="G198" si="80">MAX(G167:G197)</f>
        <v>50</v>
      </c>
      <c r="H198" s="357">
        <f t="shared" ref="H198" si="81">MAX(H167:H197)</f>
        <v>0.4</v>
      </c>
      <c r="I198" s="357">
        <f>MAX(I167:I197)</f>
        <v>0</v>
      </c>
      <c r="J198" s="357">
        <f t="shared" ref="J198" si="82">MAX(J167:J197)</f>
        <v>3.3</v>
      </c>
      <c r="K198" s="357">
        <f t="shared" ref="K198" si="83">MAX(K167:K197)</f>
        <v>42</v>
      </c>
      <c r="L198" s="357">
        <f t="shared" ref="L198" si="84">MAX(L167:L197)</f>
        <v>37.5</v>
      </c>
      <c r="M198" s="357">
        <f t="shared" ref="M198" si="85">MAX(M167:M197)</f>
        <v>105.7</v>
      </c>
    </row>
    <row r="199" spans="1:13" ht="13.8" x14ac:dyDescent="0.4">
      <c r="A199" s="356" t="s">
        <v>4798</v>
      </c>
      <c r="B199" s="357">
        <f>SUM(B167:B197)</f>
        <v>265.8</v>
      </c>
      <c r="C199" s="357">
        <f t="shared" ref="C199:M199" si="86">SUM(C167:C197)</f>
        <v>708.60000000000014</v>
      </c>
      <c r="D199" s="357">
        <f t="shared" si="86"/>
        <v>203.2</v>
      </c>
      <c r="E199" s="357">
        <f t="shared" si="86"/>
        <v>128.9</v>
      </c>
      <c r="F199" s="357">
        <f t="shared" si="86"/>
        <v>20.6</v>
      </c>
      <c r="G199" s="357">
        <f t="shared" si="86"/>
        <v>73.099999999999994</v>
      </c>
      <c r="H199" s="357">
        <f t="shared" si="86"/>
        <v>0.4</v>
      </c>
      <c r="I199" s="357">
        <f t="shared" si="86"/>
        <v>0</v>
      </c>
      <c r="J199" s="357">
        <f t="shared" si="86"/>
        <v>5.6999999999999993</v>
      </c>
      <c r="K199" s="357">
        <f t="shared" si="86"/>
        <v>80.599999999999994</v>
      </c>
      <c r="L199" s="357">
        <f t="shared" si="86"/>
        <v>126.1</v>
      </c>
      <c r="M199" s="357">
        <f t="shared" si="86"/>
        <v>282.8</v>
      </c>
    </row>
    <row r="200" spans="1:13" ht="13.8" x14ac:dyDescent="0.4">
      <c r="A200" s="356" t="s">
        <v>4799</v>
      </c>
      <c r="B200" s="357">
        <f>COUNTIF(B167:B197,"&gt;2")</f>
        <v>18</v>
      </c>
      <c r="C200" s="357">
        <f t="shared" ref="C200:M200" si="87">COUNTIF(C167:C197,"&gt;2")</f>
        <v>19</v>
      </c>
      <c r="D200" s="357">
        <f t="shared" si="87"/>
        <v>8</v>
      </c>
      <c r="E200" s="357">
        <f t="shared" si="87"/>
        <v>7</v>
      </c>
      <c r="F200" s="357">
        <f t="shared" si="87"/>
        <v>3</v>
      </c>
      <c r="G200" s="357">
        <f t="shared" si="87"/>
        <v>4</v>
      </c>
      <c r="H200" s="357">
        <f t="shared" si="87"/>
        <v>0</v>
      </c>
      <c r="I200" s="357">
        <f t="shared" si="87"/>
        <v>0</v>
      </c>
      <c r="J200" s="357">
        <f t="shared" si="87"/>
        <v>1</v>
      </c>
      <c r="K200" s="357">
        <f t="shared" si="87"/>
        <v>3</v>
      </c>
      <c r="L200" s="357">
        <f t="shared" si="87"/>
        <v>12</v>
      </c>
      <c r="M200" s="357">
        <f t="shared" si="87"/>
        <v>12</v>
      </c>
    </row>
    <row r="201" spans="1:13" ht="13.8" x14ac:dyDescent="0.4">
      <c r="A201" s="356" t="s">
        <v>4800</v>
      </c>
      <c r="B201" s="357">
        <f>B199/B200</f>
        <v>14.766666666666667</v>
      </c>
      <c r="C201" s="357">
        <f t="shared" ref="C201" si="88">C199/C200</f>
        <v>37.294736842105273</v>
      </c>
      <c r="D201" s="357">
        <f t="shared" ref="D201" si="89">D199/D200</f>
        <v>25.4</v>
      </c>
      <c r="E201" s="357">
        <f t="shared" ref="E201" si="90">E199/E200</f>
        <v>18.414285714285715</v>
      </c>
      <c r="F201" s="357">
        <f t="shared" ref="F201" si="91">F199/F200</f>
        <v>6.8666666666666671</v>
      </c>
      <c r="G201" s="357">
        <f t="shared" ref="G201" si="92">G199/G200</f>
        <v>18.274999999999999</v>
      </c>
      <c r="H201" s="357" t="e">
        <f t="shared" ref="H201" si="93">H199/H200</f>
        <v>#DIV/0!</v>
      </c>
      <c r="I201" s="357" t="e">
        <f t="shared" ref="I201" si="94">I199/I200</f>
        <v>#DIV/0!</v>
      </c>
      <c r="J201" s="357">
        <f t="shared" ref="J201" si="95">J199/J200</f>
        <v>5.6999999999999993</v>
      </c>
      <c r="K201" s="357">
        <f t="shared" ref="K201" si="96">K199/K200</f>
        <v>26.866666666666664</v>
      </c>
      <c r="L201" s="357">
        <f t="shared" ref="L201" si="97">L199/L200</f>
        <v>10.508333333333333</v>
      </c>
      <c r="M201" s="357">
        <f>M199/M200</f>
        <v>23.566666666666666</v>
      </c>
    </row>
    <row r="204" spans="1:13" ht="15.6" x14ac:dyDescent="0.2">
      <c r="A204" s="817" t="s">
        <v>3273</v>
      </c>
      <c r="B204" s="818">
        <v>2019</v>
      </c>
      <c r="C204" s="818"/>
      <c r="D204" s="818"/>
      <c r="E204" s="818"/>
      <c r="F204" s="818"/>
      <c r="G204" s="818"/>
      <c r="H204" s="818"/>
      <c r="I204" s="818"/>
      <c r="J204" s="818"/>
      <c r="K204" s="818"/>
      <c r="L204" s="818"/>
      <c r="M204" s="818"/>
    </row>
    <row r="205" spans="1:13" x14ac:dyDescent="0.2">
      <c r="A205" s="817"/>
      <c r="B205" s="769" t="s">
        <v>3280</v>
      </c>
      <c r="C205" s="769" t="s">
        <v>3281</v>
      </c>
      <c r="D205" s="769" t="s">
        <v>3282</v>
      </c>
      <c r="E205" s="769" t="s">
        <v>3283</v>
      </c>
      <c r="F205" s="769" t="s">
        <v>3284</v>
      </c>
      <c r="G205" s="769" t="s">
        <v>3285</v>
      </c>
      <c r="H205" s="769" t="s">
        <v>3286</v>
      </c>
      <c r="I205" s="769" t="s">
        <v>3294</v>
      </c>
      <c r="J205" s="769" t="s">
        <v>3288</v>
      </c>
      <c r="K205" s="769" t="s">
        <v>3289</v>
      </c>
      <c r="L205" s="769" t="s">
        <v>3290</v>
      </c>
      <c r="M205" s="769" t="s">
        <v>3291</v>
      </c>
    </row>
    <row r="206" spans="1:13" ht="11.4" customHeight="1" x14ac:dyDescent="0.2">
      <c r="A206" s="817"/>
      <c r="B206" s="819" t="s">
        <v>3295</v>
      </c>
      <c r="C206" s="819" t="s">
        <v>3295</v>
      </c>
      <c r="D206" s="819" t="s">
        <v>3295</v>
      </c>
      <c r="E206" s="819" t="s">
        <v>3295</v>
      </c>
      <c r="F206" s="819" t="s">
        <v>3295</v>
      </c>
      <c r="G206" s="819" t="s">
        <v>3295</v>
      </c>
      <c r="H206" s="819" t="s">
        <v>3295</v>
      </c>
      <c r="I206" s="819" t="s">
        <v>3295</v>
      </c>
      <c r="J206" s="819" t="s">
        <v>3295</v>
      </c>
      <c r="K206" s="819" t="s">
        <v>3295</v>
      </c>
      <c r="L206" s="819" t="s">
        <v>3295</v>
      </c>
      <c r="M206" s="819" t="s">
        <v>3295</v>
      </c>
    </row>
    <row r="207" spans="1:13" ht="20.399999999999999" customHeight="1" x14ac:dyDescent="0.2">
      <c r="A207" s="817"/>
      <c r="B207" s="819"/>
      <c r="C207" s="819"/>
      <c r="D207" s="819"/>
      <c r="E207" s="819"/>
      <c r="F207" s="819"/>
      <c r="G207" s="819"/>
      <c r="H207" s="819"/>
      <c r="I207" s="819"/>
      <c r="J207" s="819"/>
      <c r="K207" s="819"/>
      <c r="L207" s="819"/>
      <c r="M207" s="819"/>
    </row>
    <row r="208" spans="1:13" ht="13.8" x14ac:dyDescent="0.4">
      <c r="A208" s="356">
        <v>1</v>
      </c>
      <c r="B208" s="358">
        <v>15.8</v>
      </c>
      <c r="C208" s="358">
        <v>1.2</v>
      </c>
      <c r="D208" s="358">
        <v>12</v>
      </c>
      <c r="E208" s="358">
        <v>6.5</v>
      </c>
      <c r="F208" s="358">
        <v>37</v>
      </c>
      <c r="G208" s="358">
        <v>0</v>
      </c>
      <c r="H208" s="358">
        <v>0</v>
      </c>
      <c r="I208" s="358">
        <v>0</v>
      </c>
      <c r="J208" s="358">
        <v>0</v>
      </c>
      <c r="K208" s="358">
        <v>0</v>
      </c>
      <c r="L208" s="358">
        <v>0</v>
      </c>
      <c r="M208" s="358">
        <v>0</v>
      </c>
    </row>
    <row r="209" spans="1:13" ht="13.8" x14ac:dyDescent="0.4">
      <c r="A209" s="356">
        <f t="shared" ref="A209:A238" si="98">A208+1</f>
        <v>2</v>
      </c>
      <c r="B209" s="358">
        <v>0.3</v>
      </c>
      <c r="C209" s="358">
        <v>0.2</v>
      </c>
      <c r="D209" s="358">
        <v>27.6</v>
      </c>
      <c r="E209" s="358">
        <v>28.4</v>
      </c>
      <c r="F209" s="358">
        <v>0</v>
      </c>
      <c r="G209" s="358">
        <v>0</v>
      </c>
      <c r="H209" s="358">
        <v>0</v>
      </c>
      <c r="I209" s="358">
        <v>0</v>
      </c>
      <c r="J209" s="358">
        <v>0</v>
      </c>
      <c r="K209" s="358">
        <v>0</v>
      </c>
      <c r="L209" s="358">
        <v>0</v>
      </c>
      <c r="M209" s="358">
        <v>0</v>
      </c>
    </row>
    <row r="210" spans="1:13" ht="13.8" x14ac:dyDescent="0.4">
      <c r="A210" s="356">
        <f t="shared" si="98"/>
        <v>3</v>
      </c>
      <c r="B210" s="358">
        <v>0</v>
      </c>
      <c r="C210" s="358">
        <v>0</v>
      </c>
      <c r="D210" s="358">
        <v>3.2</v>
      </c>
      <c r="E210" s="358">
        <v>0</v>
      </c>
      <c r="F210" s="358">
        <v>0</v>
      </c>
      <c r="G210" s="358">
        <v>0</v>
      </c>
      <c r="H210" s="358">
        <v>0</v>
      </c>
      <c r="I210" s="358">
        <v>0</v>
      </c>
      <c r="J210" s="358">
        <v>0</v>
      </c>
      <c r="K210" s="358">
        <v>0</v>
      </c>
      <c r="L210" s="358">
        <v>0</v>
      </c>
      <c r="M210" s="358">
        <v>0</v>
      </c>
    </row>
    <row r="211" spans="1:13" ht="13.8" x14ac:dyDescent="0.4">
      <c r="A211" s="356">
        <f t="shared" si="98"/>
        <v>4</v>
      </c>
      <c r="B211" s="358">
        <v>0</v>
      </c>
      <c r="C211" s="358">
        <v>0</v>
      </c>
      <c r="D211" s="358">
        <v>0</v>
      </c>
      <c r="E211" s="358">
        <v>2.2000000000000002</v>
      </c>
      <c r="F211" s="358">
        <v>0</v>
      </c>
      <c r="G211" s="358">
        <v>0</v>
      </c>
      <c r="H211" s="358">
        <v>0</v>
      </c>
      <c r="I211" s="358">
        <v>5</v>
      </c>
      <c r="J211" s="358">
        <v>0</v>
      </c>
      <c r="K211" s="358">
        <v>0</v>
      </c>
      <c r="L211" s="358">
        <v>0.2</v>
      </c>
      <c r="M211" s="358">
        <v>0</v>
      </c>
    </row>
    <row r="212" spans="1:13" ht="13.8" x14ac:dyDescent="0.4">
      <c r="A212" s="356">
        <f t="shared" si="98"/>
        <v>5</v>
      </c>
      <c r="B212" s="358">
        <v>0</v>
      </c>
      <c r="C212" s="358">
        <v>15.8</v>
      </c>
      <c r="D212" s="358">
        <v>30.5</v>
      </c>
      <c r="E212" s="358">
        <v>35.6</v>
      </c>
      <c r="F212" s="358">
        <v>0</v>
      </c>
      <c r="G212" s="358">
        <v>0</v>
      </c>
      <c r="H212" s="358">
        <v>1.3</v>
      </c>
      <c r="I212" s="358">
        <v>0</v>
      </c>
      <c r="J212" s="358">
        <v>0</v>
      </c>
      <c r="K212" s="358">
        <v>0</v>
      </c>
      <c r="L212" s="358">
        <v>0</v>
      </c>
      <c r="M212" s="358">
        <v>36.6</v>
      </c>
    </row>
    <row r="213" spans="1:13" ht="13.8" x14ac:dyDescent="0.4">
      <c r="A213" s="356">
        <f t="shared" si="98"/>
        <v>6</v>
      </c>
      <c r="B213" s="358">
        <v>0</v>
      </c>
      <c r="C213" s="358">
        <v>12.4</v>
      </c>
      <c r="D213" s="358">
        <v>1.8</v>
      </c>
      <c r="E213" s="358">
        <v>2</v>
      </c>
      <c r="F213" s="358">
        <v>19.3</v>
      </c>
      <c r="G213" s="358">
        <v>0</v>
      </c>
      <c r="H213" s="358">
        <v>0</v>
      </c>
      <c r="I213" s="358">
        <v>0</v>
      </c>
      <c r="J213" s="358">
        <v>0</v>
      </c>
      <c r="K213" s="358">
        <v>0</v>
      </c>
      <c r="L213" s="358">
        <v>0</v>
      </c>
      <c r="M213" s="358">
        <v>29</v>
      </c>
    </row>
    <row r="214" spans="1:13" ht="13.8" x14ac:dyDescent="0.4">
      <c r="A214" s="356">
        <f t="shared" si="98"/>
        <v>7</v>
      </c>
      <c r="B214" s="358">
        <v>0</v>
      </c>
      <c r="C214" s="358">
        <v>3.4</v>
      </c>
      <c r="D214" s="358">
        <v>12.5</v>
      </c>
      <c r="E214" s="358">
        <v>0</v>
      </c>
      <c r="F214" s="358">
        <v>0</v>
      </c>
      <c r="G214" s="358">
        <v>0</v>
      </c>
      <c r="H214" s="358">
        <v>0</v>
      </c>
      <c r="I214" s="358">
        <v>0</v>
      </c>
      <c r="J214" s="358">
        <v>0</v>
      </c>
      <c r="K214" s="358">
        <v>0</v>
      </c>
      <c r="L214" s="358">
        <v>0</v>
      </c>
      <c r="M214" s="358">
        <v>1.5</v>
      </c>
    </row>
    <row r="215" spans="1:13" ht="13.8" x14ac:dyDescent="0.4">
      <c r="A215" s="356">
        <f t="shared" si="98"/>
        <v>8</v>
      </c>
      <c r="B215" s="358">
        <v>28</v>
      </c>
      <c r="C215" s="358">
        <v>92.7</v>
      </c>
      <c r="D215" s="358">
        <v>0</v>
      </c>
      <c r="E215" s="358">
        <v>43.5</v>
      </c>
      <c r="F215" s="358">
        <v>5.5</v>
      </c>
      <c r="G215" s="358">
        <v>0</v>
      </c>
      <c r="H215" s="358">
        <v>0</v>
      </c>
      <c r="I215" s="358">
        <v>0</v>
      </c>
      <c r="J215" s="358">
        <v>0</v>
      </c>
      <c r="K215" s="358">
        <v>0</v>
      </c>
      <c r="L215" s="358">
        <v>0</v>
      </c>
      <c r="M215" s="358">
        <v>0.6</v>
      </c>
    </row>
    <row r="216" spans="1:13" ht="13.8" x14ac:dyDescent="0.4">
      <c r="A216" s="356">
        <f t="shared" si="98"/>
        <v>9</v>
      </c>
      <c r="B216" s="358">
        <v>20.3</v>
      </c>
      <c r="C216" s="358">
        <v>2</v>
      </c>
      <c r="D216" s="358">
        <v>0</v>
      </c>
      <c r="E216" s="358">
        <v>47.7</v>
      </c>
      <c r="F216" s="358">
        <v>1</v>
      </c>
      <c r="G216" s="358">
        <v>0</v>
      </c>
      <c r="H216" s="358">
        <v>0</v>
      </c>
      <c r="I216" s="358">
        <v>0</v>
      </c>
      <c r="J216" s="358">
        <v>0</v>
      </c>
      <c r="K216" s="358">
        <v>0</v>
      </c>
      <c r="L216" s="358">
        <v>0</v>
      </c>
      <c r="M216" s="358">
        <v>12.8</v>
      </c>
    </row>
    <row r="217" spans="1:13" ht="13.8" x14ac:dyDescent="0.4">
      <c r="A217" s="356">
        <f t="shared" si="98"/>
        <v>10</v>
      </c>
      <c r="B217" s="358">
        <v>0</v>
      </c>
      <c r="C217" s="358">
        <v>0</v>
      </c>
      <c r="D217" s="358">
        <v>0</v>
      </c>
      <c r="E217" s="358">
        <v>0</v>
      </c>
      <c r="F217" s="358">
        <v>17.2</v>
      </c>
      <c r="G217" s="358">
        <v>0</v>
      </c>
      <c r="H217" s="358">
        <v>0</v>
      </c>
      <c r="I217" s="358">
        <v>0</v>
      </c>
      <c r="J217" s="358">
        <v>0</v>
      </c>
      <c r="K217" s="358">
        <v>0</v>
      </c>
      <c r="L217" s="358">
        <v>0</v>
      </c>
      <c r="M217" s="358">
        <v>34.5</v>
      </c>
    </row>
    <row r="218" spans="1:13" ht="13.8" x14ac:dyDescent="0.4">
      <c r="A218" s="356">
        <f t="shared" si="98"/>
        <v>11</v>
      </c>
      <c r="B218" s="358">
        <v>1</v>
      </c>
      <c r="C218" s="358">
        <v>0</v>
      </c>
      <c r="D218" s="358">
        <v>0.3</v>
      </c>
      <c r="E218" s="358">
        <v>1</v>
      </c>
      <c r="F218" s="358">
        <v>0</v>
      </c>
      <c r="G218" s="358">
        <v>0</v>
      </c>
      <c r="H218" s="358">
        <v>0</v>
      </c>
      <c r="I218" s="358">
        <v>0</v>
      </c>
      <c r="J218" s="358">
        <v>0</v>
      </c>
      <c r="K218" s="358">
        <v>0</v>
      </c>
      <c r="L218" s="358">
        <v>0</v>
      </c>
      <c r="M218" s="358">
        <v>1.2</v>
      </c>
    </row>
    <row r="219" spans="1:13" ht="13.8" x14ac:dyDescent="0.4">
      <c r="A219" s="356">
        <f t="shared" si="98"/>
        <v>12</v>
      </c>
      <c r="B219" s="358">
        <v>1.4</v>
      </c>
      <c r="C219" s="358">
        <v>1</v>
      </c>
      <c r="D219" s="358">
        <v>1</v>
      </c>
      <c r="E219" s="358">
        <v>0.9</v>
      </c>
      <c r="F219" s="358">
        <v>0</v>
      </c>
      <c r="G219" s="358">
        <v>0</v>
      </c>
      <c r="H219" s="358">
        <v>0</v>
      </c>
      <c r="I219" s="358">
        <v>0</v>
      </c>
      <c r="J219" s="358">
        <v>0</v>
      </c>
      <c r="K219" s="358">
        <v>0</v>
      </c>
      <c r="L219" s="358">
        <v>0</v>
      </c>
      <c r="M219" s="358">
        <v>0</v>
      </c>
    </row>
    <row r="220" spans="1:13" ht="13.8" x14ac:dyDescent="0.4">
      <c r="A220" s="356">
        <f t="shared" si="98"/>
        <v>13</v>
      </c>
      <c r="B220" s="358">
        <v>29.8</v>
      </c>
      <c r="C220" s="358">
        <v>1.7</v>
      </c>
      <c r="D220" s="358">
        <v>0.8</v>
      </c>
      <c r="E220" s="358">
        <v>2.6</v>
      </c>
      <c r="F220" s="358">
        <v>4.4000000000000004</v>
      </c>
      <c r="G220" s="358">
        <v>0</v>
      </c>
      <c r="H220" s="358">
        <v>0</v>
      </c>
      <c r="I220" s="358">
        <v>0</v>
      </c>
      <c r="J220" s="358">
        <v>0</v>
      </c>
      <c r="K220" s="358">
        <v>0</v>
      </c>
      <c r="L220" s="358">
        <v>0</v>
      </c>
      <c r="M220" s="358">
        <v>0</v>
      </c>
    </row>
    <row r="221" spans="1:13" ht="13.8" x14ac:dyDescent="0.4">
      <c r="A221" s="356">
        <f t="shared" si="98"/>
        <v>14</v>
      </c>
      <c r="B221" s="358">
        <v>0.4</v>
      </c>
      <c r="C221" s="358">
        <v>0</v>
      </c>
      <c r="D221" s="358">
        <v>0</v>
      </c>
      <c r="E221" s="358">
        <v>6</v>
      </c>
      <c r="F221" s="358">
        <v>0</v>
      </c>
      <c r="G221" s="358">
        <v>0</v>
      </c>
      <c r="H221" s="358">
        <v>0</v>
      </c>
      <c r="I221" s="358">
        <v>0</v>
      </c>
      <c r="J221" s="358">
        <v>0</v>
      </c>
      <c r="K221" s="358">
        <v>0</v>
      </c>
      <c r="L221" s="358">
        <v>23</v>
      </c>
      <c r="M221" s="358">
        <v>0</v>
      </c>
    </row>
    <row r="222" spans="1:13" ht="13.8" x14ac:dyDescent="0.4">
      <c r="A222" s="356">
        <f t="shared" si="98"/>
        <v>15</v>
      </c>
      <c r="B222" s="358">
        <v>0.2</v>
      </c>
      <c r="C222" s="358">
        <v>7.5</v>
      </c>
      <c r="D222" s="358">
        <v>2.1</v>
      </c>
      <c r="E222" s="358">
        <v>7.3</v>
      </c>
      <c r="F222" s="358">
        <v>0</v>
      </c>
      <c r="G222" s="358">
        <v>0</v>
      </c>
      <c r="H222" s="358">
        <v>0</v>
      </c>
      <c r="I222" s="358">
        <v>0</v>
      </c>
      <c r="J222" s="358">
        <v>0</v>
      </c>
      <c r="K222" s="358">
        <v>0</v>
      </c>
      <c r="L222" s="358">
        <v>0</v>
      </c>
      <c r="M222" s="358">
        <v>16.5</v>
      </c>
    </row>
    <row r="223" spans="1:13" ht="13.8" x14ac:dyDescent="0.4">
      <c r="A223" s="356">
        <f t="shared" si="98"/>
        <v>16</v>
      </c>
      <c r="B223" s="358">
        <v>1</v>
      </c>
      <c r="C223" s="358">
        <v>62</v>
      </c>
      <c r="D223" s="358">
        <v>5.7</v>
      </c>
      <c r="E223" s="358">
        <v>6.6</v>
      </c>
      <c r="F223" s="358">
        <v>17.399999999999999</v>
      </c>
      <c r="G223" s="358">
        <v>0</v>
      </c>
      <c r="H223" s="358">
        <v>0</v>
      </c>
      <c r="I223" s="358">
        <v>0</v>
      </c>
      <c r="J223" s="358">
        <v>1.5</v>
      </c>
      <c r="K223" s="358">
        <v>0</v>
      </c>
      <c r="L223" s="358">
        <v>0</v>
      </c>
      <c r="M223" s="358">
        <v>46</v>
      </c>
    </row>
    <row r="224" spans="1:13" ht="13.8" x14ac:dyDescent="0.4">
      <c r="A224" s="356">
        <f t="shared" si="98"/>
        <v>17</v>
      </c>
      <c r="B224" s="358">
        <v>2.4</v>
      </c>
      <c r="C224" s="358">
        <v>31</v>
      </c>
      <c r="D224" s="358">
        <v>3.8</v>
      </c>
      <c r="E224" s="358">
        <v>0.2</v>
      </c>
      <c r="F224" s="358">
        <v>0</v>
      </c>
      <c r="G224" s="358">
        <v>0</v>
      </c>
      <c r="H224" s="358">
        <v>0</v>
      </c>
      <c r="I224" s="358">
        <v>0</v>
      </c>
      <c r="J224" s="358">
        <v>0</v>
      </c>
      <c r="K224" s="358">
        <v>0</v>
      </c>
      <c r="L224" s="358">
        <v>0</v>
      </c>
      <c r="M224" s="358">
        <v>0.2</v>
      </c>
    </row>
    <row r="225" spans="1:13" ht="13.8" x14ac:dyDescent="0.4">
      <c r="A225" s="356">
        <f t="shared" si="98"/>
        <v>18</v>
      </c>
      <c r="B225" s="358">
        <v>24.4</v>
      </c>
      <c r="C225" s="358">
        <v>0</v>
      </c>
      <c r="D225" s="358">
        <v>0.6</v>
      </c>
      <c r="E225" s="358">
        <v>0</v>
      </c>
      <c r="F225" s="358">
        <v>0</v>
      </c>
      <c r="G225" s="358">
        <v>0</v>
      </c>
      <c r="H225" s="358">
        <v>0</v>
      </c>
      <c r="I225" s="358">
        <v>0</v>
      </c>
      <c r="J225" s="358">
        <v>0</v>
      </c>
      <c r="K225" s="358">
        <v>0</v>
      </c>
      <c r="L225" s="358">
        <v>0</v>
      </c>
      <c r="M225" s="358">
        <v>27.5</v>
      </c>
    </row>
    <row r="226" spans="1:13" ht="13.8" x14ac:dyDescent="0.4">
      <c r="A226" s="356">
        <f t="shared" si="98"/>
        <v>19</v>
      </c>
      <c r="B226" s="358">
        <v>3.5</v>
      </c>
      <c r="C226" s="358">
        <v>0</v>
      </c>
      <c r="D226" s="358">
        <v>2.6</v>
      </c>
      <c r="E226" s="358">
        <v>0</v>
      </c>
      <c r="F226" s="358">
        <v>0</v>
      </c>
      <c r="G226" s="358">
        <v>0</v>
      </c>
      <c r="H226" s="358">
        <v>0</v>
      </c>
      <c r="I226" s="358">
        <v>0</v>
      </c>
      <c r="J226" s="358">
        <v>0</v>
      </c>
      <c r="K226" s="358">
        <v>0</v>
      </c>
      <c r="L226" s="358">
        <v>0</v>
      </c>
      <c r="M226" s="358">
        <v>21</v>
      </c>
    </row>
    <row r="227" spans="1:13" ht="13.8" x14ac:dyDescent="0.4">
      <c r="A227" s="356">
        <f t="shared" si="98"/>
        <v>20</v>
      </c>
      <c r="B227" s="358">
        <v>31</v>
      </c>
      <c r="C227" s="358">
        <v>4.8</v>
      </c>
      <c r="D227" s="358">
        <v>3.6</v>
      </c>
      <c r="E227" s="358">
        <v>0</v>
      </c>
      <c r="F227" s="358">
        <v>0</v>
      </c>
      <c r="G227" s="358">
        <v>0</v>
      </c>
      <c r="H227" s="358">
        <v>0</v>
      </c>
      <c r="I227" s="358">
        <v>0</v>
      </c>
      <c r="J227" s="358">
        <v>0</v>
      </c>
      <c r="K227" s="358">
        <v>0</v>
      </c>
      <c r="L227" s="358">
        <v>0</v>
      </c>
      <c r="M227" s="358">
        <v>0.6</v>
      </c>
    </row>
    <row r="228" spans="1:13" ht="13.8" x14ac:dyDescent="0.4">
      <c r="A228" s="356">
        <f t="shared" si="98"/>
        <v>21</v>
      </c>
      <c r="B228" s="358">
        <v>0</v>
      </c>
      <c r="C228" s="358">
        <v>0</v>
      </c>
      <c r="D228" s="358">
        <v>0</v>
      </c>
      <c r="E228" s="358">
        <v>1</v>
      </c>
      <c r="F228" s="358">
        <v>0</v>
      </c>
      <c r="G228" s="358">
        <v>0</v>
      </c>
      <c r="H228" s="358">
        <v>1</v>
      </c>
      <c r="I228" s="358">
        <v>0</v>
      </c>
      <c r="J228" s="358">
        <v>0</v>
      </c>
      <c r="K228" s="358">
        <v>0</v>
      </c>
      <c r="L228" s="358">
        <v>0</v>
      </c>
      <c r="M228" s="358">
        <v>0.2</v>
      </c>
    </row>
    <row r="229" spans="1:13" ht="13.8" x14ac:dyDescent="0.4">
      <c r="A229" s="356">
        <f t="shared" si="98"/>
        <v>22</v>
      </c>
      <c r="B229" s="358">
        <v>18.5</v>
      </c>
      <c r="C229" s="358">
        <v>0</v>
      </c>
      <c r="D229" s="358">
        <v>34.5</v>
      </c>
      <c r="E229" s="358">
        <v>0</v>
      </c>
      <c r="F229" s="358">
        <v>0</v>
      </c>
      <c r="G229" s="358">
        <v>0</v>
      </c>
      <c r="H229" s="358">
        <v>0</v>
      </c>
      <c r="I229" s="358">
        <v>0</v>
      </c>
      <c r="J229" s="358">
        <v>0</v>
      </c>
      <c r="K229" s="358">
        <v>0</v>
      </c>
      <c r="L229" s="358">
        <v>0</v>
      </c>
      <c r="M229" s="358">
        <v>0</v>
      </c>
    </row>
    <row r="230" spans="1:13" ht="13.8" x14ac:dyDescent="0.4">
      <c r="A230" s="356">
        <f t="shared" si="98"/>
        <v>23</v>
      </c>
      <c r="B230" s="358">
        <v>57.4</v>
      </c>
      <c r="C230" s="358">
        <v>2.5</v>
      </c>
      <c r="D230" s="358">
        <v>2.4</v>
      </c>
      <c r="E230" s="358">
        <v>0</v>
      </c>
      <c r="F230" s="358">
        <v>0</v>
      </c>
      <c r="G230" s="358">
        <v>0</v>
      </c>
      <c r="H230" s="358">
        <v>0</v>
      </c>
      <c r="I230" s="358">
        <v>0</v>
      </c>
      <c r="J230" s="358">
        <v>0</v>
      </c>
      <c r="K230" s="358">
        <v>0</v>
      </c>
      <c r="L230" s="358">
        <v>0</v>
      </c>
      <c r="M230" s="358">
        <v>9.4</v>
      </c>
    </row>
    <row r="231" spans="1:13" ht="13.8" x14ac:dyDescent="0.4">
      <c r="A231" s="356">
        <f t="shared" si="98"/>
        <v>24</v>
      </c>
      <c r="B231" s="358">
        <v>8</v>
      </c>
      <c r="C231" s="358">
        <v>18</v>
      </c>
      <c r="D231" s="358">
        <v>0.4</v>
      </c>
      <c r="E231" s="358">
        <v>0</v>
      </c>
      <c r="F231" s="358">
        <v>0</v>
      </c>
      <c r="G231" s="358">
        <v>0</v>
      </c>
      <c r="H231" s="358">
        <v>0</v>
      </c>
      <c r="I231" s="358">
        <v>0</v>
      </c>
      <c r="J231" s="358">
        <v>0</v>
      </c>
      <c r="K231" s="358">
        <v>0</v>
      </c>
      <c r="L231" s="358">
        <v>0</v>
      </c>
      <c r="M231" s="358">
        <v>0</v>
      </c>
    </row>
    <row r="232" spans="1:13" ht="13.8" x14ac:dyDescent="0.4">
      <c r="A232" s="356">
        <f t="shared" si="98"/>
        <v>25</v>
      </c>
      <c r="B232" s="358">
        <v>4.5</v>
      </c>
      <c r="C232" s="358">
        <v>0.5</v>
      </c>
      <c r="D232" s="358">
        <v>35.5</v>
      </c>
      <c r="E232" s="358">
        <v>0</v>
      </c>
      <c r="F232" s="358">
        <v>0</v>
      </c>
      <c r="G232" s="358">
        <v>0</v>
      </c>
      <c r="H232" s="358">
        <v>0</v>
      </c>
      <c r="I232" s="358">
        <v>0</v>
      </c>
      <c r="J232" s="358">
        <v>0</v>
      </c>
      <c r="K232" s="358">
        <v>0</v>
      </c>
      <c r="L232" s="358">
        <v>1</v>
      </c>
      <c r="M232" s="358">
        <v>0</v>
      </c>
    </row>
    <row r="233" spans="1:13" ht="13.8" x14ac:dyDescent="0.4">
      <c r="A233" s="356">
        <f t="shared" si="98"/>
        <v>26</v>
      </c>
      <c r="B233" s="358">
        <v>14.4</v>
      </c>
      <c r="C233" s="358">
        <v>0</v>
      </c>
      <c r="D233" s="358">
        <v>0.9</v>
      </c>
      <c r="E233" s="358">
        <v>5.5</v>
      </c>
      <c r="F233" s="358">
        <v>0</v>
      </c>
      <c r="G233" s="358">
        <v>0</v>
      </c>
      <c r="H233" s="358">
        <v>0</v>
      </c>
      <c r="I233" s="358">
        <v>0</v>
      </c>
      <c r="J233" s="358">
        <v>0</v>
      </c>
      <c r="K233" s="358">
        <v>0</v>
      </c>
      <c r="L233" s="358">
        <v>0</v>
      </c>
      <c r="M233" s="358">
        <v>26</v>
      </c>
    </row>
    <row r="234" spans="1:13" ht="13.8" x14ac:dyDescent="0.4">
      <c r="A234" s="356">
        <f t="shared" si="98"/>
        <v>27</v>
      </c>
      <c r="B234" s="358">
        <v>52.5</v>
      </c>
      <c r="C234" s="358">
        <v>0</v>
      </c>
      <c r="D234" s="358">
        <v>0</v>
      </c>
      <c r="E234" s="358">
        <v>0.4</v>
      </c>
      <c r="F234" s="358">
        <v>0</v>
      </c>
      <c r="G234" s="358">
        <v>0</v>
      </c>
      <c r="H234" s="358">
        <v>0</v>
      </c>
      <c r="I234" s="358">
        <v>0</v>
      </c>
      <c r="J234" s="358">
        <v>11</v>
      </c>
      <c r="K234" s="358">
        <v>0</v>
      </c>
      <c r="L234" s="358">
        <v>0</v>
      </c>
      <c r="M234" s="358">
        <v>3.5</v>
      </c>
    </row>
    <row r="235" spans="1:13" ht="13.8" x14ac:dyDescent="0.4">
      <c r="A235" s="356">
        <f t="shared" si="98"/>
        <v>28</v>
      </c>
      <c r="B235" s="358">
        <v>49.5</v>
      </c>
      <c r="C235" s="358">
        <v>0</v>
      </c>
      <c r="D235" s="358">
        <v>7</v>
      </c>
      <c r="E235" s="358">
        <v>0</v>
      </c>
      <c r="F235" s="358">
        <v>0</v>
      </c>
      <c r="G235" s="358">
        <v>0</v>
      </c>
      <c r="H235" s="358">
        <v>0</v>
      </c>
      <c r="I235" s="358">
        <v>0</v>
      </c>
      <c r="J235" s="358">
        <v>0.2</v>
      </c>
      <c r="K235" s="358">
        <v>0</v>
      </c>
      <c r="L235" s="358">
        <v>0.4</v>
      </c>
      <c r="M235" s="358">
        <v>86</v>
      </c>
    </row>
    <row r="236" spans="1:13" ht="13.8" x14ac:dyDescent="0.4">
      <c r="A236" s="356">
        <f t="shared" si="98"/>
        <v>29</v>
      </c>
      <c r="B236" s="358">
        <v>4.9000000000000004</v>
      </c>
      <c r="C236" s="357"/>
      <c r="D236" s="358">
        <v>2</v>
      </c>
      <c r="E236" s="358">
        <v>9.9</v>
      </c>
      <c r="F236" s="358">
        <v>0</v>
      </c>
      <c r="G236" s="358">
        <v>0</v>
      </c>
      <c r="H236" s="358">
        <v>0</v>
      </c>
      <c r="I236" s="358">
        <v>0</v>
      </c>
      <c r="J236" s="358">
        <v>48</v>
      </c>
      <c r="K236" s="358">
        <v>0</v>
      </c>
      <c r="L236" s="358">
        <v>0</v>
      </c>
      <c r="M236" s="358">
        <v>0.8</v>
      </c>
    </row>
    <row r="237" spans="1:13" ht="13.8" x14ac:dyDescent="0.4">
      <c r="A237" s="356">
        <f t="shared" si="98"/>
        <v>30</v>
      </c>
      <c r="B237" s="358">
        <v>1.4</v>
      </c>
      <c r="C237" s="357"/>
      <c r="D237" s="358">
        <v>21</v>
      </c>
      <c r="E237" s="358">
        <v>4</v>
      </c>
      <c r="F237" s="358">
        <v>0</v>
      </c>
      <c r="G237" s="358">
        <v>0</v>
      </c>
      <c r="H237" s="358">
        <v>0</v>
      </c>
      <c r="I237" s="358">
        <v>0</v>
      </c>
      <c r="J237" s="358">
        <v>0</v>
      </c>
      <c r="K237" s="358">
        <v>0</v>
      </c>
      <c r="L237" s="358">
        <v>24</v>
      </c>
      <c r="M237" s="358">
        <v>16.399999999999999</v>
      </c>
    </row>
    <row r="238" spans="1:13" ht="13.8" x14ac:dyDescent="0.4">
      <c r="A238" s="356">
        <f t="shared" si="98"/>
        <v>31</v>
      </c>
      <c r="B238" s="358">
        <v>0</v>
      </c>
      <c r="C238" s="357"/>
      <c r="D238" s="358">
        <v>0</v>
      </c>
      <c r="E238" s="357"/>
      <c r="F238" s="358">
        <v>0</v>
      </c>
      <c r="G238" s="357"/>
      <c r="H238" s="358">
        <v>0</v>
      </c>
      <c r="I238" s="358">
        <v>0</v>
      </c>
      <c r="J238" s="357"/>
      <c r="K238" s="358">
        <v>0</v>
      </c>
      <c r="L238" s="357"/>
      <c r="M238" s="358">
        <v>2.5</v>
      </c>
    </row>
    <row r="239" spans="1:13" ht="13.8" x14ac:dyDescent="0.4">
      <c r="A239" s="356" t="s">
        <v>3296</v>
      </c>
      <c r="B239" s="357">
        <f>MAX(B208:B238)</f>
        <v>57.4</v>
      </c>
      <c r="C239" s="357">
        <f t="shared" ref="C239" si="99">MAX(C208:C238)</f>
        <v>92.7</v>
      </c>
      <c r="D239" s="357">
        <f t="shared" ref="D239" si="100">MAX(D208:D238)</f>
        <v>35.5</v>
      </c>
      <c r="E239" s="357">
        <f t="shared" ref="E239" si="101">MAX(E208:E238)</f>
        <v>47.7</v>
      </c>
      <c r="F239" s="357">
        <f t="shared" ref="F239" si="102">MAX(F208:F238)</f>
        <v>37</v>
      </c>
      <c r="G239" s="357">
        <f t="shared" ref="G239" si="103">MAX(G208:G238)</f>
        <v>0</v>
      </c>
      <c r="H239" s="357">
        <f t="shared" ref="H239" si="104">MAX(H208:H238)</f>
        <v>1.3</v>
      </c>
      <c r="I239" s="357">
        <f>MAX(I208:I238)</f>
        <v>5</v>
      </c>
      <c r="J239" s="357">
        <f t="shared" ref="J239" si="105">MAX(J208:J238)</f>
        <v>48</v>
      </c>
      <c r="K239" s="357">
        <f t="shared" ref="K239" si="106">MAX(K208:K238)</f>
        <v>0</v>
      </c>
      <c r="L239" s="357">
        <f t="shared" ref="L239" si="107">MAX(L208:L238)</f>
        <v>24</v>
      </c>
      <c r="M239" s="357">
        <f t="shared" ref="M239" si="108">MAX(M208:M238)</f>
        <v>86</v>
      </c>
    </row>
    <row r="240" spans="1:13" ht="13.8" x14ac:dyDescent="0.4">
      <c r="A240" s="356" t="s">
        <v>4798</v>
      </c>
      <c r="B240" s="357">
        <f>SUM(B208:B238)</f>
        <v>370.59999999999997</v>
      </c>
      <c r="C240" s="357">
        <f t="shared" ref="C240:M240" si="109">SUM(C208:C238)</f>
        <v>256.7</v>
      </c>
      <c r="D240" s="357">
        <f t="shared" si="109"/>
        <v>211.79999999999998</v>
      </c>
      <c r="E240" s="357">
        <f t="shared" si="109"/>
        <v>211.3</v>
      </c>
      <c r="F240" s="357">
        <f t="shared" si="109"/>
        <v>101.80000000000001</v>
      </c>
      <c r="G240" s="357">
        <f t="shared" si="109"/>
        <v>0</v>
      </c>
      <c r="H240" s="357">
        <f t="shared" si="109"/>
        <v>2.2999999999999998</v>
      </c>
      <c r="I240" s="357">
        <f t="shared" si="109"/>
        <v>5</v>
      </c>
      <c r="J240" s="357">
        <f t="shared" si="109"/>
        <v>60.7</v>
      </c>
      <c r="K240" s="357">
        <f t="shared" si="109"/>
        <v>0</v>
      </c>
      <c r="L240" s="357">
        <f t="shared" si="109"/>
        <v>48.599999999999994</v>
      </c>
      <c r="M240" s="357">
        <f t="shared" si="109"/>
        <v>372.79999999999995</v>
      </c>
    </row>
    <row r="241" spans="1:13" ht="13.8" x14ac:dyDescent="0.4">
      <c r="A241" s="356" t="s">
        <v>4799</v>
      </c>
      <c r="B241" s="357">
        <f>COUNTIF(B208:B238,"&gt;2")</f>
        <v>16</v>
      </c>
      <c r="C241" s="357">
        <f t="shared" ref="C241:M241" si="110">COUNTIF(C208:C238,"&gt;2")</f>
        <v>10</v>
      </c>
      <c r="D241" s="357">
        <f t="shared" si="110"/>
        <v>15</v>
      </c>
      <c r="E241" s="357">
        <f t="shared" si="110"/>
        <v>13</v>
      </c>
      <c r="F241" s="357">
        <f t="shared" si="110"/>
        <v>6</v>
      </c>
      <c r="G241" s="357">
        <f t="shared" si="110"/>
        <v>0</v>
      </c>
      <c r="H241" s="357">
        <f t="shared" si="110"/>
        <v>0</v>
      </c>
      <c r="I241" s="357">
        <f t="shared" si="110"/>
        <v>1</v>
      </c>
      <c r="J241" s="357">
        <f t="shared" si="110"/>
        <v>2</v>
      </c>
      <c r="K241" s="357">
        <f t="shared" si="110"/>
        <v>0</v>
      </c>
      <c r="L241" s="357">
        <f t="shared" si="110"/>
        <v>2</v>
      </c>
      <c r="M241" s="357">
        <f t="shared" si="110"/>
        <v>14</v>
      </c>
    </row>
    <row r="242" spans="1:13" ht="13.8" x14ac:dyDescent="0.4">
      <c r="A242" s="356" t="s">
        <v>4800</v>
      </c>
      <c r="B242" s="357">
        <f>B240/B241</f>
        <v>23.162499999999998</v>
      </c>
      <c r="C242" s="357">
        <f t="shared" ref="C242" si="111">C240/C241</f>
        <v>25.669999999999998</v>
      </c>
      <c r="D242" s="357">
        <f t="shared" ref="D242" si="112">D240/D241</f>
        <v>14.12</v>
      </c>
      <c r="E242" s="357">
        <f t="shared" ref="E242" si="113">E240/E241</f>
        <v>16.253846153846155</v>
      </c>
      <c r="F242" s="357">
        <f t="shared" ref="F242" si="114">F240/F241</f>
        <v>16.966666666666669</v>
      </c>
      <c r="G242" s="357" t="e">
        <f t="shared" ref="G242" si="115">G240/G241</f>
        <v>#DIV/0!</v>
      </c>
      <c r="H242" s="357" t="e">
        <f t="shared" ref="H242" si="116">H240/H241</f>
        <v>#DIV/0!</v>
      </c>
      <c r="I242" s="357">
        <f t="shared" ref="I242" si="117">I240/I241</f>
        <v>5</v>
      </c>
      <c r="J242" s="357">
        <f t="shared" ref="J242" si="118">J240/J241</f>
        <v>30.35</v>
      </c>
      <c r="K242" s="357" t="e">
        <f t="shared" ref="K242" si="119">K240/K241</f>
        <v>#DIV/0!</v>
      </c>
      <c r="L242" s="357">
        <f t="shared" ref="L242" si="120">L240/L241</f>
        <v>24.299999999999997</v>
      </c>
      <c r="M242" s="357">
        <f t="shared" ref="M242" si="121">M240/M241</f>
        <v>26.628571428571426</v>
      </c>
    </row>
    <row r="245" spans="1:13" ht="15.6" x14ac:dyDescent="0.2">
      <c r="A245" s="817" t="s">
        <v>3273</v>
      </c>
      <c r="B245" s="818">
        <v>2020</v>
      </c>
      <c r="C245" s="818"/>
      <c r="D245" s="818"/>
      <c r="E245" s="818"/>
      <c r="F245" s="818"/>
      <c r="G245" s="818"/>
      <c r="H245" s="818"/>
      <c r="I245" s="818"/>
      <c r="J245" s="818"/>
      <c r="K245" s="818"/>
      <c r="L245" s="818"/>
      <c r="M245" s="818"/>
    </row>
    <row r="246" spans="1:13" x14ac:dyDescent="0.2">
      <c r="A246" s="817"/>
      <c r="B246" s="769" t="s">
        <v>3280</v>
      </c>
      <c r="C246" s="769" t="s">
        <v>3281</v>
      </c>
      <c r="D246" s="769" t="s">
        <v>3282</v>
      </c>
      <c r="E246" s="769" t="s">
        <v>3283</v>
      </c>
      <c r="F246" s="769" t="s">
        <v>3284</v>
      </c>
      <c r="G246" s="769" t="s">
        <v>3285</v>
      </c>
      <c r="H246" s="769" t="s">
        <v>3286</v>
      </c>
      <c r="I246" s="769" t="s">
        <v>3294</v>
      </c>
      <c r="J246" s="769" t="s">
        <v>3288</v>
      </c>
      <c r="K246" s="769" t="s">
        <v>3289</v>
      </c>
      <c r="L246" s="769" t="s">
        <v>3290</v>
      </c>
      <c r="M246" s="769" t="s">
        <v>3291</v>
      </c>
    </row>
    <row r="247" spans="1:13" ht="11.4" customHeight="1" x14ac:dyDescent="0.2">
      <c r="A247" s="817"/>
      <c r="B247" s="819" t="s">
        <v>3295</v>
      </c>
      <c r="C247" s="819" t="s">
        <v>3295</v>
      </c>
      <c r="D247" s="819" t="s">
        <v>3295</v>
      </c>
      <c r="E247" s="819" t="s">
        <v>3295</v>
      </c>
      <c r="F247" s="819" t="s">
        <v>3295</v>
      </c>
      <c r="G247" s="819" t="s">
        <v>3295</v>
      </c>
      <c r="H247" s="819" t="s">
        <v>3295</v>
      </c>
      <c r="I247" s="819" t="s">
        <v>3295</v>
      </c>
      <c r="J247" s="819" t="s">
        <v>3295</v>
      </c>
      <c r="K247" s="819" t="s">
        <v>3295</v>
      </c>
      <c r="L247" s="819" t="s">
        <v>3295</v>
      </c>
      <c r="M247" s="819" t="s">
        <v>3295</v>
      </c>
    </row>
    <row r="248" spans="1:13" ht="18" customHeight="1" x14ac:dyDescent="0.2">
      <c r="A248" s="817"/>
      <c r="B248" s="819"/>
      <c r="C248" s="819"/>
      <c r="D248" s="819"/>
      <c r="E248" s="819"/>
      <c r="F248" s="819"/>
      <c r="G248" s="819"/>
      <c r="H248" s="819"/>
      <c r="I248" s="819"/>
      <c r="J248" s="819"/>
      <c r="K248" s="819"/>
      <c r="L248" s="819"/>
      <c r="M248" s="819"/>
    </row>
    <row r="249" spans="1:13" ht="13.8" x14ac:dyDescent="0.4">
      <c r="A249" s="356">
        <v>1</v>
      </c>
      <c r="B249" s="358">
        <v>8.5</v>
      </c>
      <c r="C249" s="358">
        <v>1.6</v>
      </c>
      <c r="D249" s="358">
        <v>21.5</v>
      </c>
      <c r="E249" s="358">
        <v>0</v>
      </c>
      <c r="F249" s="358">
        <v>0</v>
      </c>
      <c r="G249" s="358">
        <v>0</v>
      </c>
      <c r="H249" s="358">
        <v>0</v>
      </c>
      <c r="I249" s="358">
        <v>0</v>
      </c>
      <c r="J249" s="358">
        <v>0</v>
      </c>
      <c r="K249" s="358">
        <v>0</v>
      </c>
      <c r="L249" s="358">
        <v>30.9</v>
      </c>
      <c r="M249" s="358">
        <v>0</v>
      </c>
    </row>
    <row r="250" spans="1:13" ht="13.8" x14ac:dyDescent="0.4">
      <c r="A250" s="356">
        <f t="shared" ref="A250:A279" si="122">A249+1</f>
        <v>2</v>
      </c>
      <c r="B250" s="358">
        <v>20.5</v>
      </c>
      <c r="C250" s="358">
        <v>2</v>
      </c>
      <c r="D250" s="358">
        <v>14.5</v>
      </c>
      <c r="E250" s="358">
        <v>0</v>
      </c>
      <c r="F250" s="358">
        <v>0</v>
      </c>
      <c r="G250" s="358">
        <v>0</v>
      </c>
      <c r="H250" s="358">
        <v>0</v>
      </c>
      <c r="I250" s="358">
        <v>0</v>
      </c>
      <c r="J250" s="358">
        <v>0</v>
      </c>
      <c r="K250" s="358">
        <v>15.5</v>
      </c>
      <c r="L250" s="358">
        <v>36.5</v>
      </c>
      <c r="M250" s="358">
        <v>0</v>
      </c>
    </row>
    <row r="251" spans="1:13" ht="13.8" x14ac:dyDescent="0.4">
      <c r="A251" s="356">
        <f t="shared" si="122"/>
        <v>3</v>
      </c>
      <c r="B251" s="358">
        <v>3.4</v>
      </c>
      <c r="C251" s="358">
        <v>1</v>
      </c>
      <c r="D251" s="358">
        <v>0</v>
      </c>
      <c r="E251" s="358">
        <v>0.4</v>
      </c>
      <c r="F251" s="358">
        <v>0</v>
      </c>
      <c r="G251" s="358">
        <v>0</v>
      </c>
      <c r="H251" s="358">
        <v>64.400000000000006</v>
      </c>
      <c r="I251" s="358">
        <v>0</v>
      </c>
      <c r="J251" s="358">
        <v>1.8</v>
      </c>
      <c r="K251" s="358">
        <v>7</v>
      </c>
      <c r="L251" s="358">
        <v>0</v>
      </c>
      <c r="M251" s="358">
        <v>54.5</v>
      </c>
    </row>
    <row r="252" spans="1:13" ht="13.8" x14ac:dyDescent="0.4">
      <c r="A252" s="356">
        <f t="shared" si="122"/>
        <v>4</v>
      </c>
      <c r="B252" s="358">
        <v>20.3</v>
      </c>
      <c r="C252" s="358">
        <v>12</v>
      </c>
      <c r="D252" s="358">
        <v>22.8</v>
      </c>
      <c r="E252" s="358">
        <v>0</v>
      </c>
      <c r="F252" s="358">
        <v>0</v>
      </c>
      <c r="G252" s="358">
        <v>0</v>
      </c>
      <c r="H252" s="358">
        <v>0</v>
      </c>
      <c r="I252" s="358">
        <v>0</v>
      </c>
      <c r="J252" s="358">
        <v>45</v>
      </c>
      <c r="K252" s="358">
        <v>0</v>
      </c>
      <c r="L252" s="358">
        <v>2.6</v>
      </c>
      <c r="M252" s="358">
        <v>0</v>
      </c>
    </row>
    <row r="253" spans="1:13" ht="13.8" x14ac:dyDescent="0.4">
      <c r="A253" s="356">
        <f t="shared" si="122"/>
        <v>5</v>
      </c>
      <c r="B253" s="358">
        <v>0.8</v>
      </c>
      <c r="C253" s="358">
        <v>0.5</v>
      </c>
      <c r="D253" s="358">
        <v>16.100000000000001</v>
      </c>
      <c r="E253" s="358">
        <v>0.4</v>
      </c>
      <c r="F253" s="358">
        <v>0</v>
      </c>
      <c r="G253" s="358">
        <v>0</v>
      </c>
      <c r="H253" s="358">
        <v>0</v>
      </c>
      <c r="I253" s="358">
        <v>0</v>
      </c>
      <c r="J253" s="358">
        <v>8.5</v>
      </c>
      <c r="K253" s="358">
        <v>0</v>
      </c>
      <c r="L253" s="358">
        <v>0</v>
      </c>
      <c r="M253" s="358">
        <v>8</v>
      </c>
    </row>
    <row r="254" spans="1:13" ht="13.8" x14ac:dyDescent="0.4">
      <c r="A254" s="356">
        <f t="shared" si="122"/>
        <v>6</v>
      </c>
      <c r="B254" s="358">
        <v>11.8</v>
      </c>
      <c r="C254" s="358">
        <v>1.5</v>
      </c>
      <c r="D254" s="358">
        <v>0</v>
      </c>
      <c r="E254" s="358">
        <v>1.7</v>
      </c>
      <c r="F254" s="358">
        <v>0</v>
      </c>
      <c r="G254" s="358">
        <v>17</v>
      </c>
      <c r="H254" s="358">
        <v>0</v>
      </c>
      <c r="I254" s="358">
        <v>1</v>
      </c>
      <c r="J254" s="358">
        <v>4</v>
      </c>
      <c r="K254" s="358">
        <v>0</v>
      </c>
      <c r="L254" s="358">
        <v>7.9</v>
      </c>
      <c r="M254" s="358">
        <v>20.5</v>
      </c>
    </row>
    <row r="255" spans="1:13" ht="13.8" x14ac:dyDescent="0.4">
      <c r="A255" s="356">
        <f t="shared" si="122"/>
        <v>7</v>
      </c>
      <c r="B255" s="358">
        <v>30.8</v>
      </c>
      <c r="C255" s="358">
        <v>2</v>
      </c>
      <c r="D255" s="358">
        <v>12</v>
      </c>
      <c r="E255" s="358">
        <v>0</v>
      </c>
      <c r="F255" s="358">
        <v>5.2</v>
      </c>
      <c r="G255" s="358">
        <v>0</v>
      </c>
      <c r="H255" s="358">
        <v>24</v>
      </c>
      <c r="I255" s="358">
        <v>0</v>
      </c>
      <c r="J255" s="358">
        <v>0</v>
      </c>
      <c r="K255" s="358">
        <v>0</v>
      </c>
      <c r="L255" s="358">
        <v>0</v>
      </c>
      <c r="M255" s="358">
        <v>38.799999999999997</v>
      </c>
    </row>
    <row r="256" spans="1:13" ht="13.8" x14ac:dyDescent="0.4">
      <c r="A256" s="356">
        <f t="shared" si="122"/>
        <v>8</v>
      </c>
      <c r="B256" s="358">
        <v>67.5</v>
      </c>
      <c r="C256" s="358">
        <v>31.2</v>
      </c>
      <c r="D256" s="358">
        <v>3.7</v>
      </c>
      <c r="E256" s="358">
        <v>0.5</v>
      </c>
      <c r="F256" s="358">
        <v>0</v>
      </c>
      <c r="G256" s="358">
        <v>0</v>
      </c>
      <c r="H256" s="358">
        <v>0</v>
      </c>
      <c r="I256" s="358">
        <v>0</v>
      </c>
      <c r="J256" s="358">
        <v>0</v>
      </c>
      <c r="K256" s="358">
        <v>0</v>
      </c>
      <c r="L256" s="358">
        <v>3</v>
      </c>
      <c r="M256" s="358">
        <v>31.6</v>
      </c>
    </row>
    <row r="257" spans="1:13" ht="13.8" x14ac:dyDescent="0.4">
      <c r="A257" s="356">
        <f t="shared" si="122"/>
        <v>9</v>
      </c>
      <c r="B257" s="358">
        <v>11</v>
      </c>
      <c r="C257" s="358">
        <v>0</v>
      </c>
      <c r="D257" s="358">
        <v>1</v>
      </c>
      <c r="E257" s="358">
        <v>0</v>
      </c>
      <c r="F257" s="358">
        <v>0</v>
      </c>
      <c r="G257" s="358">
        <v>0</v>
      </c>
      <c r="H257" s="358">
        <v>0</v>
      </c>
      <c r="I257" s="358">
        <v>0</v>
      </c>
      <c r="J257" s="358">
        <v>0</v>
      </c>
      <c r="K257" s="358">
        <v>0</v>
      </c>
      <c r="L257" s="358">
        <v>0.2</v>
      </c>
      <c r="M257" s="358">
        <v>26.4</v>
      </c>
    </row>
    <row r="258" spans="1:13" ht="13.8" x14ac:dyDescent="0.4">
      <c r="A258" s="356">
        <f t="shared" si="122"/>
        <v>10</v>
      </c>
      <c r="B258" s="358">
        <v>2.1</v>
      </c>
      <c r="C258" s="358">
        <v>0</v>
      </c>
      <c r="D258" s="358">
        <v>0</v>
      </c>
      <c r="E258" s="358">
        <v>17.2</v>
      </c>
      <c r="F258" s="358">
        <v>7.9</v>
      </c>
      <c r="G258" s="358">
        <v>7</v>
      </c>
      <c r="H258" s="358">
        <v>0</v>
      </c>
      <c r="I258" s="358">
        <v>0</v>
      </c>
      <c r="J258" s="358">
        <v>0</v>
      </c>
      <c r="K258" s="358">
        <v>0</v>
      </c>
      <c r="L258" s="358">
        <v>0.5</v>
      </c>
      <c r="M258" s="358">
        <v>21.1</v>
      </c>
    </row>
    <row r="259" spans="1:13" ht="13.8" x14ac:dyDescent="0.4">
      <c r="A259" s="356">
        <f t="shared" si="122"/>
        <v>11</v>
      </c>
      <c r="B259" s="358">
        <v>0</v>
      </c>
      <c r="C259" s="358">
        <v>0</v>
      </c>
      <c r="D259" s="358">
        <v>0</v>
      </c>
      <c r="E259" s="358">
        <v>6.5</v>
      </c>
      <c r="F259" s="358">
        <v>1</v>
      </c>
      <c r="G259" s="358">
        <v>0</v>
      </c>
      <c r="H259" s="358">
        <v>0</v>
      </c>
      <c r="I259" s="358">
        <v>0</v>
      </c>
      <c r="J259" s="358">
        <v>0</v>
      </c>
      <c r="K259" s="358">
        <v>11</v>
      </c>
      <c r="L259" s="358">
        <v>36.9</v>
      </c>
      <c r="M259" s="358">
        <v>4.8</v>
      </c>
    </row>
    <row r="260" spans="1:13" ht="13.8" x14ac:dyDescent="0.4">
      <c r="A260" s="356">
        <f t="shared" si="122"/>
        <v>12</v>
      </c>
      <c r="B260" s="358">
        <v>28.3</v>
      </c>
      <c r="C260" s="358">
        <v>0</v>
      </c>
      <c r="D260" s="358">
        <v>2.4</v>
      </c>
      <c r="E260" s="358">
        <v>1.5</v>
      </c>
      <c r="F260" s="358">
        <v>0</v>
      </c>
      <c r="G260" s="358">
        <v>0</v>
      </c>
      <c r="H260" s="358">
        <v>0</v>
      </c>
      <c r="I260" s="358">
        <v>1.5</v>
      </c>
      <c r="J260" s="358">
        <v>0</v>
      </c>
      <c r="K260" s="358">
        <v>0</v>
      </c>
      <c r="L260" s="358">
        <v>0</v>
      </c>
      <c r="M260" s="358">
        <v>6.4</v>
      </c>
    </row>
    <row r="261" spans="1:13" ht="13.8" x14ac:dyDescent="0.4">
      <c r="A261" s="356">
        <f t="shared" si="122"/>
        <v>13</v>
      </c>
      <c r="B261" s="358">
        <v>0</v>
      </c>
      <c r="C261" s="358">
        <v>0</v>
      </c>
      <c r="D261" s="358">
        <v>0</v>
      </c>
      <c r="E261" s="358">
        <v>9.6</v>
      </c>
      <c r="F261" s="358">
        <v>0</v>
      </c>
      <c r="G261" s="358">
        <v>0</v>
      </c>
      <c r="H261" s="358">
        <v>0</v>
      </c>
      <c r="I261" s="358">
        <v>0</v>
      </c>
      <c r="J261" s="358">
        <v>0</v>
      </c>
      <c r="K261" s="358">
        <v>1</v>
      </c>
      <c r="L261" s="358">
        <v>0</v>
      </c>
      <c r="M261" s="358">
        <v>21.4</v>
      </c>
    </row>
    <row r="262" spans="1:13" ht="13.8" x14ac:dyDescent="0.4">
      <c r="A262" s="356">
        <f t="shared" si="122"/>
        <v>14</v>
      </c>
      <c r="B262" s="358">
        <v>7.4</v>
      </c>
      <c r="C262" s="358">
        <v>0</v>
      </c>
      <c r="D262" s="358">
        <v>0</v>
      </c>
      <c r="E262" s="358">
        <v>14</v>
      </c>
      <c r="F262" s="358">
        <v>0</v>
      </c>
      <c r="G262" s="358">
        <v>0</v>
      </c>
      <c r="H262" s="358">
        <v>0</v>
      </c>
      <c r="I262" s="358">
        <v>6.6</v>
      </c>
      <c r="J262" s="358">
        <v>0</v>
      </c>
      <c r="K262" s="358">
        <v>0</v>
      </c>
      <c r="L262" s="358">
        <v>0</v>
      </c>
      <c r="M262" s="358">
        <v>0.4</v>
      </c>
    </row>
    <row r="263" spans="1:13" ht="13.8" x14ac:dyDescent="0.4">
      <c r="A263" s="356">
        <f t="shared" si="122"/>
        <v>15</v>
      </c>
      <c r="B263" s="358">
        <v>0.3</v>
      </c>
      <c r="C263" s="358">
        <v>0</v>
      </c>
      <c r="D263" s="358">
        <v>3.5</v>
      </c>
      <c r="E263" s="358">
        <v>0</v>
      </c>
      <c r="F263" s="358">
        <v>0</v>
      </c>
      <c r="G263" s="358">
        <v>0</v>
      </c>
      <c r="H263" s="358">
        <v>0</v>
      </c>
      <c r="I263" s="358">
        <v>0</v>
      </c>
      <c r="J263" s="358">
        <v>0</v>
      </c>
      <c r="K263" s="358">
        <v>3.5</v>
      </c>
      <c r="L263" s="358">
        <v>2.6</v>
      </c>
      <c r="M263" s="358">
        <v>0</v>
      </c>
    </row>
    <row r="264" spans="1:13" ht="13.8" x14ac:dyDescent="0.4">
      <c r="A264" s="356">
        <f t="shared" si="122"/>
        <v>16</v>
      </c>
      <c r="B264" s="358">
        <v>0</v>
      </c>
      <c r="C264" s="358">
        <v>0.2</v>
      </c>
      <c r="D264" s="358">
        <v>28.8</v>
      </c>
      <c r="E264" s="358">
        <v>0</v>
      </c>
      <c r="F264" s="358">
        <v>0</v>
      </c>
      <c r="G264" s="358">
        <v>2.8</v>
      </c>
      <c r="H264" s="358">
        <v>0</v>
      </c>
      <c r="I264" s="358">
        <v>44.5</v>
      </c>
      <c r="J264" s="358">
        <v>0</v>
      </c>
      <c r="K264" s="358">
        <v>17</v>
      </c>
      <c r="L264" s="358">
        <v>2.5</v>
      </c>
      <c r="M264" s="358">
        <v>1</v>
      </c>
    </row>
    <row r="265" spans="1:13" ht="13.8" x14ac:dyDescent="0.4">
      <c r="A265" s="356">
        <f t="shared" si="122"/>
        <v>17</v>
      </c>
      <c r="B265" s="358">
        <v>6.5</v>
      </c>
      <c r="C265" s="358">
        <v>0</v>
      </c>
      <c r="D265" s="358">
        <v>7</v>
      </c>
      <c r="E265" s="358">
        <v>0</v>
      </c>
      <c r="F265" s="358">
        <v>0</v>
      </c>
      <c r="G265" s="358">
        <v>4</v>
      </c>
      <c r="H265" s="358">
        <v>0</v>
      </c>
      <c r="I265" s="358">
        <v>0</v>
      </c>
      <c r="J265" s="358">
        <v>0</v>
      </c>
      <c r="K265" s="358">
        <v>0</v>
      </c>
      <c r="L265" s="358">
        <v>17.5</v>
      </c>
      <c r="M265" s="358">
        <v>0.6</v>
      </c>
    </row>
    <row r="266" spans="1:13" ht="13.8" x14ac:dyDescent="0.4">
      <c r="A266" s="356">
        <f t="shared" si="122"/>
        <v>18</v>
      </c>
      <c r="B266" s="358">
        <v>0</v>
      </c>
      <c r="C266" s="358">
        <v>0</v>
      </c>
      <c r="D266" s="358">
        <v>6</v>
      </c>
      <c r="E266" s="358">
        <v>0</v>
      </c>
      <c r="F266" s="358">
        <v>4</v>
      </c>
      <c r="G266" s="358">
        <v>0</v>
      </c>
      <c r="H266" s="358">
        <v>4.2</v>
      </c>
      <c r="I266" s="358">
        <v>0</v>
      </c>
      <c r="J266" s="358">
        <v>0</v>
      </c>
      <c r="K266" s="358">
        <v>0</v>
      </c>
      <c r="L266" s="358">
        <v>18.2</v>
      </c>
      <c r="M266" s="358">
        <v>7.8</v>
      </c>
    </row>
    <row r="267" spans="1:13" ht="13.8" x14ac:dyDescent="0.4">
      <c r="A267" s="356">
        <f t="shared" si="122"/>
        <v>19</v>
      </c>
      <c r="B267" s="358">
        <v>0</v>
      </c>
      <c r="C267" s="358">
        <v>5.0999999999999996</v>
      </c>
      <c r="D267" s="358">
        <v>0</v>
      </c>
      <c r="E267" s="358">
        <v>0</v>
      </c>
      <c r="F267" s="358">
        <v>38.5</v>
      </c>
      <c r="G267" s="358">
        <v>0</v>
      </c>
      <c r="H267" s="358">
        <v>0</v>
      </c>
      <c r="I267" s="358">
        <v>10.5</v>
      </c>
      <c r="J267" s="358">
        <v>0</v>
      </c>
      <c r="K267" s="358">
        <v>0</v>
      </c>
      <c r="L267" s="358">
        <v>3</v>
      </c>
      <c r="M267" s="358">
        <v>29.5</v>
      </c>
    </row>
    <row r="268" spans="1:13" ht="13.8" x14ac:dyDescent="0.4">
      <c r="A268" s="356">
        <f t="shared" si="122"/>
        <v>20</v>
      </c>
      <c r="B268" s="358">
        <v>0</v>
      </c>
      <c r="C268" s="358">
        <v>83.8</v>
      </c>
      <c r="D268" s="358">
        <v>16.3</v>
      </c>
      <c r="E268" s="358">
        <v>1.4</v>
      </c>
      <c r="F268" s="358">
        <v>35</v>
      </c>
      <c r="G268" s="358">
        <v>0</v>
      </c>
      <c r="H268" s="358">
        <v>43</v>
      </c>
      <c r="I268" s="358">
        <v>0</v>
      </c>
      <c r="J268" s="358">
        <v>0</v>
      </c>
      <c r="K268" s="358">
        <v>0</v>
      </c>
      <c r="L268" s="358">
        <v>2.5</v>
      </c>
      <c r="M268" s="358">
        <v>87</v>
      </c>
    </row>
    <row r="269" spans="1:13" ht="13.8" x14ac:dyDescent="0.4">
      <c r="A269" s="356">
        <f t="shared" si="122"/>
        <v>21</v>
      </c>
      <c r="B269" s="358">
        <v>10.9</v>
      </c>
      <c r="C269" s="358">
        <v>15.5</v>
      </c>
      <c r="D269" s="358">
        <v>0</v>
      </c>
      <c r="E269" s="358">
        <v>40.5</v>
      </c>
      <c r="F269" s="358">
        <v>33.200000000000003</v>
      </c>
      <c r="G269" s="358">
        <v>0</v>
      </c>
      <c r="H269" s="358">
        <v>0</v>
      </c>
      <c r="I269" s="358">
        <v>0</v>
      </c>
      <c r="J269" s="358">
        <v>0</v>
      </c>
      <c r="K269" s="358">
        <v>0.4</v>
      </c>
      <c r="L269" s="358">
        <v>21.5</v>
      </c>
      <c r="M269" s="358">
        <v>4</v>
      </c>
    </row>
    <row r="270" spans="1:13" ht="13.8" x14ac:dyDescent="0.4">
      <c r="A270" s="356">
        <f t="shared" si="122"/>
        <v>22</v>
      </c>
      <c r="B270" s="358">
        <v>0</v>
      </c>
      <c r="C270" s="358">
        <v>0</v>
      </c>
      <c r="D270" s="358">
        <v>0</v>
      </c>
      <c r="E270" s="358">
        <v>10.199999999999999</v>
      </c>
      <c r="F270" s="358">
        <v>0</v>
      </c>
      <c r="G270" s="358">
        <v>0</v>
      </c>
      <c r="H270" s="358">
        <v>0</v>
      </c>
      <c r="I270" s="358">
        <v>0</v>
      </c>
      <c r="J270" s="358">
        <v>31</v>
      </c>
      <c r="K270" s="358">
        <v>18.3</v>
      </c>
      <c r="L270" s="358">
        <v>0</v>
      </c>
      <c r="M270" s="358">
        <v>0</v>
      </c>
    </row>
    <row r="271" spans="1:13" ht="13.8" x14ac:dyDescent="0.4">
      <c r="A271" s="356">
        <f t="shared" si="122"/>
        <v>23</v>
      </c>
      <c r="B271" s="358">
        <v>0</v>
      </c>
      <c r="C271" s="358">
        <v>82.1</v>
      </c>
      <c r="D271" s="358">
        <v>17</v>
      </c>
      <c r="E271" s="358">
        <v>0</v>
      </c>
      <c r="F271" s="358">
        <v>0</v>
      </c>
      <c r="G271" s="358">
        <v>0</v>
      </c>
      <c r="H271" s="358">
        <v>0</v>
      </c>
      <c r="I271" s="358">
        <v>0</v>
      </c>
      <c r="J271" s="358">
        <v>16.5</v>
      </c>
      <c r="K271" s="358">
        <v>2.4</v>
      </c>
      <c r="L271" s="358">
        <v>0</v>
      </c>
      <c r="M271" s="358">
        <v>1.2</v>
      </c>
    </row>
    <row r="272" spans="1:13" ht="13.8" x14ac:dyDescent="0.4">
      <c r="A272" s="356">
        <f t="shared" si="122"/>
        <v>24</v>
      </c>
      <c r="B272" s="358">
        <v>0</v>
      </c>
      <c r="C272" s="358">
        <v>3.6</v>
      </c>
      <c r="D272" s="358">
        <v>0</v>
      </c>
      <c r="E272" s="358">
        <v>0</v>
      </c>
      <c r="F272" s="358">
        <v>0</v>
      </c>
      <c r="G272" s="358">
        <v>0</v>
      </c>
      <c r="H272" s="358">
        <v>0</v>
      </c>
      <c r="I272" s="358">
        <v>1.2</v>
      </c>
      <c r="J272" s="358">
        <v>0</v>
      </c>
      <c r="K272" s="358">
        <v>1.5</v>
      </c>
      <c r="L272" s="358">
        <v>0</v>
      </c>
      <c r="M272" s="358">
        <v>1.5</v>
      </c>
    </row>
    <row r="273" spans="1:13" ht="13.8" x14ac:dyDescent="0.4">
      <c r="A273" s="356">
        <f t="shared" si="122"/>
        <v>25</v>
      </c>
      <c r="B273" s="358">
        <v>0.3</v>
      </c>
      <c r="C273" s="358">
        <v>5</v>
      </c>
      <c r="D273" s="358">
        <v>0</v>
      </c>
      <c r="E273" s="358">
        <v>0</v>
      </c>
      <c r="F273" s="358">
        <v>0</v>
      </c>
      <c r="G273" s="358">
        <v>0</v>
      </c>
      <c r="H273" s="358">
        <v>1.5</v>
      </c>
      <c r="I273" s="358">
        <v>0</v>
      </c>
      <c r="J273" s="358">
        <v>0</v>
      </c>
      <c r="K273" s="358">
        <v>2</v>
      </c>
      <c r="L273" s="358">
        <v>0.4</v>
      </c>
      <c r="M273" s="358">
        <v>9.4</v>
      </c>
    </row>
    <row r="274" spans="1:13" ht="13.8" x14ac:dyDescent="0.4">
      <c r="A274" s="356">
        <f t="shared" si="122"/>
        <v>26</v>
      </c>
      <c r="B274" s="358">
        <v>105.6</v>
      </c>
      <c r="C274" s="358">
        <v>0</v>
      </c>
      <c r="D274" s="358">
        <v>2.2000000000000002</v>
      </c>
      <c r="E274" s="358">
        <v>0</v>
      </c>
      <c r="F274" s="358">
        <v>37.5</v>
      </c>
      <c r="G274" s="358">
        <v>0</v>
      </c>
      <c r="H274" s="358">
        <v>0</v>
      </c>
      <c r="I274" s="358">
        <v>0</v>
      </c>
      <c r="J274" s="358">
        <v>0</v>
      </c>
      <c r="K274" s="358">
        <v>0</v>
      </c>
      <c r="L274" s="358">
        <v>0</v>
      </c>
      <c r="M274" s="358">
        <v>0.2</v>
      </c>
    </row>
    <row r="275" spans="1:13" ht="13.8" x14ac:dyDescent="0.4">
      <c r="A275" s="356">
        <f t="shared" si="122"/>
        <v>27</v>
      </c>
      <c r="B275" s="358">
        <v>0</v>
      </c>
      <c r="C275" s="358">
        <v>3.9</v>
      </c>
      <c r="D275" s="358">
        <v>0</v>
      </c>
      <c r="E275" s="358">
        <v>2.9</v>
      </c>
      <c r="F275" s="358">
        <v>0</v>
      </c>
      <c r="G275" s="358">
        <v>0</v>
      </c>
      <c r="H275" s="358">
        <v>0</v>
      </c>
      <c r="I275" s="358">
        <v>0</v>
      </c>
      <c r="J275" s="358">
        <v>17</v>
      </c>
      <c r="K275" s="358">
        <v>0</v>
      </c>
      <c r="L275" s="358">
        <v>0</v>
      </c>
      <c r="M275" s="358">
        <v>0</v>
      </c>
    </row>
    <row r="276" spans="1:13" ht="13.8" x14ac:dyDescent="0.4">
      <c r="A276" s="356">
        <f t="shared" si="122"/>
        <v>28</v>
      </c>
      <c r="B276" s="358">
        <v>0</v>
      </c>
      <c r="C276" s="358">
        <v>27.5</v>
      </c>
      <c r="D276" s="358">
        <v>1</v>
      </c>
      <c r="E276" s="358">
        <v>0</v>
      </c>
      <c r="F276" s="358">
        <v>3.5</v>
      </c>
      <c r="G276" s="358">
        <v>0</v>
      </c>
      <c r="H276" s="358">
        <v>0</v>
      </c>
      <c r="I276" s="358">
        <v>0</v>
      </c>
      <c r="J276" s="358">
        <v>35</v>
      </c>
      <c r="K276" s="358">
        <v>2.5</v>
      </c>
      <c r="L276" s="358">
        <v>0.3</v>
      </c>
      <c r="M276" s="358">
        <v>9.4</v>
      </c>
    </row>
    <row r="277" spans="1:13" ht="13.8" x14ac:dyDescent="0.4">
      <c r="A277" s="356">
        <f t="shared" si="122"/>
        <v>29</v>
      </c>
      <c r="B277" s="358">
        <v>0</v>
      </c>
      <c r="C277" s="358">
        <v>11.9</v>
      </c>
      <c r="D277" s="358">
        <v>0</v>
      </c>
      <c r="E277" s="358">
        <v>6.6</v>
      </c>
      <c r="F277" s="358">
        <v>0</v>
      </c>
      <c r="G277" s="358">
        <v>0</v>
      </c>
      <c r="H277" s="358">
        <v>0</v>
      </c>
      <c r="I277" s="358">
        <v>0</v>
      </c>
      <c r="J277" s="358">
        <v>0</v>
      </c>
      <c r="K277" s="358">
        <v>4.5</v>
      </c>
      <c r="L277" s="358">
        <v>0.6</v>
      </c>
      <c r="M277" s="358">
        <v>17.5</v>
      </c>
    </row>
    <row r="278" spans="1:13" ht="13.8" x14ac:dyDescent="0.4">
      <c r="A278" s="356">
        <f t="shared" si="122"/>
        <v>30</v>
      </c>
      <c r="B278" s="358">
        <v>0.3</v>
      </c>
      <c r="C278" s="357"/>
      <c r="D278" s="358">
        <v>8.6999999999999993</v>
      </c>
      <c r="E278" s="358">
        <v>0</v>
      </c>
      <c r="F278" s="358">
        <v>0</v>
      </c>
      <c r="G278" s="358">
        <v>0</v>
      </c>
      <c r="H278" s="358">
        <v>0</v>
      </c>
      <c r="I278" s="358">
        <v>9.1999999999999993</v>
      </c>
      <c r="J278" s="358">
        <v>0</v>
      </c>
      <c r="K278" s="358">
        <v>0</v>
      </c>
      <c r="L278" s="358">
        <v>19.100000000000001</v>
      </c>
      <c r="M278" s="358">
        <v>2.2999999999999998</v>
      </c>
    </row>
    <row r="279" spans="1:13" ht="13.8" x14ac:dyDescent="0.4">
      <c r="A279" s="356">
        <f t="shared" si="122"/>
        <v>31</v>
      </c>
      <c r="B279" s="358">
        <v>0</v>
      </c>
      <c r="C279" s="357"/>
      <c r="D279" s="358">
        <v>3</v>
      </c>
      <c r="E279" s="357"/>
      <c r="F279" s="358">
        <v>15</v>
      </c>
      <c r="G279" s="357"/>
      <c r="H279" s="358">
        <v>0</v>
      </c>
      <c r="I279" s="358">
        <v>0</v>
      </c>
      <c r="J279" s="357"/>
      <c r="K279" s="358">
        <v>15</v>
      </c>
      <c r="L279" s="357"/>
      <c r="M279" s="358">
        <v>12</v>
      </c>
    </row>
    <row r="280" spans="1:13" ht="13.8" x14ac:dyDescent="0.4">
      <c r="A280" s="356" t="s">
        <v>3296</v>
      </c>
      <c r="B280" s="357">
        <f>MAX(B249:B279)</f>
        <v>105.6</v>
      </c>
      <c r="C280" s="357">
        <f t="shared" ref="C280" si="123">MAX(C249:C279)</f>
        <v>83.8</v>
      </c>
      <c r="D280" s="357">
        <f t="shared" ref="D280" si="124">MAX(D249:D279)</f>
        <v>28.8</v>
      </c>
      <c r="E280" s="357">
        <f t="shared" ref="E280" si="125">MAX(E249:E279)</f>
        <v>40.5</v>
      </c>
      <c r="F280" s="357">
        <f t="shared" ref="F280" si="126">MAX(F249:F279)</f>
        <v>38.5</v>
      </c>
      <c r="G280" s="357">
        <f t="shared" ref="G280" si="127">MAX(G249:G279)</f>
        <v>17</v>
      </c>
      <c r="H280" s="357">
        <f t="shared" ref="H280" si="128">MAX(H249:H279)</f>
        <v>64.400000000000006</v>
      </c>
      <c r="I280" s="357">
        <f>MAX(I249:I279)</f>
        <v>44.5</v>
      </c>
      <c r="J280" s="357">
        <f t="shared" ref="J280" si="129">MAX(J249:J279)</f>
        <v>45</v>
      </c>
      <c r="K280" s="357">
        <f t="shared" ref="K280" si="130">MAX(K249:K279)</f>
        <v>18.3</v>
      </c>
      <c r="L280" s="357">
        <f t="shared" ref="L280" si="131">MAX(L249:L279)</f>
        <v>36.9</v>
      </c>
      <c r="M280" s="357">
        <f t="shared" ref="M280" si="132">MAX(M249:M279)</f>
        <v>87</v>
      </c>
    </row>
    <row r="281" spans="1:13" ht="13.8" x14ac:dyDescent="0.4">
      <c r="A281" s="356" t="s">
        <v>4798</v>
      </c>
      <c r="B281" s="357">
        <f>SUM(B249:B279)</f>
        <v>336.3</v>
      </c>
      <c r="C281" s="357">
        <f t="shared" ref="C281:M281" si="133">SUM(C249:C279)</f>
        <v>290.39999999999998</v>
      </c>
      <c r="D281" s="357">
        <f t="shared" si="133"/>
        <v>187.5</v>
      </c>
      <c r="E281" s="357">
        <f t="shared" si="133"/>
        <v>113.39999999999999</v>
      </c>
      <c r="F281" s="357">
        <f t="shared" si="133"/>
        <v>180.8</v>
      </c>
      <c r="G281" s="357">
        <f t="shared" si="133"/>
        <v>30.8</v>
      </c>
      <c r="H281" s="357">
        <f t="shared" si="133"/>
        <v>137.10000000000002</v>
      </c>
      <c r="I281" s="357">
        <f t="shared" si="133"/>
        <v>74.5</v>
      </c>
      <c r="J281" s="357">
        <f t="shared" si="133"/>
        <v>158.80000000000001</v>
      </c>
      <c r="K281" s="357">
        <f t="shared" si="133"/>
        <v>101.60000000000001</v>
      </c>
      <c r="L281" s="357">
        <f t="shared" si="133"/>
        <v>206.7</v>
      </c>
      <c r="M281" s="357">
        <f t="shared" si="133"/>
        <v>417.3</v>
      </c>
    </row>
    <row r="282" spans="1:13" ht="13.8" x14ac:dyDescent="0.4">
      <c r="A282" s="356" t="s">
        <v>4799</v>
      </c>
      <c r="B282" s="357">
        <f>COUNTIF(B249:B279,"&gt;2")</f>
        <v>14</v>
      </c>
      <c r="C282" s="357">
        <f t="shared" ref="C282:M282" si="134">COUNTIF(C249:C279,"&gt;2")</f>
        <v>11</v>
      </c>
      <c r="D282" s="357">
        <f t="shared" si="134"/>
        <v>16</v>
      </c>
      <c r="E282" s="357">
        <f t="shared" si="134"/>
        <v>8</v>
      </c>
      <c r="F282" s="357">
        <f t="shared" si="134"/>
        <v>9</v>
      </c>
      <c r="G282" s="357">
        <f t="shared" si="134"/>
        <v>4</v>
      </c>
      <c r="H282" s="357">
        <f t="shared" si="134"/>
        <v>4</v>
      </c>
      <c r="I282" s="357">
        <f t="shared" si="134"/>
        <v>4</v>
      </c>
      <c r="J282" s="357">
        <f t="shared" si="134"/>
        <v>7</v>
      </c>
      <c r="K282" s="357">
        <f t="shared" si="134"/>
        <v>10</v>
      </c>
      <c r="L282" s="357">
        <f t="shared" si="134"/>
        <v>14</v>
      </c>
      <c r="M282" s="357">
        <f t="shared" si="134"/>
        <v>19</v>
      </c>
    </row>
    <row r="283" spans="1:13" ht="13.8" x14ac:dyDescent="0.4">
      <c r="A283" s="356" t="s">
        <v>4800</v>
      </c>
      <c r="B283" s="357">
        <f>B281/B282</f>
        <v>24.021428571428572</v>
      </c>
      <c r="C283" s="357">
        <f t="shared" ref="C283" si="135">C281/C282</f>
        <v>26.4</v>
      </c>
      <c r="D283" s="357">
        <f t="shared" ref="D283" si="136">D281/D282</f>
        <v>11.71875</v>
      </c>
      <c r="E283" s="357">
        <f t="shared" ref="E283" si="137">E281/E282</f>
        <v>14.174999999999999</v>
      </c>
      <c r="F283" s="357">
        <f t="shared" ref="F283" si="138">F281/F282</f>
        <v>20.088888888888889</v>
      </c>
      <c r="G283" s="357">
        <f t="shared" ref="G283" si="139">G281/G282</f>
        <v>7.7</v>
      </c>
      <c r="H283" s="357">
        <f t="shared" ref="H283" si="140">H281/H282</f>
        <v>34.275000000000006</v>
      </c>
      <c r="I283" s="357">
        <f t="shared" ref="I283" si="141">I281/I282</f>
        <v>18.625</v>
      </c>
      <c r="J283" s="357">
        <f t="shared" ref="J283" si="142">J281/J282</f>
        <v>22.685714285714287</v>
      </c>
      <c r="K283" s="357">
        <f t="shared" ref="K283" si="143">K281/K282</f>
        <v>10.16</v>
      </c>
      <c r="L283" s="357">
        <f t="shared" ref="L283" si="144">L281/L282</f>
        <v>14.764285714285714</v>
      </c>
      <c r="M283" s="357">
        <f t="shared" ref="M283" si="145">M281/M282</f>
        <v>21.963157894736842</v>
      </c>
    </row>
    <row r="286" spans="1:13" ht="15.6" x14ac:dyDescent="0.2">
      <c r="A286" s="817" t="s">
        <v>3273</v>
      </c>
      <c r="B286" s="818">
        <v>2021</v>
      </c>
      <c r="C286" s="818"/>
      <c r="D286" s="818"/>
      <c r="E286" s="818"/>
      <c r="F286" s="818"/>
      <c r="G286" s="818"/>
      <c r="H286" s="818"/>
      <c r="I286" s="818"/>
      <c r="J286" s="818"/>
      <c r="K286" s="818"/>
      <c r="L286" s="818"/>
      <c r="M286" s="818"/>
    </row>
    <row r="287" spans="1:13" x14ac:dyDescent="0.2">
      <c r="A287" s="817"/>
      <c r="B287" s="769" t="s">
        <v>3280</v>
      </c>
      <c r="C287" s="769" t="s">
        <v>3281</v>
      </c>
      <c r="D287" s="769" t="s">
        <v>3282</v>
      </c>
      <c r="E287" s="769" t="s">
        <v>3283</v>
      </c>
      <c r="F287" s="769" t="s">
        <v>3284</v>
      </c>
      <c r="G287" s="769" t="s">
        <v>3285</v>
      </c>
      <c r="H287" s="769" t="s">
        <v>3286</v>
      </c>
      <c r="I287" s="769" t="s">
        <v>3294</v>
      </c>
      <c r="J287" s="769" t="s">
        <v>3288</v>
      </c>
      <c r="K287" s="769" t="s">
        <v>3289</v>
      </c>
      <c r="L287" s="769" t="s">
        <v>3290</v>
      </c>
      <c r="M287" s="769" t="s">
        <v>3291</v>
      </c>
    </row>
    <row r="288" spans="1:13" ht="11.4" customHeight="1" x14ac:dyDescent="0.2">
      <c r="A288" s="817"/>
      <c r="B288" s="819" t="s">
        <v>3295</v>
      </c>
      <c r="C288" s="819" t="s">
        <v>3295</v>
      </c>
      <c r="D288" s="819" t="s">
        <v>3295</v>
      </c>
      <c r="E288" s="819" t="s">
        <v>3295</v>
      </c>
      <c r="F288" s="819" t="s">
        <v>3295</v>
      </c>
      <c r="G288" s="819" t="s">
        <v>3295</v>
      </c>
      <c r="H288" s="819" t="s">
        <v>3295</v>
      </c>
      <c r="I288" s="819" t="s">
        <v>3295</v>
      </c>
      <c r="J288" s="819" t="s">
        <v>3295</v>
      </c>
      <c r="K288" s="819" t="s">
        <v>3295</v>
      </c>
      <c r="L288" s="819" t="s">
        <v>3295</v>
      </c>
      <c r="M288" s="819" t="s">
        <v>3295</v>
      </c>
    </row>
    <row r="289" spans="1:13" ht="23.4" customHeight="1" x14ac:dyDescent="0.2">
      <c r="A289" s="817"/>
      <c r="B289" s="819"/>
      <c r="C289" s="819"/>
      <c r="D289" s="819"/>
      <c r="E289" s="819"/>
      <c r="F289" s="819"/>
      <c r="G289" s="819"/>
      <c r="H289" s="819"/>
      <c r="I289" s="819"/>
      <c r="J289" s="819"/>
      <c r="K289" s="819"/>
      <c r="L289" s="819"/>
      <c r="M289" s="819"/>
    </row>
    <row r="290" spans="1:13" ht="13.8" x14ac:dyDescent="0.4">
      <c r="A290" s="356">
        <v>1</v>
      </c>
      <c r="B290" s="358">
        <v>7.1</v>
      </c>
      <c r="C290" s="358">
        <v>21.6</v>
      </c>
      <c r="D290" s="358">
        <v>0.1</v>
      </c>
      <c r="E290" s="358">
        <v>16</v>
      </c>
      <c r="F290" s="358">
        <v>0.2</v>
      </c>
      <c r="G290" s="358">
        <v>0</v>
      </c>
      <c r="H290" s="358">
        <v>0</v>
      </c>
      <c r="I290" s="358">
        <v>0</v>
      </c>
      <c r="J290" s="358">
        <v>0</v>
      </c>
      <c r="K290" s="358">
        <v>0</v>
      </c>
      <c r="L290" s="358">
        <v>3.5</v>
      </c>
      <c r="M290" s="358">
        <v>0</v>
      </c>
    </row>
    <row r="291" spans="1:13" ht="13.8" x14ac:dyDescent="0.4">
      <c r="A291" s="356">
        <f t="shared" ref="A291:A320" si="146">A290+1</f>
        <v>2</v>
      </c>
      <c r="B291" s="358">
        <v>3.7</v>
      </c>
      <c r="C291" s="358">
        <v>6</v>
      </c>
      <c r="D291" s="358">
        <v>0</v>
      </c>
      <c r="E291" s="358">
        <v>0</v>
      </c>
      <c r="F291" s="358">
        <v>0</v>
      </c>
      <c r="G291" s="358">
        <v>1</v>
      </c>
      <c r="H291" s="358">
        <v>0</v>
      </c>
      <c r="I291" s="358">
        <v>0</v>
      </c>
      <c r="J291" s="358">
        <v>0.7</v>
      </c>
      <c r="K291" s="358">
        <v>0</v>
      </c>
      <c r="L291" s="358">
        <v>18</v>
      </c>
      <c r="M291" s="358">
        <v>0</v>
      </c>
    </row>
    <row r="292" spans="1:13" ht="13.8" x14ac:dyDescent="0.4">
      <c r="A292" s="356">
        <f t="shared" si="146"/>
        <v>3</v>
      </c>
      <c r="B292" s="358">
        <v>0</v>
      </c>
      <c r="C292" s="358">
        <v>5.6</v>
      </c>
      <c r="D292" s="358">
        <v>0</v>
      </c>
      <c r="E292" s="358">
        <v>0</v>
      </c>
      <c r="F292" s="358">
        <v>0</v>
      </c>
      <c r="G292" s="358">
        <v>0</v>
      </c>
      <c r="H292" s="358">
        <v>0</v>
      </c>
      <c r="I292" s="358">
        <v>90</v>
      </c>
      <c r="J292" s="358">
        <v>0</v>
      </c>
      <c r="K292" s="358">
        <v>0</v>
      </c>
      <c r="L292" s="358">
        <v>12.4</v>
      </c>
      <c r="M292" s="358">
        <v>28</v>
      </c>
    </row>
    <row r="293" spans="1:13" ht="13.8" x14ac:dyDescent="0.4">
      <c r="A293" s="356">
        <f t="shared" si="146"/>
        <v>4</v>
      </c>
      <c r="B293" s="358">
        <v>1.2</v>
      </c>
      <c r="C293" s="358">
        <v>87.6</v>
      </c>
      <c r="D293" s="358">
        <v>0.2</v>
      </c>
      <c r="E293" s="358">
        <v>0</v>
      </c>
      <c r="F293" s="358">
        <v>0</v>
      </c>
      <c r="G293" s="358">
        <v>0.3</v>
      </c>
      <c r="H293" s="358">
        <v>0</v>
      </c>
      <c r="I293" s="358">
        <v>0</v>
      </c>
      <c r="J293" s="358">
        <v>0</v>
      </c>
      <c r="K293" s="358">
        <v>0</v>
      </c>
      <c r="L293" s="358">
        <v>0</v>
      </c>
      <c r="M293" s="358">
        <v>80.599999999999994</v>
      </c>
    </row>
    <row r="294" spans="1:13" ht="13.8" x14ac:dyDescent="0.4">
      <c r="A294" s="356">
        <f t="shared" si="146"/>
        <v>5</v>
      </c>
      <c r="B294" s="358">
        <v>1</v>
      </c>
      <c r="C294" s="358">
        <v>56.3</v>
      </c>
      <c r="D294" s="358">
        <v>1.1000000000000001</v>
      </c>
      <c r="E294" s="358">
        <v>0</v>
      </c>
      <c r="F294" s="358">
        <v>0</v>
      </c>
      <c r="G294" s="358">
        <v>0</v>
      </c>
      <c r="H294" s="358">
        <v>0</v>
      </c>
      <c r="I294" s="358">
        <v>0</v>
      </c>
      <c r="J294" s="358">
        <v>0</v>
      </c>
      <c r="K294" s="358">
        <v>0</v>
      </c>
      <c r="L294" s="358">
        <v>32.5</v>
      </c>
      <c r="M294" s="358">
        <v>5.5</v>
      </c>
    </row>
    <row r="295" spans="1:13" ht="13.8" x14ac:dyDescent="0.4">
      <c r="A295" s="356">
        <f t="shared" si="146"/>
        <v>6</v>
      </c>
      <c r="B295" s="358">
        <v>0.3</v>
      </c>
      <c r="C295" s="358">
        <v>135.80000000000001</v>
      </c>
      <c r="D295" s="358">
        <v>0</v>
      </c>
      <c r="E295" s="358">
        <v>1.8</v>
      </c>
      <c r="F295" s="358">
        <v>0</v>
      </c>
      <c r="G295" s="358">
        <v>0</v>
      </c>
      <c r="H295" s="358">
        <v>0</v>
      </c>
      <c r="I295" s="358">
        <v>0</v>
      </c>
      <c r="J295" s="358">
        <v>0</v>
      </c>
      <c r="K295" s="358">
        <v>0</v>
      </c>
      <c r="L295" s="358">
        <v>0</v>
      </c>
      <c r="M295" s="358">
        <v>5.0999999999999996</v>
      </c>
    </row>
    <row r="296" spans="1:13" ht="13.8" x14ac:dyDescent="0.4">
      <c r="A296" s="356">
        <f t="shared" si="146"/>
        <v>7</v>
      </c>
      <c r="B296" s="358">
        <v>0</v>
      </c>
      <c r="C296" s="358">
        <v>58.8</v>
      </c>
      <c r="D296" s="358">
        <v>3.4</v>
      </c>
      <c r="E296" s="358">
        <v>43</v>
      </c>
      <c r="F296" s="358">
        <v>0</v>
      </c>
      <c r="G296" s="358">
        <v>0</v>
      </c>
      <c r="H296" s="358">
        <v>0</v>
      </c>
      <c r="I296" s="358">
        <v>0</v>
      </c>
      <c r="J296" s="358">
        <v>0</v>
      </c>
      <c r="K296" s="358">
        <v>0</v>
      </c>
      <c r="L296" s="358">
        <v>23.5</v>
      </c>
      <c r="M296" s="358">
        <v>2.8</v>
      </c>
    </row>
    <row r="297" spans="1:13" ht="13.8" x14ac:dyDescent="0.4">
      <c r="A297" s="356">
        <f t="shared" si="146"/>
        <v>8</v>
      </c>
      <c r="B297" s="358">
        <v>0</v>
      </c>
      <c r="C297" s="358">
        <v>24</v>
      </c>
      <c r="D297" s="358">
        <v>8</v>
      </c>
      <c r="E297" s="358">
        <v>12.9</v>
      </c>
      <c r="F297" s="358">
        <v>0.2</v>
      </c>
      <c r="G297" s="358">
        <v>9.4</v>
      </c>
      <c r="H297" s="358">
        <v>0</v>
      </c>
      <c r="I297" s="358">
        <v>0</v>
      </c>
      <c r="J297" s="358">
        <v>89.1</v>
      </c>
      <c r="K297" s="358">
        <v>0</v>
      </c>
      <c r="L297" s="358">
        <v>0</v>
      </c>
      <c r="M297" s="358">
        <v>1.1000000000000001</v>
      </c>
    </row>
    <row r="298" spans="1:13" ht="13.8" x14ac:dyDescent="0.4">
      <c r="A298" s="356">
        <f t="shared" si="146"/>
        <v>9</v>
      </c>
      <c r="B298" s="358">
        <v>23.4</v>
      </c>
      <c r="C298" s="358">
        <v>33.200000000000003</v>
      </c>
      <c r="D298" s="358">
        <v>8</v>
      </c>
      <c r="E298" s="358">
        <v>12</v>
      </c>
      <c r="F298" s="358">
        <v>1.2</v>
      </c>
      <c r="G298" s="358">
        <v>0</v>
      </c>
      <c r="H298" s="358">
        <v>0</v>
      </c>
      <c r="I298" s="358">
        <v>0</v>
      </c>
      <c r="J298" s="358">
        <v>13.8</v>
      </c>
      <c r="K298" s="358">
        <v>8.5</v>
      </c>
      <c r="L298" s="358">
        <v>0</v>
      </c>
      <c r="M298" s="358">
        <v>0</v>
      </c>
    </row>
    <row r="299" spans="1:13" ht="13.8" x14ac:dyDescent="0.4">
      <c r="A299" s="356">
        <f t="shared" si="146"/>
        <v>10</v>
      </c>
      <c r="B299" s="358">
        <v>0.4</v>
      </c>
      <c r="C299" s="358">
        <v>19.100000000000001</v>
      </c>
      <c r="D299" s="358">
        <v>25.9</v>
      </c>
      <c r="E299" s="358">
        <v>0</v>
      </c>
      <c r="F299" s="358">
        <v>0</v>
      </c>
      <c r="G299" s="358">
        <v>34</v>
      </c>
      <c r="H299" s="358">
        <v>0</v>
      </c>
      <c r="I299" s="358">
        <v>0</v>
      </c>
      <c r="J299" s="358">
        <v>0</v>
      </c>
      <c r="K299" s="358">
        <v>0</v>
      </c>
      <c r="L299" s="358">
        <v>13.6</v>
      </c>
      <c r="M299" s="358">
        <v>0</v>
      </c>
    </row>
    <row r="300" spans="1:13" ht="13.8" x14ac:dyDescent="0.4">
      <c r="A300" s="356">
        <f t="shared" si="146"/>
        <v>11</v>
      </c>
      <c r="B300" s="358">
        <v>2.4</v>
      </c>
      <c r="C300" s="358">
        <v>4.5999999999999996</v>
      </c>
      <c r="D300" s="358">
        <v>0</v>
      </c>
      <c r="E300" s="358">
        <v>0</v>
      </c>
      <c r="F300" s="358">
        <v>0</v>
      </c>
      <c r="G300" s="358">
        <v>45.4</v>
      </c>
      <c r="H300" s="358">
        <v>0</v>
      </c>
      <c r="I300" s="358">
        <v>0</v>
      </c>
      <c r="J300" s="358">
        <v>0</v>
      </c>
      <c r="K300" s="358">
        <v>0</v>
      </c>
      <c r="L300" s="358">
        <v>71.2</v>
      </c>
      <c r="M300" s="358">
        <v>0.3</v>
      </c>
    </row>
    <row r="301" spans="1:13" ht="13.8" x14ac:dyDescent="0.4">
      <c r="A301" s="356">
        <f t="shared" si="146"/>
        <v>12</v>
      </c>
      <c r="B301" s="358">
        <v>0</v>
      </c>
      <c r="C301" s="358">
        <v>6.9</v>
      </c>
      <c r="D301" s="358">
        <v>0</v>
      </c>
      <c r="E301" s="358">
        <v>8.8000000000000007</v>
      </c>
      <c r="F301" s="358">
        <v>22.5</v>
      </c>
      <c r="G301" s="358">
        <v>1</v>
      </c>
      <c r="H301" s="358">
        <v>0</v>
      </c>
      <c r="I301" s="358">
        <v>0</v>
      </c>
      <c r="J301" s="358">
        <v>6.3</v>
      </c>
      <c r="K301" s="358">
        <v>0</v>
      </c>
      <c r="L301" s="358">
        <v>0.6</v>
      </c>
      <c r="M301" s="358">
        <v>0.3</v>
      </c>
    </row>
    <row r="302" spans="1:13" ht="13.8" x14ac:dyDescent="0.4">
      <c r="A302" s="356">
        <f t="shared" si="146"/>
        <v>13</v>
      </c>
      <c r="B302" s="358">
        <v>4</v>
      </c>
      <c r="C302" s="358">
        <v>20.7</v>
      </c>
      <c r="D302" s="358">
        <v>0.5</v>
      </c>
      <c r="E302" s="358">
        <v>14</v>
      </c>
      <c r="F302" s="358">
        <v>0</v>
      </c>
      <c r="G302" s="358">
        <v>0</v>
      </c>
      <c r="H302" s="358">
        <v>0</v>
      </c>
      <c r="I302" s="358">
        <v>0</v>
      </c>
      <c r="J302" s="358">
        <v>0.2</v>
      </c>
      <c r="K302" s="358">
        <v>0</v>
      </c>
      <c r="L302" s="358">
        <v>15</v>
      </c>
      <c r="M302" s="358">
        <v>0</v>
      </c>
    </row>
    <row r="303" spans="1:13" ht="13.8" x14ac:dyDescent="0.4">
      <c r="A303" s="356">
        <f t="shared" si="146"/>
        <v>14</v>
      </c>
      <c r="B303" s="358">
        <v>4.8</v>
      </c>
      <c r="C303" s="358">
        <v>0</v>
      </c>
      <c r="D303" s="358">
        <v>6.5</v>
      </c>
      <c r="E303" s="358">
        <v>0</v>
      </c>
      <c r="F303" s="358">
        <v>0</v>
      </c>
      <c r="G303" s="358">
        <v>0</v>
      </c>
      <c r="H303" s="358">
        <v>0</v>
      </c>
      <c r="I303" s="358">
        <v>19.600000000000001</v>
      </c>
      <c r="J303" s="358">
        <v>0</v>
      </c>
      <c r="K303" s="358">
        <v>0</v>
      </c>
      <c r="L303" s="358">
        <v>68</v>
      </c>
      <c r="M303" s="358">
        <v>0</v>
      </c>
    </row>
    <row r="304" spans="1:13" ht="13.8" x14ac:dyDescent="0.4">
      <c r="A304" s="356">
        <f t="shared" si="146"/>
        <v>15</v>
      </c>
      <c r="B304" s="358">
        <v>0</v>
      </c>
      <c r="C304" s="358">
        <v>8.1999999999999993</v>
      </c>
      <c r="D304" s="358">
        <v>0</v>
      </c>
      <c r="E304" s="358">
        <v>0.2</v>
      </c>
      <c r="F304" s="358">
        <v>0</v>
      </c>
      <c r="G304" s="358">
        <v>1.5</v>
      </c>
      <c r="H304" s="358">
        <v>0</v>
      </c>
      <c r="I304" s="358">
        <v>2.8</v>
      </c>
      <c r="J304" s="358">
        <v>8.8000000000000007</v>
      </c>
      <c r="K304" s="358">
        <v>0</v>
      </c>
      <c r="L304" s="358">
        <v>0</v>
      </c>
      <c r="M304" s="358">
        <v>0</v>
      </c>
    </row>
    <row r="305" spans="1:13" ht="13.8" x14ac:dyDescent="0.4">
      <c r="A305" s="356">
        <f t="shared" si="146"/>
        <v>16</v>
      </c>
      <c r="B305" s="358">
        <v>0</v>
      </c>
      <c r="C305" s="358">
        <v>21.2</v>
      </c>
      <c r="D305" s="358">
        <v>20.399999999999999</v>
      </c>
      <c r="E305" s="358">
        <v>0</v>
      </c>
      <c r="F305" s="358">
        <v>0</v>
      </c>
      <c r="G305" s="358">
        <v>0.6</v>
      </c>
      <c r="H305" s="358">
        <v>0</v>
      </c>
      <c r="I305" s="358">
        <v>0</v>
      </c>
      <c r="J305" s="358">
        <v>0</v>
      </c>
      <c r="K305" s="358">
        <v>0</v>
      </c>
      <c r="L305" s="358">
        <v>30.3</v>
      </c>
      <c r="M305" s="358">
        <v>8.1</v>
      </c>
    </row>
    <row r="306" spans="1:13" ht="13.8" x14ac:dyDescent="0.4">
      <c r="A306" s="356">
        <f t="shared" si="146"/>
        <v>17</v>
      </c>
      <c r="B306" s="358">
        <v>0</v>
      </c>
      <c r="C306" s="358">
        <v>7.5</v>
      </c>
      <c r="D306" s="358">
        <v>0.6</v>
      </c>
      <c r="E306" s="358">
        <v>0</v>
      </c>
      <c r="F306" s="358">
        <v>1.8</v>
      </c>
      <c r="G306" s="358">
        <v>1.8</v>
      </c>
      <c r="H306" s="358">
        <v>0</v>
      </c>
      <c r="I306" s="358">
        <v>0</v>
      </c>
      <c r="J306" s="358">
        <v>14.6</v>
      </c>
      <c r="K306" s="358">
        <v>25.2</v>
      </c>
      <c r="L306" s="358">
        <v>0.4</v>
      </c>
      <c r="M306" s="358">
        <v>4</v>
      </c>
    </row>
    <row r="307" spans="1:13" ht="13.8" x14ac:dyDescent="0.4">
      <c r="A307" s="356">
        <f t="shared" si="146"/>
        <v>18</v>
      </c>
      <c r="B307" s="358">
        <v>12</v>
      </c>
      <c r="C307" s="358">
        <v>0.1</v>
      </c>
      <c r="D307" s="358">
        <v>0</v>
      </c>
      <c r="E307" s="358">
        <v>10.5</v>
      </c>
      <c r="F307" s="358">
        <v>47.2</v>
      </c>
      <c r="G307" s="358">
        <v>0</v>
      </c>
      <c r="H307" s="358">
        <v>0</v>
      </c>
      <c r="I307" s="358">
        <v>0</v>
      </c>
      <c r="J307" s="358">
        <v>0</v>
      </c>
      <c r="K307" s="358">
        <v>28.4</v>
      </c>
      <c r="L307" s="358">
        <v>9.1</v>
      </c>
      <c r="M307" s="358">
        <v>0</v>
      </c>
    </row>
    <row r="308" spans="1:13" ht="13.8" x14ac:dyDescent="0.4">
      <c r="A308" s="356">
        <f t="shared" si="146"/>
        <v>19</v>
      </c>
      <c r="B308" s="358">
        <v>88.3</v>
      </c>
      <c r="C308" s="358">
        <v>16.8</v>
      </c>
      <c r="D308" s="358">
        <v>2</v>
      </c>
      <c r="E308" s="358">
        <v>4.4000000000000004</v>
      </c>
      <c r="F308" s="358">
        <v>0</v>
      </c>
      <c r="G308" s="358">
        <v>14</v>
      </c>
      <c r="H308" s="358">
        <v>0</v>
      </c>
      <c r="I308" s="358">
        <v>6</v>
      </c>
      <c r="J308" s="358">
        <v>0</v>
      </c>
      <c r="K308" s="358">
        <v>1.2</v>
      </c>
      <c r="L308" s="358">
        <v>0</v>
      </c>
      <c r="M308" s="358">
        <v>0</v>
      </c>
    </row>
    <row r="309" spans="1:13" ht="13.8" x14ac:dyDescent="0.4">
      <c r="A309" s="356">
        <f t="shared" si="146"/>
        <v>20</v>
      </c>
      <c r="B309" s="358">
        <v>17.7</v>
      </c>
      <c r="C309" s="358">
        <v>19.100000000000001</v>
      </c>
      <c r="D309" s="358">
        <v>0</v>
      </c>
      <c r="E309" s="358">
        <v>7.8</v>
      </c>
      <c r="F309" s="358">
        <v>26.2</v>
      </c>
      <c r="G309" s="358">
        <v>1.2</v>
      </c>
      <c r="H309" s="358">
        <v>0</v>
      </c>
      <c r="I309" s="358">
        <v>16.899999999999999</v>
      </c>
      <c r="J309" s="358">
        <v>0</v>
      </c>
      <c r="K309" s="358">
        <v>9</v>
      </c>
      <c r="L309" s="358">
        <v>2</v>
      </c>
      <c r="M309" s="358">
        <v>5.4</v>
      </c>
    </row>
    <row r="310" spans="1:13" ht="13.8" x14ac:dyDescent="0.4">
      <c r="A310" s="356">
        <f t="shared" si="146"/>
        <v>21</v>
      </c>
      <c r="B310" s="358">
        <v>0</v>
      </c>
      <c r="C310" s="358">
        <v>1.3</v>
      </c>
      <c r="D310" s="358">
        <v>0.4</v>
      </c>
      <c r="E310" s="358">
        <v>0</v>
      </c>
      <c r="F310" s="358">
        <v>0</v>
      </c>
      <c r="G310" s="358">
        <v>1</v>
      </c>
      <c r="H310" s="358">
        <v>0</v>
      </c>
      <c r="I310" s="358">
        <v>0</v>
      </c>
      <c r="J310" s="358">
        <v>0</v>
      </c>
      <c r="K310" s="358">
        <v>1.6</v>
      </c>
      <c r="L310" s="358">
        <v>0</v>
      </c>
      <c r="M310" s="358">
        <v>6.5</v>
      </c>
    </row>
    <row r="311" spans="1:13" ht="13.8" x14ac:dyDescent="0.4">
      <c r="A311" s="356">
        <f t="shared" si="146"/>
        <v>22</v>
      </c>
      <c r="B311" s="358">
        <v>28.8</v>
      </c>
      <c r="C311" s="358">
        <v>5</v>
      </c>
      <c r="D311" s="358">
        <v>10.3</v>
      </c>
      <c r="E311" s="358">
        <v>0</v>
      </c>
      <c r="F311" s="358">
        <v>0</v>
      </c>
      <c r="G311" s="358">
        <v>8.5</v>
      </c>
      <c r="H311" s="358">
        <v>0</v>
      </c>
      <c r="I311" s="358">
        <v>0</v>
      </c>
      <c r="J311" s="358">
        <v>15</v>
      </c>
      <c r="K311" s="358">
        <v>22</v>
      </c>
      <c r="L311" s="358">
        <v>3.4</v>
      </c>
      <c r="M311" s="358">
        <v>1.7</v>
      </c>
    </row>
    <row r="312" spans="1:13" ht="13.8" x14ac:dyDescent="0.4">
      <c r="A312" s="356">
        <f t="shared" si="146"/>
        <v>23</v>
      </c>
      <c r="B312" s="358">
        <v>2.9</v>
      </c>
      <c r="C312" s="358">
        <v>5.6</v>
      </c>
      <c r="D312" s="358">
        <v>0</v>
      </c>
      <c r="E312" s="358">
        <v>0</v>
      </c>
      <c r="F312" s="358">
        <v>0</v>
      </c>
      <c r="G312" s="358">
        <v>1.6</v>
      </c>
      <c r="H312" s="358">
        <v>0</v>
      </c>
      <c r="I312" s="358">
        <v>0</v>
      </c>
      <c r="J312" s="358">
        <v>3.8</v>
      </c>
      <c r="K312" s="358">
        <v>8.5</v>
      </c>
      <c r="L312" s="358">
        <v>19.2</v>
      </c>
      <c r="M312" s="358">
        <v>0</v>
      </c>
    </row>
    <row r="313" spans="1:13" ht="13.8" x14ac:dyDescent="0.4">
      <c r="A313" s="356">
        <f t="shared" si="146"/>
        <v>24</v>
      </c>
      <c r="B313" s="358">
        <v>0</v>
      </c>
      <c r="C313" s="358">
        <v>155</v>
      </c>
      <c r="D313" s="358">
        <v>0.2</v>
      </c>
      <c r="E313" s="358">
        <v>0</v>
      </c>
      <c r="F313" s="358">
        <v>17.600000000000001</v>
      </c>
      <c r="G313" s="358">
        <v>1</v>
      </c>
      <c r="H313" s="358">
        <v>3.5</v>
      </c>
      <c r="I313" s="358">
        <v>0</v>
      </c>
      <c r="J313" s="358">
        <v>0.5</v>
      </c>
      <c r="K313" s="358">
        <v>2.2999999999999998</v>
      </c>
      <c r="L313" s="358">
        <v>1.3</v>
      </c>
      <c r="M313" s="358">
        <v>92.6</v>
      </c>
    </row>
    <row r="314" spans="1:13" ht="13.8" x14ac:dyDescent="0.4">
      <c r="A314" s="356">
        <f t="shared" si="146"/>
        <v>25</v>
      </c>
      <c r="B314" s="358">
        <v>1.5</v>
      </c>
      <c r="C314" s="358">
        <v>65.599999999999994</v>
      </c>
      <c r="D314" s="358">
        <v>20.5</v>
      </c>
      <c r="E314" s="358">
        <v>79.400000000000006</v>
      </c>
      <c r="F314" s="358">
        <v>12.5</v>
      </c>
      <c r="G314" s="358">
        <v>33.4</v>
      </c>
      <c r="H314" s="358">
        <v>0</v>
      </c>
      <c r="I314" s="358">
        <v>0</v>
      </c>
      <c r="J314" s="358">
        <v>5.8</v>
      </c>
      <c r="K314" s="358">
        <v>0</v>
      </c>
      <c r="L314" s="358">
        <v>0.8</v>
      </c>
      <c r="M314" s="358">
        <v>0</v>
      </c>
    </row>
    <row r="315" spans="1:13" ht="13.8" x14ac:dyDescent="0.4">
      <c r="A315" s="356">
        <f t="shared" si="146"/>
        <v>26</v>
      </c>
      <c r="B315" s="358">
        <v>0</v>
      </c>
      <c r="C315" s="358">
        <v>48.2</v>
      </c>
      <c r="D315" s="358">
        <v>0.8</v>
      </c>
      <c r="E315" s="358">
        <v>0</v>
      </c>
      <c r="F315" s="358">
        <v>0</v>
      </c>
      <c r="G315" s="358">
        <v>0</v>
      </c>
      <c r="H315" s="358">
        <v>0</v>
      </c>
      <c r="I315" s="358">
        <v>0</v>
      </c>
      <c r="J315" s="358">
        <v>0</v>
      </c>
      <c r="K315" s="358">
        <v>52.4</v>
      </c>
      <c r="L315" s="358">
        <v>1.5</v>
      </c>
      <c r="M315" s="358">
        <v>8</v>
      </c>
    </row>
    <row r="316" spans="1:13" ht="13.8" x14ac:dyDescent="0.4">
      <c r="A316" s="356">
        <f t="shared" si="146"/>
        <v>27</v>
      </c>
      <c r="B316" s="358">
        <v>5.9</v>
      </c>
      <c r="C316" s="358">
        <v>0.2</v>
      </c>
      <c r="D316" s="358">
        <v>0</v>
      </c>
      <c r="E316" s="358">
        <v>0</v>
      </c>
      <c r="F316" s="358">
        <v>0</v>
      </c>
      <c r="G316" s="358">
        <v>0</v>
      </c>
      <c r="H316" s="358">
        <v>0</v>
      </c>
      <c r="I316" s="358">
        <v>0</v>
      </c>
      <c r="J316" s="358">
        <v>0.1</v>
      </c>
      <c r="K316" s="358">
        <v>1.5</v>
      </c>
      <c r="L316" s="358">
        <v>10</v>
      </c>
      <c r="M316" s="358">
        <v>1.5</v>
      </c>
    </row>
    <row r="317" spans="1:13" ht="13.8" x14ac:dyDescent="0.4">
      <c r="A317" s="356">
        <f t="shared" si="146"/>
        <v>28</v>
      </c>
      <c r="B317" s="358">
        <v>43.3</v>
      </c>
      <c r="C317" s="358">
        <v>1.5</v>
      </c>
      <c r="D317" s="358">
        <v>0.7</v>
      </c>
      <c r="E317" s="358">
        <v>7</v>
      </c>
      <c r="F317" s="358">
        <v>0</v>
      </c>
      <c r="G317" s="358">
        <v>1.5</v>
      </c>
      <c r="H317" s="358">
        <v>0</v>
      </c>
      <c r="I317" s="358">
        <v>0</v>
      </c>
      <c r="J317" s="358">
        <v>30.4</v>
      </c>
      <c r="K317" s="358">
        <v>0.8</v>
      </c>
      <c r="L317" s="358">
        <v>3.2</v>
      </c>
      <c r="M317" s="358">
        <v>20</v>
      </c>
    </row>
    <row r="318" spans="1:13" ht="13.8" x14ac:dyDescent="0.4">
      <c r="A318" s="356">
        <f t="shared" si="146"/>
        <v>29</v>
      </c>
      <c r="B318" s="358">
        <v>18</v>
      </c>
      <c r="C318" s="357"/>
      <c r="D318" s="358">
        <v>15.3</v>
      </c>
      <c r="E318" s="358">
        <v>0</v>
      </c>
      <c r="F318" s="358">
        <v>0</v>
      </c>
      <c r="G318" s="358">
        <v>23.8</v>
      </c>
      <c r="H318" s="358">
        <v>0</v>
      </c>
      <c r="I318" s="358">
        <v>0</v>
      </c>
      <c r="J318" s="358">
        <v>42.2</v>
      </c>
      <c r="K318" s="358">
        <v>9.8000000000000007</v>
      </c>
      <c r="L318" s="358">
        <v>0</v>
      </c>
      <c r="M318" s="358">
        <v>10.5</v>
      </c>
    </row>
    <row r="319" spans="1:13" ht="13.8" x14ac:dyDescent="0.4">
      <c r="A319" s="356">
        <f t="shared" si="146"/>
        <v>30</v>
      </c>
      <c r="B319" s="358">
        <v>16.899999999999999</v>
      </c>
      <c r="C319" s="357"/>
      <c r="D319" s="358">
        <v>18.600000000000001</v>
      </c>
      <c r="E319" s="358">
        <v>0</v>
      </c>
      <c r="F319" s="358">
        <v>1.5</v>
      </c>
      <c r="G319" s="358">
        <v>0</v>
      </c>
      <c r="H319" s="358">
        <v>0</v>
      </c>
      <c r="I319" s="358">
        <v>0</v>
      </c>
      <c r="J319" s="358">
        <v>0</v>
      </c>
      <c r="K319" s="358">
        <v>1.2</v>
      </c>
      <c r="L319" s="358">
        <v>3.2</v>
      </c>
      <c r="M319" s="358">
        <v>0</v>
      </c>
    </row>
    <row r="320" spans="1:13" ht="13.8" x14ac:dyDescent="0.4">
      <c r="A320" s="356">
        <f t="shared" si="146"/>
        <v>31</v>
      </c>
      <c r="B320" s="358">
        <v>17.2</v>
      </c>
      <c r="C320" s="357"/>
      <c r="D320" s="358">
        <v>3.4</v>
      </c>
      <c r="E320" s="357"/>
      <c r="F320" s="358">
        <v>0</v>
      </c>
      <c r="G320" s="357"/>
      <c r="H320" s="358">
        <v>0</v>
      </c>
      <c r="I320" s="358">
        <v>0.5</v>
      </c>
      <c r="J320" s="357">
        <v>0</v>
      </c>
      <c r="K320" s="358">
        <v>3</v>
      </c>
      <c r="L320" s="357"/>
      <c r="M320" s="358">
        <v>26.2</v>
      </c>
    </row>
    <row r="321" spans="1:13" ht="13.8" x14ac:dyDescent="0.4">
      <c r="A321" s="356" t="s">
        <v>3296</v>
      </c>
      <c r="B321" s="357">
        <f>MAX(B290:B320)</f>
        <v>88.3</v>
      </c>
      <c r="C321" s="357">
        <f t="shared" ref="C321" si="147">MAX(C290:C320)</f>
        <v>155</v>
      </c>
      <c r="D321" s="357">
        <f t="shared" ref="D321" si="148">MAX(D290:D320)</f>
        <v>25.9</v>
      </c>
      <c r="E321" s="357">
        <f t="shared" ref="E321" si="149">MAX(E290:E320)</f>
        <v>79.400000000000006</v>
      </c>
      <c r="F321" s="357">
        <f t="shared" ref="F321" si="150">MAX(F290:F320)</f>
        <v>47.2</v>
      </c>
      <c r="G321" s="357">
        <f t="shared" ref="G321" si="151">MAX(G290:G320)</f>
        <v>45.4</v>
      </c>
      <c r="H321" s="357">
        <f t="shared" ref="H321" si="152">MAX(H290:H320)</f>
        <v>3.5</v>
      </c>
      <c r="I321" s="357">
        <f>MAX(I290:I320)</f>
        <v>90</v>
      </c>
      <c r="J321" s="357">
        <f t="shared" ref="J321" si="153">MAX(J290:J320)</f>
        <v>89.1</v>
      </c>
      <c r="K321" s="357">
        <f t="shared" ref="K321" si="154">MAX(K290:K320)</f>
        <v>52.4</v>
      </c>
      <c r="L321" s="357">
        <f t="shared" ref="L321" si="155">MAX(L290:L320)</f>
        <v>71.2</v>
      </c>
      <c r="M321" s="357">
        <f t="shared" ref="M321" si="156">MAX(M290:M320)</f>
        <v>92.6</v>
      </c>
    </row>
    <row r="322" spans="1:13" ht="13.8" x14ac:dyDescent="0.4">
      <c r="A322" s="356" t="s">
        <v>4798</v>
      </c>
      <c r="B322" s="357">
        <f>SUM(B290:B320)</f>
        <v>300.79999999999995</v>
      </c>
      <c r="C322" s="357">
        <f t="shared" ref="C322:M322" si="157">SUM(C290:C320)</f>
        <v>835.5</v>
      </c>
      <c r="D322" s="357">
        <f t="shared" si="157"/>
        <v>146.9</v>
      </c>
      <c r="E322" s="357">
        <f t="shared" si="157"/>
        <v>217.8</v>
      </c>
      <c r="F322" s="357">
        <f t="shared" si="157"/>
        <v>130.9</v>
      </c>
      <c r="G322" s="357">
        <f t="shared" si="157"/>
        <v>181</v>
      </c>
      <c r="H322" s="357">
        <f t="shared" si="157"/>
        <v>3.5</v>
      </c>
      <c r="I322" s="357">
        <f t="shared" si="157"/>
        <v>135.79999999999998</v>
      </c>
      <c r="J322" s="357">
        <f t="shared" si="157"/>
        <v>231.3</v>
      </c>
      <c r="K322" s="357">
        <f t="shared" si="157"/>
        <v>175.4</v>
      </c>
      <c r="L322" s="357">
        <f t="shared" si="157"/>
        <v>342.69999999999993</v>
      </c>
      <c r="M322" s="357">
        <f t="shared" si="157"/>
        <v>308.2</v>
      </c>
    </row>
    <row r="323" spans="1:13" ht="13.8" x14ac:dyDescent="0.4">
      <c r="A323" s="356" t="s">
        <v>4799</v>
      </c>
      <c r="B323" s="357">
        <f>COUNTIF(B290:B320,"&gt;2")</f>
        <v>16</v>
      </c>
      <c r="C323" s="357">
        <f t="shared" ref="C323:M323" si="158">COUNTIF(C290:C320,"&gt;2")</f>
        <v>23</v>
      </c>
      <c r="D323" s="357">
        <f t="shared" si="158"/>
        <v>11</v>
      </c>
      <c r="E323" s="357">
        <f t="shared" si="158"/>
        <v>11</v>
      </c>
      <c r="F323" s="357">
        <f t="shared" si="158"/>
        <v>5</v>
      </c>
      <c r="G323" s="357">
        <f t="shared" si="158"/>
        <v>7</v>
      </c>
      <c r="H323" s="357">
        <f t="shared" si="158"/>
        <v>1</v>
      </c>
      <c r="I323" s="357">
        <f t="shared" si="158"/>
        <v>5</v>
      </c>
      <c r="J323" s="357">
        <f t="shared" si="158"/>
        <v>10</v>
      </c>
      <c r="K323" s="357">
        <f t="shared" si="158"/>
        <v>10</v>
      </c>
      <c r="L323" s="357">
        <f t="shared" si="158"/>
        <v>16</v>
      </c>
      <c r="M323" s="357">
        <f t="shared" si="158"/>
        <v>14</v>
      </c>
    </row>
    <row r="324" spans="1:13" ht="13.8" x14ac:dyDescent="0.4">
      <c r="A324" s="356" t="s">
        <v>4800</v>
      </c>
      <c r="B324" s="357">
        <f>B322/B323</f>
        <v>18.799999999999997</v>
      </c>
      <c r="C324" s="357">
        <f t="shared" ref="C324" si="159">C322/C323</f>
        <v>36.326086956521742</v>
      </c>
      <c r="D324" s="357">
        <f t="shared" ref="D324" si="160">D322/D323</f>
        <v>13.354545454545455</v>
      </c>
      <c r="E324" s="357">
        <f t="shared" ref="E324" si="161">E322/E323</f>
        <v>19.8</v>
      </c>
      <c r="F324" s="357">
        <f t="shared" ref="F324" si="162">F322/F323</f>
        <v>26.18</v>
      </c>
      <c r="G324" s="357">
        <f t="shared" ref="G324" si="163">G322/G323</f>
        <v>25.857142857142858</v>
      </c>
      <c r="H324" s="357">
        <f t="shared" ref="H324" si="164">H322/H323</f>
        <v>3.5</v>
      </c>
      <c r="I324" s="357">
        <f t="shared" ref="I324" si="165">I322/I323</f>
        <v>27.159999999999997</v>
      </c>
      <c r="J324" s="357">
        <f t="shared" ref="J324" si="166">J322/J323</f>
        <v>23.130000000000003</v>
      </c>
      <c r="K324" s="357">
        <f t="shared" ref="K324" si="167">K322/K323</f>
        <v>17.54</v>
      </c>
      <c r="L324" s="357">
        <f t="shared" ref="L324" si="168">L322/L323</f>
        <v>21.418749999999996</v>
      </c>
      <c r="M324" s="357">
        <f t="shared" ref="M324" si="169">M322/M323</f>
        <v>22.014285714285712</v>
      </c>
    </row>
    <row r="327" spans="1:13" ht="15.6" x14ac:dyDescent="0.2">
      <c r="A327" s="817" t="s">
        <v>3273</v>
      </c>
      <c r="B327" s="818">
        <v>2022</v>
      </c>
      <c r="C327" s="818"/>
      <c r="D327" s="818"/>
      <c r="E327" s="818"/>
      <c r="F327" s="818"/>
      <c r="G327" s="818"/>
      <c r="H327" s="818"/>
      <c r="I327" s="818"/>
      <c r="J327" s="818"/>
      <c r="K327" s="818"/>
      <c r="L327" s="818"/>
      <c r="M327" s="818"/>
    </row>
    <row r="328" spans="1:13" x14ac:dyDescent="0.2">
      <c r="A328" s="817"/>
      <c r="B328" s="769" t="s">
        <v>3280</v>
      </c>
      <c r="C328" s="769" t="s">
        <v>3281</v>
      </c>
      <c r="D328" s="769" t="s">
        <v>3282</v>
      </c>
      <c r="E328" s="769" t="s">
        <v>3283</v>
      </c>
      <c r="F328" s="769" t="s">
        <v>3284</v>
      </c>
      <c r="G328" s="769" t="s">
        <v>3285</v>
      </c>
      <c r="H328" s="769" t="s">
        <v>3286</v>
      </c>
      <c r="I328" s="769" t="s">
        <v>3294</v>
      </c>
      <c r="J328" s="769" t="s">
        <v>3288</v>
      </c>
      <c r="K328" s="769" t="s">
        <v>3289</v>
      </c>
      <c r="L328" s="769" t="s">
        <v>3290</v>
      </c>
      <c r="M328" s="769" t="s">
        <v>3291</v>
      </c>
    </row>
    <row r="329" spans="1:13" ht="11.4" customHeight="1" x14ac:dyDescent="0.2">
      <c r="A329" s="817"/>
      <c r="B329" s="819" t="s">
        <v>3295</v>
      </c>
      <c r="C329" s="819" t="s">
        <v>3295</v>
      </c>
      <c r="D329" s="819" t="s">
        <v>3295</v>
      </c>
      <c r="E329" s="819" t="s">
        <v>3295</v>
      </c>
      <c r="F329" s="819" t="s">
        <v>3295</v>
      </c>
      <c r="G329" s="819" t="s">
        <v>3295</v>
      </c>
      <c r="H329" s="819" t="s">
        <v>3295</v>
      </c>
      <c r="I329" s="819" t="s">
        <v>3295</v>
      </c>
      <c r="J329" s="819" t="s">
        <v>3295</v>
      </c>
      <c r="K329" s="819" t="s">
        <v>3295</v>
      </c>
      <c r="L329" s="819" t="s">
        <v>3295</v>
      </c>
      <c r="M329" s="819" t="s">
        <v>3295</v>
      </c>
    </row>
    <row r="330" spans="1:13" ht="24" customHeight="1" x14ac:dyDescent="0.2">
      <c r="A330" s="817"/>
      <c r="B330" s="819"/>
      <c r="C330" s="819"/>
      <c r="D330" s="819"/>
      <c r="E330" s="819"/>
      <c r="F330" s="819"/>
      <c r="G330" s="819"/>
      <c r="H330" s="819"/>
      <c r="I330" s="819"/>
      <c r="J330" s="819"/>
      <c r="K330" s="819"/>
      <c r="L330" s="819"/>
      <c r="M330" s="819"/>
    </row>
    <row r="331" spans="1:13" ht="13.8" x14ac:dyDescent="0.4">
      <c r="A331" s="356">
        <v>1</v>
      </c>
      <c r="B331" s="358">
        <v>48</v>
      </c>
      <c r="C331" s="358">
        <v>7</v>
      </c>
      <c r="D331" s="358">
        <v>8.5</v>
      </c>
      <c r="E331" s="358">
        <v>26.6</v>
      </c>
      <c r="F331" s="358">
        <v>3</v>
      </c>
      <c r="G331" s="358">
        <v>0</v>
      </c>
      <c r="H331" s="358">
        <v>0</v>
      </c>
      <c r="I331" s="358">
        <v>0</v>
      </c>
      <c r="J331" s="358">
        <v>0</v>
      </c>
      <c r="K331" s="358">
        <v>0</v>
      </c>
      <c r="L331" s="358">
        <v>0</v>
      </c>
      <c r="M331" s="358">
        <v>2.4</v>
      </c>
    </row>
    <row r="332" spans="1:13" ht="13.8" x14ac:dyDescent="0.4">
      <c r="A332" s="356">
        <f t="shared" ref="A332:A361" si="170">A331+1</f>
        <v>2</v>
      </c>
      <c r="B332" s="358">
        <v>0.4</v>
      </c>
      <c r="C332" s="358">
        <v>1.1000000000000001</v>
      </c>
      <c r="D332" s="358">
        <v>0</v>
      </c>
      <c r="E332" s="358">
        <v>1.4</v>
      </c>
      <c r="F332" s="358">
        <v>0</v>
      </c>
      <c r="G332" s="358">
        <v>0</v>
      </c>
      <c r="H332" s="358">
        <v>0</v>
      </c>
      <c r="I332" s="358">
        <v>0</v>
      </c>
      <c r="J332" s="358">
        <v>0</v>
      </c>
      <c r="K332" s="358">
        <v>0</v>
      </c>
      <c r="L332" s="358">
        <v>1.6</v>
      </c>
      <c r="M332" s="358">
        <v>9.8000000000000007</v>
      </c>
    </row>
    <row r="333" spans="1:13" ht="13.8" x14ac:dyDescent="0.4">
      <c r="A333" s="356">
        <f t="shared" si="170"/>
        <v>3</v>
      </c>
      <c r="B333" s="358">
        <v>0</v>
      </c>
      <c r="C333" s="358">
        <v>0</v>
      </c>
      <c r="D333" s="358">
        <v>1.7</v>
      </c>
      <c r="E333" s="358">
        <v>0</v>
      </c>
      <c r="F333" s="358">
        <v>0</v>
      </c>
      <c r="G333" s="358">
        <v>9</v>
      </c>
      <c r="H333" s="358">
        <v>7.5</v>
      </c>
      <c r="I333" s="358">
        <v>0</v>
      </c>
      <c r="J333" s="358">
        <v>0</v>
      </c>
      <c r="K333" s="358">
        <v>0</v>
      </c>
      <c r="L333" s="358">
        <v>0</v>
      </c>
      <c r="M333" s="358">
        <v>0</v>
      </c>
    </row>
    <row r="334" spans="1:13" ht="13.8" x14ac:dyDescent="0.4">
      <c r="A334" s="356">
        <f t="shared" si="170"/>
        <v>4</v>
      </c>
      <c r="B334" s="358">
        <v>0</v>
      </c>
      <c r="C334" s="358">
        <v>0</v>
      </c>
      <c r="D334" s="358">
        <v>4.2</v>
      </c>
      <c r="E334" s="358">
        <v>1.7</v>
      </c>
      <c r="F334" s="358">
        <v>0</v>
      </c>
      <c r="G334" s="358">
        <v>0</v>
      </c>
      <c r="H334" s="358">
        <v>0</v>
      </c>
      <c r="I334" s="358">
        <v>0</v>
      </c>
      <c r="J334" s="358">
        <v>0</v>
      </c>
      <c r="K334" s="358">
        <v>0.2</v>
      </c>
      <c r="L334" s="358">
        <v>5.3</v>
      </c>
      <c r="M334" s="358">
        <v>1.5</v>
      </c>
    </row>
    <row r="335" spans="1:13" ht="13.8" x14ac:dyDescent="0.4">
      <c r="A335" s="356">
        <f t="shared" si="170"/>
        <v>5</v>
      </c>
      <c r="B335" s="358">
        <v>0</v>
      </c>
      <c r="C335" s="358">
        <v>0.1</v>
      </c>
      <c r="D335" s="358">
        <v>0</v>
      </c>
      <c r="E335" s="358">
        <v>0.2</v>
      </c>
      <c r="F335" s="358">
        <v>0</v>
      </c>
      <c r="G335" s="358">
        <v>0</v>
      </c>
      <c r="H335" s="358">
        <v>0</v>
      </c>
      <c r="I335" s="358">
        <v>0</v>
      </c>
      <c r="J335" s="358">
        <v>0</v>
      </c>
      <c r="K335" s="358">
        <v>0.2</v>
      </c>
      <c r="L335" s="358">
        <v>14.6</v>
      </c>
      <c r="M335" s="358">
        <v>4.4000000000000004</v>
      </c>
    </row>
    <row r="336" spans="1:13" ht="13.8" x14ac:dyDescent="0.4">
      <c r="A336" s="356">
        <f t="shared" si="170"/>
        <v>6</v>
      </c>
      <c r="B336" s="358">
        <v>0.4</v>
      </c>
      <c r="C336" s="358">
        <v>19</v>
      </c>
      <c r="D336" s="358">
        <v>0.4</v>
      </c>
      <c r="E336" s="358">
        <v>51.8</v>
      </c>
      <c r="F336" s="358">
        <v>0</v>
      </c>
      <c r="G336" s="358">
        <v>68</v>
      </c>
      <c r="H336" s="358">
        <v>1</v>
      </c>
      <c r="I336" s="358">
        <v>0</v>
      </c>
      <c r="J336" s="358">
        <v>0</v>
      </c>
      <c r="K336" s="358">
        <v>3.6</v>
      </c>
      <c r="L336" s="358">
        <v>20.399999999999999</v>
      </c>
      <c r="M336" s="358">
        <v>0.4</v>
      </c>
    </row>
    <row r="337" spans="1:13" ht="13.8" x14ac:dyDescent="0.4">
      <c r="A337" s="356">
        <f t="shared" si="170"/>
        <v>7</v>
      </c>
      <c r="B337" s="358">
        <v>20</v>
      </c>
      <c r="C337" s="358">
        <v>21.4</v>
      </c>
      <c r="D337" s="358">
        <v>0</v>
      </c>
      <c r="E337" s="358">
        <v>0</v>
      </c>
      <c r="F337" s="358">
        <v>5</v>
      </c>
      <c r="G337" s="358">
        <v>32</v>
      </c>
      <c r="H337" s="358">
        <v>5.2</v>
      </c>
      <c r="I337" s="358">
        <v>0</v>
      </c>
      <c r="J337" s="358">
        <v>0</v>
      </c>
      <c r="K337" s="358">
        <v>11</v>
      </c>
      <c r="L337" s="358">
        <v>21.6</v>
      </c>
      <c r="M337" s="358">
        <v>0</v>
      </c>
    </row>
    <row r="338" spans="1:13" ht="13.8" x14ac:dyDescent="0.4">
      <c r="A338" s="356">
        <f t="shared" si="170"/>
        <v>8</v>
      </c>
      <c r="B338" s="358">
        <v>0.4</v>
      </c>
      <c r="C338" s="358">
        <v>3.3</v>
      </c>
      <c r="D338" s="358">
        <v>7.3</v>
      </c>
      <c r="E338" s="358">
        <v>3.6</v>
      </c>
      <c r="F338" s="358">
        <v>31.2</v>
      </c>
      <c r="G338" s="358">
        <v>0</v>
      </c>
      <c r="H338" s="358">
        <v>0</v>
      </c>
      <c r="I338" s="358">
        <v>0</v>
      </c>
      <c r="J338" s="358">
        <v>14</v>
      </c>
      <c r="K338" s="358">
        <v>1</v>
      </c>
      <c r="L338" s="358">
        <v>0.5</v>
      </c>
      <c r="M338" s="358">
        <v>0</v>
      </c>
    </row>
    <row r="339" spans="1:13" ht="13.8" x14ac:dyDescent="0.4">
      <c r="A339" s="356">
        <f t="shared" si="170"/>
        <v>9</v>
      </c>
      <c r="B339" s="358">
        <v>4.0999999999999996</v>
      </c>
      <c r="C339" s="358">
        <v>10.8</v>
      </c>
      <c r="D339" s="358">
        <v>27.6</v>
      </c>
      <c r="E339" s="358">
        <v>0</v>
      </c>
      <c r="F339" s="358">
        <v>0</v>
      </c>
      <c r="G339" s="358">
        <v>0.1</v>
      </c>
      <c r="H339" s="358">
        <v>0</v>
      </c>
      <c r="I339" s="358">
        <v>0</v>
      </c>
      <c r="J339" s="358">
        <v>0.8</v>
      </c>
      <c r="K339" s="358">
        <v>15.2</v>
      </c>
      <c r="L339" s="358">
        <v>0</v>
      </c>
      <c r="M339" s="358">
        <v>0</v>
      </c>
    </row>
    <row r="340" spans="1:13" ht="13.8" x14ac:dyDescent="0.4">
      <c r="A340" s="356">
        <f t="shared" si="170"/>
        <v>10</v>
      </c>
      <c r="B340" s="358">
        <v>22</v>
      </c>
      <c r="C340" s="358">
        <v>4.7</v>
      </c>
      <c r="D340" s="358">
        <v>1.9</v>
      </c>
      <c r="E340" s="358">
        <v>14.5</v>
      </c>
      <c r="F340" s="358">
        <v>20.8</v>
      </c>
      <c r="G340" s="358">
        <v>0</v>
      </c>
      <c r="H340" s="358">
        <v>0</v>
      </c>
      <c r="I340" s="358">
        <v>0</v>
      </c>
      <c r="J340" s="358">
        <v>0</v>
      </c>
      <c r="K340" s="358">
        <v>26</v>
      </c>
      <c r="L340" s="358">
        <v>9.5</v>
      </c>
      <c r="M340" s="358">
        <v>1.6</v>
      </c>
    </row>
    <row r="341" spans="1:13" ht="13.8" x14ac:dyDescent="0.4">
      <c r="A341" s="356">
        <f t="shared" si="170"/>
        <v>11</v>
      </c>
      <c r="B341" s="358">
        <v>6.8</v>
      </c>
      <c r="C341" s="358">
        <v>25.9</v>
      </c>
      <c r="D341" s="358">
        <v>0.2</v>
      </c>
      <c r="E341" s="358">
        <v>0</v>
      </c>
      <c r="F341" s="358">
        <v>8.1999999999999993</v>
      </c>
      <c r="G341" s="358">
        <v>0</v>
      </c>
      <c r="H341" s="358">
        <v>0</v>
      </c>
      <c r="I341" s="358">
        <v>35.799999999999997</v>
      </c>
      <c r="J341" s="358">
        <v>20.399999999999999</v>
      </c>
      <c r="K341" s="358">
        <v>14</v>
      </c>
      <c r="L341" s="358">
        <v>10.4</v>
      </c>
      <c r="M341" s="358">
        <v>0</v>
      </c>
    </row>
    <row r="342" spans="1:13" ht="13.8" x14ac:dyDescent="0.4">
      <c r="A342" s="356">
        <f t="shared" si="170"/>
        <v>12</v>
      </c>
      <c r="B342" s="358">
        <v>15.4</v>
      </c>
      <c r="C342" s="358">
        <v>14</v>
      </c>
      <c r="D342" s="358">
        <v>8</v>
      </c>
      <c r="E342" s="358">
        <v>37.5</v>
      </c>
      <c r="F342" s="358">
        <v>0</v>
      </c>
      <c r="G342" s="358">
        <v>5</v>
      </c>
      <c r="H342" s="358">
        <v>0</v>
      </c>
      <c r="I342" s="358">
        <v>0</v>
      </c>
      <c r="J342" s="358">
        <v>0</v>
      </c>
      <c r="K342" s="358">
        <v>0</v>
      </c>
      <c r="L342" s="358">
        <v>0.6</v>
      </c>
      <c r="M342" s="358">
        <v>9.1</v>
      </c>
    </row>
    <row r="343" spans="1:13" ht="13.8" x14ac:dyDescent="0.4">
      <c r="A343" s="356">
        <f t="shared" si="170"/>
        <v>13</v>
      </c>
      <c r="B343" s="358">
        <v>0.3</v>
      </c>
      <c r="C343" s="358">
        <v>30</v>
      </c>
      <c r="D343" s="358">
        <v>30.1</v>
      </c>
      <c r="E343" s="358">
        <v>0</v>
      </c>
      <c r="F343" s="358">
        <v>0</v>
      </c>
      <c r="G343" s="358">
        <v>38</v>
      </c>
      <c r="H343" s="358">
        <v>1.6</v>
      </c>
      <c r="I343" s="358">
        <v>0</v>
      </c>
      <c r="J343" s="358">
        <v>0</v>
      </c>
      <c r="K343" s="358">
        <v>5.0999999999999996</v>
      </c>
      <c r="L343" s="358">
        <v>11</v>
      </c>
      <c r="M343" s="358">
        <v>37.5</v>
      </c>
    </row>
    <row r="344" spans="1:13" ht="13.8" x14ac:dyDescent="0.4">
      <c r="A344" s="356">
        <f t="shared" si="170"/>
        <v>14</v>
      </c>
      <c r="B344" s="358">
        <v>3</v>
      </c>
      <c r="C344" s="358">
        <v>4.5999999999999996</v>
      </c>
      <c r="D344" s="358">
        <v>25</v>
      </c>
      <c r="E344" s="358">
        <v>0.5</v>
      </c>
      <c r="F344" s="358">
        <v>0</v>
      </c>
      <c r="G344" s="358">
        <v>0.4</v>
      </c>
      <c r="H344" s="358">
        <v>38</v>
      </c>
      <c r="I344" s="358">
        <v>14</v>
      </c>
      <c r="J344" s="358">
        <v>8</v>
      </c>
      <c r="K344" s="358">
        <v>21.5</v>
      </c>
      <c r="L344" s="358">
        <v>0.5</v>
      </c>
      <c r="M344" s="358">
        <v>0</v>
      </c>
    </row>
    <row r="345" spans="1:13" ht="13.8" x14ac:dyDescent="0.4">
      <c r="A345" s="356">
        <f t="shared" si="170"/>
        <v>15</v>
      </c>
      <c r="B345" s="358">
        <v>0</v>
      </c>
      <c r="C345" s="358">
        <v>15.2</v>
      </c>
      <c r="D345" s="358">
        <v>24.8</v>
      </c>
      <c r="E345" s="358">
        <v>2</v>
      </c>
      <c r="F345" s="358">
        <v>9</v>
      </c>
      <c r="G345" s="358">
        <v>0</v>
      </c>
      <c r="H345" s="358">
        <v>23.4</v>
      </c>
      <c r="I345" s="358">
        <v>0</v>
      </c>
      <c r="J345" s="358">
        <v>0</v>
      </c>
      <c r="K345" s="358">
        <v>75.400000000000006</v>
      </c>
      <c r="L345" s="358">
        <v>18</v>
      </c>
      <c r="M345" s="358">
        <v>0</v>
      </c>
    </row>
    <row r="346" spans="1:13" ht="13.8" x14ac:dyDescent="0.4">
      <c r="A346" s="356">
        <f t="shared" si="170"/>
        <v>16</v>
      </c>
      <c r="B346" s="358">
        <v>8</v>
      </c>
      <c r="C346" s="358">
        <v>0</v>
      </c>
      <c r="D346" s="358">
        <v>8.6</v>
      </c>
      <c r="E346" s="358">
        <v>0</v>
      </c>
      <c r="F346" s="358">
        <v>0</v>
      </c>
      <c r="G346" s="358">
        <v>0</v>
      </c>
      <c r="H346" s="358">
        <v>0</v>
      </c>
      <c r="I346" s="358">
        <v>8.9</v>
      </c>
      <c r="J346" s="358">
        <v>21.5</v>
      </c>
      <c r="K346" s="358">
        <v>0.2</v>
      </c>
      <c r="L346" s="358">
        <v>0</v>
      </c>
      <c r="M346" s="358">
        <v>2</v>
      </c>
    </row>
    <row r="347" spans="1:13" ht="13.8" x14ac:dyDescent="0.4">
      <c r="A347" s="356">
        <f t="shared" si="170"/>
        <v>17</v>
      </c>
      <c r="B347" s="358">
        <v>0</v>
      </c>
      <c r="C347" s="358">
        <v>0</v>
      </c>
      <c r="D347" s="358">
        <v>0</v>
      </c>
      <c r="E347" s="358">
        <v>0</v>
      </c>
      <c r="F347" s="358">
        <v>0</v>
      </c>
      <c r="G347" s="358">
        <v>4.7</v>
      </c>
      <c r="H347" s="358">
        <v>48.4</v>
      </c>
      <c r="I347" s="358">
        <v>0</v>
      </c>
      <c r="J347" s="358">
        <v>10.9</v>
      </c>
      <c r="K347" s="358">
        <v>6</v>
      </c>
      <c r="L347" s="358">
        <v>0</v>
      </c>
      <c r="M347" s="358">
        <v>20.6</v>
      </c>
    </row>
    <row r="348" spans="1:13" ht="13.8" x14ac:dyDescent="0.4">
      <c r="A348" s="356">
        <f t="shared" si="170"/>
        <v>18</v>
      </c>
      <c r="B348" s="358">
        <v>5.7</v>
      </c>
      <c r="C348" s="358">
        <v>39.4</v>
      </c>
      <c r="D348" s="358">
        <v>0</v>
      </c>
      <c r="E348" s="358">
        <v>38</v>
      </c>
      <c r="F348" s="358">
        <v>19</v>
      </c>
      <c r="G348" s="358">
        <v>0.4</v>
      </c>
      <c r="H348" s="358">
        <v>0</v>
      </c>
      <c r="I348" s="358">
        <v>0</v>
      </c>
      <c r="J348" s="358">
        <v>0</v>
      </c>
      <c r="K348" s="358">
        <v>7.5</v>
      </c>
      <c r="L348" s="358">
        <v>1.5</v>
      </c>
      <c r="M348" s="358">
        <v>1.5</v>
      </c>
    </row>
    <row r="349" spans="1:13" ht="13.8" x14ac:dyDescent="0.4">
      <c r="A349" s="356">
        <f t="shared" si="170"/>
        <v>19</v>
      </c>
      <c r="B349" s="358">
        <v>13.5</v>
      </c>
      <c r="C349" s="358">
        <v>20</v>
      </c>
      <c r="D349" s="358">
        <v>0</v>
      </c>
      <c r="E349" s="358">
        <v>13.2</v>
      </c>
      <c r="F349" s="358">
        <v>5.2</v>
      </c>
      <c r="G349" s="358">
        <v>0</v>
      </c>
      <c r="H349" s="358">
        <v>0</v>
      </c>
      <c r="I349" s="358">
        <v>0</v>
      </c>
      <c r="J349" s="358">
        <v>0</v>
      </c>
      <c r="K349" s="358">
        <v>42</v>
      </c>
      <c r="L349" s="358">
        <v>2.5</v>
      </c>
      <c r="M349" s="358">
        <v>0</v>
      </c>
    </row>
    <row r="350" spans="1:13" ht="13.8" x14ac:dyDescent="0.4">
      <c r="A350" s="356">
        <f t="shared" si="170"/>
        <v>20</v>
      </c>
      <c r="B350" s="358">
        <v>16.3</v>
      </c>
      <c r="C350" s="358">
        <v>0</v>
      </c>
      <c r="D350" s="358">
        <v>3.5</v>
      </c>
      <c r="E350" s="358">
        <v>8.4</v>
      </c>
      <c r="F350" s="358">
        <v>8.6</v>
      </c>
      <c r="G350" s="358">
        <v>1</v>
      </c>
      <c r="H350" s="358">
        <v>0</v>
      </c>
      <c r="I350" s="358">
        <v>0</v>
      </c>
      <c r="J350" s="358">
        <v>8.6</v>
      </c>
      <c r="K350" s="358">
        <v>0.4</v>
      </c>
      <c r="L350" s="358">
        <v>0</v>
      </c>
      <c r="M350" s="358">
        <v>0</v>
      </c>
    </row>
    <row r="351" spans="1:13" ht="13.8" x14ac:dyDescent="0.4">
      <c r="A351" s="356">
        <f t="shared" si="170"/>
        <v>21</v>
      </c>
      <c r="B351" s="358">
        <v>2.5</v>
      </c>
      <c r="C351" s="358">
        <v>0</v>
      </c>
      <c r="D351" s="358">
        <v>0.2</v>
      </c>
      <c r="E351" s="358">
        <v>6.8</v>
      </c>
      <c r="F351" s="358">
        <v>5.5</v>
      </c>
      <c r="G351" s="358">
        <v>39.200000000000003</v>
      </c>
      <c r="H351" s="358">
        <v>0</v>
      </c>
      <c r="I351" s="358">
        <v>2</v>
      </c>
      <c r="J351" s="358">
        <v>0</v>
      </c>
      <c r="K351" s="358">
        <v>0.2</v>
      </c>
      <c r="L351" s="358">
        <v>0</v>
      </c>
      <c r="M351" s="358">
        <v>0.5</v>
      </c>
    </row>
    <row r="352" spans="1:13" ht="13.8" x14ac:dyDescent="0.4">
      <c r="A352" s="356">
        <f t="shared" si="170"/>
        <v>22</v>
      </c>
      <c r="B352" s="358">
        <v>18.5</v>
      </c>
      <c r="C352" s="358">
        <v>7.2</v>
      </c>
      <c r="D352" s="358">
        <v>0</v>
      </c>
      <c r="E352" s="358">
        <v>5.2</v>
      </c>
      <c r="F352" s="358">
        <v>2</v>
      </c>
      <c r="G352" s="358">
        <v>0.4</v>
      </c>
      <c r="H352" s="358">
        <v>0</v>
      </c>
      <c r="I352" s="358">
        <v>2.5</v>
      </c>
      <c r="J352" s="358">
        <v>0.4</v>
      </c>
      <c r="K352" s="358">
        <v>2.8</v>
      </c>
      <c r="L352" s="358">
        <v>0.8</v>
      </c>
      <c r="M352" s="358">
        <v>0.6</v>
      </c>
    </row>
    <row r="353" spans="1:13" ht="13.8" x14ac:dyDescent="0.4">
      <c r="A353" s="356">
        <f t="shared" si="170"/>
        <v>23</v>
      </c>
      <c r="B353" s="358">
        <v>0</v>
      </c>
      <c r="C353" s="358">
        <v>1.8</v>
      </c>
      <c r="D353" s="358">
        <v>0.2</v>
      </c>
      <c r="E353" s="358">
        <v>0</v>
      </c>
      <c r="F353" s="358">
        <v>2</v>
      </c>
      <c r="G353" s="358">
        <v>0</v>
      </c>
      <c r="H353" s="358">
        <v>0</v>
      </c>
      <c r="I353" s="358">
        <v>0</v>
      </c>
      <c r="J353" s="358">
        <v>17.8</v>
      </c>
      <c r="K353" s="358">
        <v>0</v>
      </c>
      <c r="L353" s="358">
        <v>0.5</v>
      </c>
      <c r="M353" s="358">
        <v>6.2</v>
      </c>
    </row>
    <row r="354" spans="1:13" ht="13.8" x14ac:dyDescent="0.4">
      <c r="A354" s="356">
        <f t="shared" si="170"/>
        <v>24</v>
      </c>
      <c r="B354" s="358">
        <v>0.4</v>
      </c>
      <c r="C354" s="358">
        <v>1</v>
      </c>
      <c r="D354" s="358">
        <v>0.3</v>
      </c>
      <c r="E354" s="358">
        <v>0</v>
      </c>
      <c r="F354" s="358">
        <v>0</v>
      </c>
      <c r="G354" s="358">
        <v>2.9</v>
      </c>
      <c r="H354" s="358">
        <v>0</v>
      </c>
      <c r="I354" s="358">
        <v>0</v>
      </c>
      <c r="J354" s="358">
        <v>0</v>
      </c>
      <c r="K354" s="358">
        <v>0</v>
      </c>
      <c r="L354" s="358">
        <v>0</v>
      </c>
      <c r="M354" s="358">
        <v>1.2</v>
      </c>
    </row>
    <row r="355" spans="1:13" ht="13.8" x14ac:dyDescent="0.4">
      <c r="A355" s="356">
        <f t="shared" si="170"/>
        <v>25</v>
      </c>
      <c r="B355" s="358">
        <v>0</v>
      </c>
      <c r="C355" s="358">
        <v>45.5</v>
      </c>
      <c r="D355" s="358">
        <v>0</v>
      </c>
      <c r="E355" s="358">
        <v>0</v>
      </c>
      <c r="F355" s="358">
        <v>1.2</v>
      </c>
      <c r="G355" s="358">
        <v>0</v>
      </c>
      <c r="H355" s="358">
        <v>0</v>
      </c>
      <c r="I355" s="358">
        <v>0</v>
      </c>
      <c r="J355" s="358">
        <v>0</v>
      </c>
      <c r="K355" s="358">
        <v>1</v>
      </c>
      <c r="L355" s="358">
        <v>0</v>
      </c>
      <c r="M355" s="358">
        <v>3</v>
      </c>
    </row>
    <row r="356" spans="1:13" ht="13.8" x14ac:dyDescent="0.4">
      <c r="A356" s="356">
        <f t="shared" si="170"/>
        <v>26</v>
      </c>
      <c r="B356" s="358">
        <v>6.5</v>
      </c>
      <c r="C356" s="358">
        <v>0</v>
      </c>
      <c r="D356" s="358">
        <v>21.5</v>
      </c>
      <c r="E356" s="358">
        <v>23.7</v>
      </c>
      <c r="F356" s="358">
        <v>0</v>
      </c>
      <c r="G356" s="358">
        <v>66.900000000000006</v>
      </c>
      <c r="H356" s="358">
        <v>0</v>
      </c>
      <c r="I356" s="358">
        <v>0</v>
      </c>
      <c r="J356" s="358">
        <v>0</v>
      </c>
      <c r="K356" s="358">
        <v>6.8</v>
      </c>
      <c r="L356" s="358">
        <v>0</v>
      </c>
      <c r="M356" s="358">
        <v>0</v>
      </c>
    </row>
    <row r="357" spans="1:13" ht="13.8" x14ac:dyDescent="0.4">
      <c r="A357" s="356">
        <f t="shared" si="170"/>
        <v>27</v>
      </c>
      <c r="B357" s="358">
        <v>8</v>
      </c>
      <c r="C357" s="358">
        <v>0</v>
      </c>
      <c r="D357" s="358">
        <v>0</v>
      </c>
      <c r="E357" s="358">
        <v>0</v>
      </c>
      <c r="F357" s="358">
        <v>20.399999999999999</v>
      </c>
      <c r="G357" s="358">
        <v>1.2</v>
      </c>
      <c r="H357" s="358">
        <v>0</v>
      </c>
      <c r="I357" s="358">
        <v>0</v>
      </c>
      <c r="J357" s="358">
        <v>0</v>
      </c>
      <c r="K357" s="358">
        <v>0</v>
      </c>
      <c r="L357" s="358">
        <v>0.6</v>
      </c>
      <c r="M357" s="358">
        <v>64.2</v>
      </c>
    </row>
    <row r="358" spans="1:13" ht="13.8" x14ac:dyDescent="0.4">
      <c r="A358" s="356">
        <f t="shared" si="170"/>
        <v>28</v>
      </c>
      <c r="B358" s="358">
        <v>0</v>
      </c>
      <c r="C358" s="358">
        <v>34.1</v>
      </c>
      <c r="D358" s="358">
        <v>0.2</v>
      </c>
      <c r="E358" s="358">
        <v>6.8</v>
      </c>
      <c r="F358" s="358">
        <v>0</v>
      </c>
      <c r="G358" s="358">
        <v>8.6</v>
      </c>
      <c r="H358" s="358">
        <v>0</v>
      </c>
      <c r="I358" s="358">
        <v>0</v>
      </c>
      <c r="J358" s="358">
        <v>0</v>
      </c>
      <c r="K358" s="358">
        <v>0</v>
      </c>
      <c r="L358" s="358">
        <v>2</v>
      </c>
      <c r="M358" s="358">
        <v>0</v>
      </c>
    </row>
    <row r="359" spans="1:13" ht="13.8" x14ac:dyDescent="0.4">
      <c r="A359" s="356">
        <f t="shared" si="170"/>
        <v>29</v>
      </c>
      <c r="B359" s="358">
        <v>4.5999999999999996</v>
      </c>
      <c r="C359" s="357"/>
      <c r="D359" s="358">
        <v>0</v>
      </c>
      <c r="E359" s="358">
        <v>0</v>
      </c>
      <c r="F359" s="358">
        <v>0</v>
      </c>
      <c r="G359" s="358">
        <v>0.4</v>
      </c>
      <c r="H359" s="358">
        <v>0</v>
      </c>
      <c r="I359" s="358">
        <v>0</v>
      </c>
      <c r="J359" s="358">
        <v>0</v>
      </c>
      <c r="K359" s="358">
        <v>0</v>
      </c>
      <c r="L359" s="358">
        <v>0</v>
      </c>
      <c r="M359" s="358">
        <v>22.1</v>
      </c>
    </row>
    <row r="360" spans="1:13" ht="13.8" x14ac:dyDescent="0.4">
      <c r="A360" s="356">
        <f t="shared" si="170"/>
        <v>30</v>
      </c>
      <c r="B360" s="358">
        <v>1</v>
      </c>
      <c r="C360" s="357"/>
      <c r="D360" s="358">
        <v>0</v>
      </c>
      <c r="E360" s="358">
        <v>9.1999999999999993</v>
      </c>
      <c r="F360" s="358">
        <v>1.6</v>
      </c>
      <c r="G360" s="358">
        <v>0</v>
      </c>
      <c r="H360" s="358">
        <v>0</v>
      </c>
      <c r="I360" s="358">
        <v>0</v>
      </c>
      <c r="J360" s="358">
        <v>0</v>
      </c>
      <c r="K360" s="358">
        <v>0</v>
      </c>
      <c r="L360" s="358">
        <v>0</v>
      </c>
      <c r="M360" s="358">
        <v>4</v>
      </c>
    </row>
    <row r="361" spans="1:13" ht="13.8" x14ac:dyDescent="0.4">
      <c r="A361" s="356">
        <f t="shared" si="170"/>
        <v>31</v>
      </c>
      <c r="B361" s="358">
        <v>0.2</v>
      </c>
      <c r="C361" s="357"/>
      <c r="D361" s="358">
        <v>16.100000000000001</v>
      </c>
      <c r="E361" s="357"/>
      <c r="F361" s="358">
        <v>0</v>
      </c>
      <c r="G361" s="357"/>
      <c r="H361" s="358">
        <v>0</v>
      </c>
      <c r="I361" s="358">
        <v>0</v>
      </c>
      <c r="J361" s="357"/>
      <c r="K361" s="358">
        <v>0</v>
      </c>
      <c r="L361" s="357"/>
      <c r="M361" s="358">
        <v>134</v>
      </c>
    </row>
    <row r="362" spans="1:13" ht="13.8" x14ac:dyDescent="0.4">
      <c r="A362" s="356" t="s">
        <v>3296</v>
      </c>
      <c r="B362" s="357">
        <f>MAX(B331:B361)</f>
        <v>48</v>
      </c>
      <c r="C362" s="357">
        <f t="shared" ref="C362" si="171">MAX(C331:C361)</f>
        <v>45.5</v>
      </c>
      <c r="D362" s="357">
        <f t="shared" ref="D362" si="172">MAX(D331:D361)</f>
        <v>30.1</v>
      </c>
      <c r="E362" s="357">
        <f t="shared" ref="E362" si="173">MAX(E331:E361)</f>
        <v>51.8</v>
      </c>
      <c r="F362" s="357">
        <f t="shared" ref="F362" si="174">MAX(F331:F361)</f>
        <v>31.2</v>
      </c>
      <c r="G362" s="357">
        <f t="shared" ref="G362" si="175">MAX(G331:G361)</f>
        <v>68</v>
      </c>
      <c r="H362" s="357">
        <f t="shared" ref="H362" si="176">MAX(H331:H361)</f>
        <v>48.4</v>
      </c>
      <c r="I362" s="357">
        <f>MAX(I331:I361)</f>
        <v>35.799999999999997</v>
      </c>
      <c r="J362" s="357">
        <f t="shared" ref="J362" si="177">MAX(J331:J361)</f>
        <v>21.5</v>
      </c>
      <c r="K362" s="357">
        <f t="shared" ref="K362" si="178">MAX(K331:K361)</f>
        <v>75.400000000000006</v>
      </c>
      <c r="L362" s="357">
        <f t="shared" ref="L362" si="179">MAX(L331:L361)</f>
        <v>21.6</v>
      </c>
      <c r="M362" s="357">
        <f t="shared" ref="M362" si="180">MAX(M331:M361)</f>
        <v>134</v>
      </c>
    </row>
    <row r="363" spans="1:13" ht="13.8" x14ac:dyDescent="0.4">
      <c r="A363" s="356" t="s">
        <v>4798</v>
      </c>
      <c r="B363" s="357">
        <f>SUM(B331:B361)</f>
        <v>206</v>
      </c>
      <c r="C363" s="357">
        <f t="shared" ref="C363:M363" si="181">SUM(C331:C361)</f>
        <v>306.10000000000002</v>
      </c>
      <c r="D363" s="357">
        <f t="shared" si="181"/>
        <v>190.29999999999998</v>
      </c>
      <c r="E363" s="357">
        <f t="shared" si="181"/>
        <v>251.09999999999997</v>
      </c>
      <c r="F363" s="357">
        <f t="shared" si="181"/>
        <v>142.69999999999999</v>
      </c>
      <c r="G363" s="357">
        <f t="shared" si="181"/>
        <v>278.2</v>
      </c>
      <c r="H363" s="357">
        <f t="shared" si="181"/>
        <v>125.1</v>
      </c>
      <c r="I363" s="357">
        <f t="shared" si="181"/>
        <v>63.199999999999996</v>
      </c>
      <c r="J363" s="357">
        <f t="shared" si="181"/>
        <v>102.4</v>
      </c>
      <c r="K363" s="357">
        <f t="shared" si="181"/>
        <v>240.1</v>
      </c>
      <c r="L363" s="357">
        <f t="shared" si="181"/>
        <v>121.89999999999999</v>
      </c>
      <c r="M363" s="357">
        <f t="shared" si="181"/>
        <v>326.60000000000002</v>
      </c>
    </row>
    <row r="364" spans="1:13" ht="13.8" x14ac:dyDescent="0.4">
      <c r="A364" s="356" t="s">
        <v>4799</v>
      </c>
      <c r="B364" s="357">
        <f>COUNTIF(B331:B361,"&gt;2")</f>
        <v>16</v>
      </c>
      <c r="C364" s="357">
        <f t="shared" ref="C364:M364" si="182">COUNTIF(C331:C361,"&gt;2")</f>
        <v>16</v>
      </c>
      <c r="D364" s="357">
        <f t="shared" si="182"/>
        <v>12</v>
      </c>
      <c r="E364" s="357">
        <f t="shared" si="182"/>
        <v>13</v>
      </c>
      <c r="F364" s="357">
        <f t="shared" si="182"/>
        <v>11</v>
      </c>
      <c r="G364" s="357">
        <f t="shared" si="182"/>
        <v>10</v>
      </c>
      <c r="H364" s="357">
        <f t="shared" si="182"/>
        <v>5</v>
      </c>
      <c r="I364" s="357">
        <f t="shared" si="182"/>
        <v>4</v>
      </c>
      <c r="J364" s="357">
        <f t="shared" si="182"/>
        <v>7</v>
      </c>
      <c r="K364" s="357">
        <f t="shared" si="182"/>
        <v>13</v>
      </c>
      <c r="L364" s="357">
        <f t="shared" si="182"/>
        <v>9</v>
      </c>
      <c r="M364" s="357">
        <f t="shared" si="182"/>
        <v>12</v>
      </c>
    </row>
    <row r="365" spans="1:13" ht="13.8" x14ac:dyDescent="0.4">
      <c r="A365" s="356" t="s">
        <v>4800</v>
      </c>
      <c r="B365" s="357">
        <f>B363/B364</f>
        <v>12.875</v>
      </c>
      <c r="C365" s="357">
        <f t="shared" ref="C365" si="183">C363/C364</f>
        <v>19.131250000000001</v>
      </c>
      <c r="D365" s="357">
        <f t="shared" ref="D365" si="184">D363/D364</f>
        <v>15.858333333333333</v>
      </c>
      <c r="E365" s="357">
        <f t="shared" ref="E365" si="185">E363/E364</f>
        <v>19.315384615384612</v>
      </c>
      <c r="F365" s="357">
        <f t="shared" ref="F365" si="186">F363/F364</f>
        <v>12.972727272727271</v>
      </c>
      <c r="G365" s="357">
        <f t="shared" ref="G365" si="187">G363/G364</f>
        <v>27.82</v>
      </c>
      <c r="H365" s="357">
        <f t="shared" ref="H365" si="188">H363/H364</f>
        <v>25.02</v>
      </c>
      <c r="I365" s="357">
        <f t="shared" ref="I365" si="189">I363/I364</f>
        <v>15.799999999999999</v>
      </c>
      <c r="J365" s="357">
        <f t="shared" ref="J365" si="190">J363/J364</f>
        <v>14.62857142857143</v>
      </c>
      <c r="K365" s="357">
        <f t="shared" ref="K365" si="191">K363/K364</f>
        <v>18.469230769230769</v>
      </c>
      <c r="L365" s="357">
        <f t="shared" ref="L365" si="192">L363/L364</f>
        <v>13.544444444444444</v>
      </c>
      <c r="M365" s="357">
        <f t="shared" ref="M365" si="193">M363/M364</f>
        <v>27.216666666666669</v>
      </c>
    </row>
    <row r="368" spans="1:13" ht="15.6" x14ac:dyDescent="0.2">
      <c r="A368" s="817" t="s">
        <v>3273</v>
      </c>
      <c r="B368" s="818">
        <v>2023</v>
      </c>
      <c r="C368" s="818"/>
      <c r="D368" s="818"/>
      <c r="E368" s="818"/>
      <c r="F368" s="818"/>
      <c r="G368" s="818"/>
      <c r="H368" s="818"/>
      <c r="I368" s="818"/>
      <c r="J368" s="818"/>
      <c r="K368" s="818"/>
      <c r="L368" s="818"/>
      <c r="M368" s="818"/>
    </row>
    <row r="369" spans="1:13" x14ac:dyDescent="0.2">
      <c r="A369" s="817"/>
      <c r="B369" s="769" t="s">
        <v>3280</v>
      </c>
      <c r="C369" s="769" t="s">
        <v>3281</v>
      </c>
      <c r="D369" s="769" t="s">
        <v>3282</v>
      </c>
      <c r="E369" s="769" t="s">
        <v>3283</v>
      </c>
      <c r="F369" s="769" t="s">
        <v>3284</v>
      </c>
      <c r="G369" s="769" t="s">
        <v>3285</v>
      </c>
      <c r="H369" s="769" t="s">
        <v>3286</v>
      </c>
      <c r="I369" s="769" t="s">
        <v>3294</v>
      </c>
      <c r="J369" s="769" t="s">
        <v>3288</v>
      </c>
      <c r="K369" s="769" t="s">
        <v>3289</v>
      </c>
      <c r="L369" s="769" t="s">
        <v>3290</v>
      </c>
      <c r="M369" s="769" t="s">
        <v>3291</v>
      </c>
    </row>
    <row r="370" spans="1:13" ht="11.4" customHeight="1" x14ac:dyDescent="0.2">
      <c r="A370" s="817"/>
      <c r="B370" s="819" t="s">
        <v>3295</v>
      </c>
      <c r="C370" s="819" t="s">
        <v>3295</v>
      </c>
      <c r="D370" s="819" t="s">
        <v>3295</v>
      </c>
      <c r="E370" s="819" t="s">
        <v>3295</v>
      </c>
      <c r="F370" s="819" t="s">
        <v>3295</v>
      </c>
      <c r="G370" s="819" t="s">
        <v>3295</v>
      </c>
      <c r="H370" s="819" t="s">
        <v>3295</v>
      </c>
      <c r="I370" s="819" t="s">
        <v>3295</v>
      </c>
      <c r="J370" s="819" t="s">
        <v>3295</v>
      </c>
      <c r="K370" s="819" t="s">
        <v>3295</v>
      </c>
      <c r="L370" s="819" t="s">
        <v>3295</v>
      </c>
      <c r="M370" s="819" t="s">
        <v>3295</v>
      </c>
    </row>
    <row r="371" spans="1:13" ht="21" customHeight="1" x14ac:dyDescent="0.2">
      <c r="A371" s="817"/>
      <c r="B371" s="819"/>
      <c r="C371" s="819"/>
      <c r="D371" s="819"/>
      <c r="E371" s="819"/>
      <c r="F371" s="819"/>
      <c r="G371" s="819"/>
      <c r="H371" s="819"/>
      <c r="I371" s="819"/>
      <c r="J371" s="819"/>
      <c r="K371" s="819"/>
      <c r="L371" s="819"/>
      <c r="M371" s="819"/>
    </row>
    <row r="372" spans="1:13" ht="13.8" x14ac:dyDescent="0.4">
      <c r="A372" s="356">
        <v>1</v>
      </c>
      <c r="B372" s="358">
        <v>141</v>
      </c>
      <c r="C372" s="358">
        <v>3</v>
      </c>
      <c r="D372" s="358">
        <v>2.9</v>
      </c>
      <c r="E372" s="358">
        <v>0</v>
      </c>
      <c r="F372" s="358">
        <v>7.7</v>
      </c>
      <c r="G372" s="358">
        <v>0</v>
      </c>
      <c r="H372" s="358">
        <v>0</v>
      </c>
      <c r="I372" s="358">
        <v>0</v>
      </c>
      <c r="J372" s="358">
        <v>0</v>
      </c>
      <c r="K372" s="358">
        <v>0</v>
      </c>
      <c r="L372" s="358">
        <v>7</v>
      </c>
      <c r="M372" s="358">
        <v>0.5</v>
      </c>
    </row>
    <row r="373" spans="1:13" ht="13.8" x14ac:dyDescent="0.4">
      <c r="A373" s="356">
        <f t="shared" ref="A373:A402" si="194">A372+1</f>
        <v>2</v>
      </c>
      <c r="B373" s="358">
        <v>5</v>
      </c>
      <c r="C373" s="358">
        <v>0</v>
      </c>
      <c r="D373" s="358">
        <v>23.9</v>
      </c>
      <c r="E373" s="358">
        <v>5.3</v>
      </c>
      <c r="F373" s="358">
        <v>4</v>
      </c>
      <c r="G373" s="358">
        <v>0</v>
      </c>
      <c r="H373" s="358">
        <v>0</v>
      </c>
      <c r="I373" s="358">
        <v>0</v>
      </c>
      <c r="J373" s="358">
        <v>0</v>
      </c>
      <c r="K373" s="358">
        <v>0</v>
      </c>
      <c r="L373" s="358">
        <v>0</v>
      </c>
      <c r="M373" s="358">
        <v>20.399999999999999</v>
      </c>
    </row>
    <row r="374" spans="1:13" ht="13.8" x14ac:dyDescent="0.4">
      <c r="A374" s="356">
        <f t="shared" si="194"/>
        <v>3</v>
      </c>
      <c r="B374" s="358">
        <v>11.2</v>
      </c>
      <c r="C374" s="358">
        <v>125.8</v>
      </c>
      <c r="D374" s="358">
        <v>34.200000000000003</v>
      </c>
      <c r="E374" s="358">
        <v>0</v>
      </c>
      <c r="F374" s="358">
        <v>41.8</v>
      </c>
      <c r="G374" s="358">
        <v>0</v>
      </c>
      <c r="H374" s="358">
        <v>46.9</v>
      </c>
      <c r="I374" s="358">
        <v>0</v>
      </c>
      <c r="J374" s="358">
        <v>0</v>
      </c>
      <c r="K374" s="358">
        <v>0</v>
      </c>
      <c r="L374" s="358">
        <v>2.2000000000000002</v>
      </c>
      <c r="M374" s="358">
        <v>1</v>
      </c>
    </row>
    <row r="375" spans="1:13" ht="13.8" x14ac:dyDescent="0.4">
      <c r="A375" s="356">
        <f t="shared" si="194"/>
        <v>4</v>
      </c>
      <c r="B375" s="358">
        <v>9.5</v>
      </c>
      <c r="C375" s="358">
        <v>0</v>
      </c>
      <c r="D375" s="358">
        <v>0</v>
      </c>
      <c r="E375" s="358">
        <v>0</v>
      </c>
      <c r="F375" s="358">
        <v>4</v>
      </c>
      <c r="G375" s="358">
        <v>0</v>
      </c>
      <c r="H375" s="358">
        <v>0</v>
      </c>
      <c r="I375" s="358">
        <v>0.2</v>
      </c>
      <c r="J375" s="358">
        <v>0</v>
      </c>
      <c r="K375" s="358">
        <v>0</v>
      </c>
      <c r="L375" s="358">
        <v>15.2</v>
      </c>
      <c r="M375" s="358">
        <v>30.4</v>
      </c>
    </row>
    <row r="376" spans="1:13" ht="13.8" x14ac:dyDescent="0.4">
      <c r="A376" s="356">
        <f t="shared" si="194"/>
        <v>5</v>
      </c>
      <c r="B376" s="358">
        <v>4.4000000000000004</v>
      </c>
      <c r="C376" s="358">
        <v>9.8000000000000007</v>
      </c>
      <c r="D376" s="358">
        <v>21.6</v>
      </c>
      <c r="E376" s="358">
        <v>0</v>
      </c>
      <c r="F376" s="358">
        <v>0.5</v>
      </c>
      <c r="G376" s="358">
        <v>0.8</v>
      </c>
      <c r="H376" s="358">
        <v>0</v>
      </c>
      <c r="I376" s="358">
        <v>0</v>
      </c>
      <c r="J376" s="358">
        <v>0</v>
      </c>
      <c r="K376" s="358">
        <v>0</v>
      </c>
      <c r="L376" s="358">
        <v>6.5</v>
      </c>
      <c r="M376" s="358">
        <v>3.6</v>
      </c>
    </row>
    <row r="377" spans="1:13" ht="13.8" x14ac:dyDescent="0.4">
      <c r="A377" s="356">
        <f t="shared" si="194"/>
        <v>6</v>
      </c>
      <c r="B377" s="358">
        <v>7</v>
      </c>
      <c r="C377" s="358">
        <v>0</v>
      </c>
      <c r="D377" s="358">
        <v>0.2</v>
      </c>
      <c r="E377" s="358">
        <v>0</v>
      </c>
      <c r="F377" s="358">
        <v>7.8</v>
      </c>
      <c r="G377" s="358">
        <v>1.2</v>
      </c>
      <c r="H377" s="358">
        <v>0</v>
      </c>
      <c r="I377" s="358">
        <v>0</v>
      </c>
      <c r="J377" s="358">
        <v>0</v>
      </c>
      <c r="K377" s="358">
        <v>0</v>
      </c>
      <c r="L377" s="358">
        <v>0</v>
      </c>
      <c r="M377" s="358">
        <v>4.8</v>
      </c>
    </row>
    <row r="378" spans="1:13" ht="13.8" x14ac:dyDescent="0.4">
      <c r="A378" s="356">
        <f t="shared" si="194"/>
        <v>7</v>
      </c>
      <c r="B378" s="358">
        <v>0</v>
      </c>
      <c r="C378" s="358">
        <v>0</v>
      </c>
      <c r="D378" s="358">
        <v>0</v>
      </c>
      <c r="E378" s="358">
        <v>0</v>
      </c>
      <c r="F378" s="358">
        <v>0</v>
      </c>
      <c r="G378" s="358">
        <v>0</v>
      </c>
      <c r="H378" s="358">
        <v>57.8</v>
      </c>
      <c r="I378" s="358">
        <v>0</v>
      </c>
      <c r="J378" s="358">
        <v>0</v>
      </c>
      <c r="K378" s="358">
        <v>0</v>
      </c>
      <c r="L378" s="358">
        <v>0</v>
      </c>
      <c r="M378" s="358">
        <v>0</v>
      </c>
    </row>
    <row r="379" spans="1:13" ht="13.8" x14ac:dyDescent="0.4">
      <c r="A379" s="356">
        <f t="shared" si="194"/>
        <v>8</v>
      </c>
      <c r="B379" s="358">
        <v>0</v>
      </c>
      <c r="C379" s="358">
        <v>17.399999999999999</v>
      </c>
      <c r="D379" s="358">
        <v>0</v>
      </c>
      <c r="E379" s="358">
        <v>0</v>
      </c>
      <c r="F379" s="358">
        <v>0</v>
      </c>
      <c r="G379" s="358">
        <v>3.8</v>
      </c>
      <c r="H379" s="358">
        <v>1.2</v>
      </c>
      <c r="I379" s="358">
        <v>14.2</v>
      </c>
      <c r="J379" s="358">
        <v>0</v>
      </c>
      <c r="K379" s="358">
        <v>0</v>
      </c>
      <c r="L379" s="358">
        <v>0</v>
      </c>
      <c r="M379" s="358">
        <v>1</v>
      </c>
    </row>
    <row r="380" spans="1:13" ht="13.8" x14ac:dyDescent="0.4">
      <c r="A380" s="356">
        <f t="shared" si="194"/>
        <v>9</v>
      </c>
      <c r="B380" s="358">
        <v>0</v>
      </c>
      <c r="C380" s="358">
        <v>4</v>
      </c>
      <c r="D380" s="358">
        <v>0</v>
      </c>
      <c r="E380" s="358">
        <v>1</v>
      </c>
      <c r="F380" s="358">
        <v>0</v>
      </c>
      <c r="G380" s="358">
        <v>0</v>
      </c>
      <c r="H380" s="358">
        <v>0</v>
      </c>
      <c r="I380" s="358">
        <v>0</v>
      </c>
      <c r="J380" s="358">
        <v>0</v>
      </c>
      <c r="K380" s="358">
        <v>0</v>
      </c>
      <c r="L380" s="358">
        <v>0</v>
      </c>
      <c r="M380" s="358">
        <v>0</v>
      </c>
    </row>
    <row r="381" spans="1:13" ht="13.8" x14ac:dyDescent="0.4">
      <c r="A381" s="356">
        <f t="shared" si="194"/>
        <v>10</v>
      </c>
      <c r="B381" s="358">
        <v>1</v>
      </c>
      <c r="C381" s="358">
        <v>2.2000000000000002</v>
      </c>
      <c r="D381" s="358">
        <v>0</v>
      </c>
      <c r="E381" s="358">
        <v>0</v>
      </c>
      <c r="F381" s="358">
        <v>0</v>
      </c>
      <c r="G381" s="358">
        <v>0</v>
      </c>
      <c r="H381" s="358">
        <v>0</v>
      </c>
      <c r="I381" s="358">
        <v>0</v>
      </c>
      <c r="J381" s="358">
        <v>0</v>
      </c>
      <c r="K381" s="358">
        <v>0</v>
      </c>
      <c r="L381" s="358">
        <v>10.4</v>
      </c>
      <c r="M381" s="358">
        <v>0</v>
      </c>
    </row>
    <row r="382" spans="1:13" ht="13.8" x14ac:dyDescent="0.4">
      <c r="A382" s="356">
        <f t="shared" si="194"/>
        <v>11</v>
      </c>
      <c r="B382" s="358">
        <v>2</v>
      </c>
      <c r="C382" s="358">
        <v>28.9</v>
      </c>
      <c r="D382" s="358">
        <v>0</v>
      </c>
      <c r="E382" s="358">
        <v>10</v>
      </c>
      <c r="F382" s="358">
        <v>0</v>
      </c>
      <c r="G382" s="358">
        <v>0</v>
      </c>
      <c r="H382" s="358">
        <v>1.8</v>
      </c>
      <c r="I382" s="358">
        <v>0</v>
      </c>
      <c r="J382" s="358">
        <v>0</v>
      </c>
      <c r="K382" s="358">
        <v>4</v>
      </c>
      <c r="L382" s="358">
        <v>21</v>
      </c>
      <c r="M382" s="358">
        <v>0</v>
      </c>
    </row>
    <row r="383" spans="1:13" ht="13.8" x14ac:dyDescent="0.4">
      <c r="A383" s="356">
        <f t="shared" si="194"/>
        <v>12</v>
      </c>
      <c r="B383" s="358">
        <v>0</v>
      </c>
      <c r="C383" s="358">
        <v>15</v>
      </c>
      <c r="D383" s="358">
        <v>11.2</v>
      </c>
      <c r="E383" s="358">
        <v>0.8</v>
      </c>
      <c r="F383" s="358">
        <v>31</v>
      </c>
      <c r="G383" s="358">
        <v>46</v>
      </c>
      <c r="H383" s="358">
        <v>0</v>
      </c>
      <c r="I383" s="358">
        <v>0</v>
      </c>
      <c r="J383" s="358">
        <v>0</v>
      </c>
      <c r="K383" s="358">
        <v>0</v>
      </c>
      <c r="L383" s="358">
        <v>5.2</v>
      </c>
      <c r="M383" s="358">
        <v>0</v>
      </c>
    </row>
    <row r="384" spans="1:13" ht="13.8" x14ac:dyDescent="0.4">
      <c r="A384" s="356">
        <f t="shared" si="194"/>
        <v>13</v>
      </c>
      <c r="B384" s="358">
        <v>0</v>
      </c>
      <c r="C384" s="358">
        <v>0</v>
      </c>
      <c r="D384" s="358">
        <v>0</v>
      </c>
      <c r="E384" s="358">
        <v>10</v>
      </c>
      <c r="F384" s="358">
        <v>0</v>
      </c>
      <c r="G384" s="358">
        <v>0</v>
      </c>
      <c r="H384" s="358">
        <v>0</v>
      </c>
      <c r="I384" s="358">
        <v>0</v>
      </c>
      <c r="J384" s="358">
        <v>0</v>
      </c>
      <c r="K384" s="358">
        <v>0</v>
      </c>
      <c r="L384" s="358">
        <v>11.6</v>
      </c>
      <c r="M384" s="358">
        <v>0</v>
      </c>
    </row>
    <row r="385" spans="1:13" ht="13.8" x14ac:dyDescent="0.4">
      <c r="A385" s="356">
        <f t="shared" si="194"/>
        <v>14</v>
      </c>
      <c r="B385" s="358">
        <v>0.6</v>
      </c>
      <c r="C385" s="358">
        <v>1.7</v>
      </c>
      <c r="D385" s="358">
        <v>0.2</v>
      </c>
      <c r="E385" s="358">
        <v>0</v>
      </c>
      <c r="F385" s="358">
        <v>0</v>
      </c>
      <c r="G385" s="358">
        <v>0</v>
      </c>
      <c r="H385" s="358">
        <v>0</v>
      </c>
      <c r="I385" s="358">
        <v>0</v>
      </c>
      <c r="J385" s="358">
        <v>0</v>
      </c>
      <c r="K385" s="358">
        <v>11.8</v>
      </c>
      <c r="L385" s="358">
        <v>13</v>
      </c>
      <c r="M385" s="358">
        <v>0</v>
      </c>
    </row>
    <row r="386" spans="1:13" ht="13.8" x14ac:dyDescent="0.4">
      <c r="A386" s="356">
        <f t="shared" si="194"/>
        <v>15</v>
      </c>
      <c r="B386" s="358">
        <v>0.4</v>
      </c>
      <c r="C386" s="358">
        <v>4.8</v>
      </c>
      <c r="D386" s="358">
        <v>31.6</v>
      </c>
      <c r="E386" s="358">
        <v>0</v>
      </c>
      <c r="F386" s="358">
        <v>0</v>
      </c>
      <c r="G386" s="358">
        <v>0</v>
      </c>
      <c r="H386" s="358">
        <v>0</v>
      </c>
      <c r="I386" s="358">
        <v>0</v>
      </c>
      <c r="J386" s="358">
        <v>3.6</v>
      </c>
      <c r="K386" s="358">
        <v>0</v>
      </c>
      <c r="L386" s="358">
        <v>53.8</v>
      </c>
      <c r="M386" s="358">
        <v>0</v>
      </c>
    </row>
    <row r="387" spans="1:13" ht="13.8" x14ac:dyDescent="0.4">
      <c r="A387" s="356">
        <f t="shared" si="194"/>
        <v>16</v>
      </c>
      <c r="B387" s="358">
        <v>17.8</v>
      </c>
      <c r="C387" s="358">
        <v>4.2</v>
      </c>
      <c r="D387" s="358">
        <v>0</v>
      </c>
      <c r="E387" s="358">
        <v>7</v>
      </c>
      <c r="F387" s="358">
        <v>0</v>
      </c>
      <c r="G387" s="358">
        <v>0</v>
      </c>
      <c r="H387" s="358">
        <v>0</v>
      </c>
      <c r="I387" s="358">
        <v>0</v>
      </c>
      <c r="J387" s="358">
        <v>6</v>
      </c>
      <c r="K387" s="358">
        <v>0</v>
      </c>
      <c r="L387" s="358">
        <v>0</v>
      </c>
      <c r="M387" s="358">
        <v>0</v>
      </c>
    </row>
    <row r="388" spans="1:13" ht="13.8" x14ac:dyDescent="0.4">
      <c r="A388" s="356">
        <f t="shared" si="194"/>
        <v>17</v>
      </c>
      <c r="B388" s="358">
        <v>0</v>
      </c>
      <c r="C388" s="358">
        <v>19.2</v>
      </c>
      <c r="D388" s="358">
        <v>0</v>
      </c>
      <c r="E388" s="358">
        <v>0.2</v>
      </c>
      <c r="F388" s="358">
        <v>0</v>
      </c>
      <c r="G388" s="358">
        <v>0</v>
      </c>
      <c r="H388" s="358">
        <v>0</v>
      </c>
      <c r="I388" s="358">
        <v>0</v>
      </c>
      <c r="J388" s="358">
        <v>0</v>
      </c>
      <c r="K388" s="358">
        <v>0</v>
      </c>
      <c r="L388" s="358">
        <v>16.399999999999999</v>
      </c>
      <c r="M388" s="358">
        <v>0</v>
      </c>
    </row>
    <row r="389" spans="1:13" ht="13.8" x14ac:dyDescent="0.4">
      <c r="A389" s="356">
        <f t="shared" si="194"/>
        <v>18</v>
      </c>
      <c r="B389" s="358">
        <v>31.5</v>
      </c>
      <c r="C389" s="358">
        <v>0.6</v>
      </c>
      <c r="D389" s="358">
        <v>0</v>
      </c>
      <c r="E389" s="358">
        <v>0</v>
      </c>
      <c r="F389" s="358">
        <v>0</v>
      </c>
      <c r="G389" s="358">
        <v>0</v>
      </c>
      <c r="H389" s="358">
        <v>0</v>
      </c>
      <c r="I389" s="358">
        <v>0</v>
      </c>
      <c r="J389" s="358">
        <v>0.5</v>
      </c>
      <c r="K389" s="358">
        <v>0</v>
      </c>
      <c r="L389" s="358">
        <v>0</v>
      </c>
      <c r="M389" s="358">
        <v>0</v>
      </c>
    </row>
    <row r="390" spans="1:13" ht="13.8" x14ac:dyDescent="0.4">
      <c r="A390" s="356">
        <f t="shared" si="194"/>
        <v>19</v>
      </c>
      <c r="B390" s="358">
        <v>17.8</v>
      </c>
      <c r="C390" s="358">
        <v>3</v>
      </c>
      <c r="D390" s="358">
        <v>0</v>
      </c>
      <c r="E390" s="358">
        <v>0</v>
      </c>
      <c r="F390" s="358">
        <v>0</v>
      </c>
      <c r="G390" s="358">
        <v>0</v>
      </c>
      <c r="H390" s="358">
        <v>0</v>
      </c>
      <c r="I390" s="358">
        <v>0</v>
      </c>
      <c r="J390" s="358">
        <v>0.4</v>
      </c>
      <c r="K390" s="358">
        <v>0</v>
      </c>
      <c r="L390" s="358">
        <v>0</v>
      </c>
      <c r="M390" s="358">
        <v>0</v>
      </c>
    </row>
    <row r="391" spans="1:13" ht="13.8" x14ac:dyDescent="0.4">
      <c r="A391" s="356">
        <f t="shared" si="194"/>
        <v>20</v>
      </c>
      <c r="B391" s="358">
        <v>0</v>
      </c>
      <c r="C391" s="358">
        <v>24</v>
      </c>
      <c r="D391" s="358">
        <v>0</v>
      </c>
      <c r="E391" s="358">
        <v>0</v>
      </c>
      <c r="F391" s="358">
        <v>0</v>
      </c>
      <c r="G391" s="358">
        <v>11.4</v>
      </c>
      <c r="H391" s="358">
        <v>0</v>
      </c>
      <c r="I391" s="358">
        <v>0</v>
      </c>
      <c r="J391" s="358">
        <v>0</v>
      </c>
      <c r="K391" s="358">
        <v>0</v>
      </c>
      <c r="L391" s="358">
        <v>0</v>
      </c>
      <c r="M391" s="358">
        <v>0</v>
      </c>
    </row>
    <row r="392" spans="1:13" ht="13.8" x14ac:dyDescent="0.4">
      <c r="A392" s="356">
        <f t="shared" si="194"/>
        <v>21</v>
      </c>
      <c r="B392" s="358">
        <v>0</v>
      </c>
      <c r="C392" s="358">
        <v>27.8</v>
      </c>
      <c r="D392" s="358">
        <v>4.7</v>
      </c>
      <c r="E392" s="358">
        <v>26.9</v>
      </c>
      <c r="F392" s="358">
        <v>0</v>
      </c>
      <c r="G392" s="358">
        <v>0</v>
      </c>
      <c r="H392" s="358">
        <v>0</v>
      </c>
      <c r="I392" s="358">
        <v>0</v>
      </c>
      <c r="J392" s="358">
        <v>0</v>
      </c>
      <c r="K392" s="358">
        <v>0</v>
      </c>
      <c r="L392" s="358">
        <v>22.2</v>
      </c>
      <c r="M392" s="358">
        <v>0</v>
      </c>
    </row>
    <row r="393" spans="1:13" ht="13.8" x14ac:dyDescent="0.4">
      <c r="A393" s="356">
        <f t="shared" si="194"/>
        <v>22</v>
      </c>
      <c r="B393" s="358">
        <v>0</v>
      </c>
      <c r="C393" s="358">
        <v>31.3</v>
      </c>
      <c r="D393" s="358">
        <v>0</v>
      </c>
      <c r="E393" s="358">
        <v>0</v>
      </c>
      <c r="F393" s="358">
        <v>0</v>
      </c>
      <c r="G393" s="358">
        <v>0</v>
      </c>
      <c r="H393" s="358">
        <v>0</v>
      </c>
      <c r="I393" s="358">
        <v>0</v>
      </c>
      <c r="J393" s="358">
        <v>0</v>
      </c>
      <c r="K393" s="358">
        <v>0</v>
      </c>
      <c r="L393" s="358">
        <v>6.4</v>
      </c>
      <c r="M393" s="358">
        <v>0</v>
      </c>
    </row>
    <row r="394" spans="1:13" ht="13.8" x14ac:dyDescent="0.4">
      <c r="A394" s="356">
        <f t="shared" si="194"/>
        <v>23</v>
      </c>
      <c r="B394" s="358">
        <v>0</v>
      </c>
      <c r="C394" s="358">
        <v>41.1</v>
      </c>
      <c r="D394" s="358">
        <v>0.2</v>
      </c>
      <c r="E394" s="358">
        <v>1.5</v>
      </c>
      <c r="F394" s="358">
        <v>0</v>
      </c>
      <c r="G394" s="358">
        <v>0</v>
      </c>
      <c r="H394" s="358">
        <v>0</v>
      </c>
      <c r="I394" s="358">
        <v>0</v>
      </c>
      <c r="J394" s="358">
        <v>0</v>
      </c>
      <c r="K394" s="358">
        <v>0</v>
      </c>
      <c r="L394" s="358">
        <v>15.5</v>
      </c>
      <c r="M394" s="358">
        <v>0</v>
      </c>
    </row>
    <row r="395" spans="1:13" ht="13.8" x14ac:dyDescent="0.4">
      <c r="A395" s="356">
        <f t="shared" si="194"/>
        <v>24</v>
      </c>
      <c r="B395" s="358">
        <v>6</v>
      </c>
      <c r="C395" s="358">
        <v>46</v>
      </c>
      <c r="D395" s="358">
        <v>0</v>
      </c>
      <c r="E395" s="358">
        <v>0</v>
      </c>
      <c r="F395" s="358">
        <v>0</v>
      </c>
      <c r="G395" s="358">
        <v>0</v>
      </c>
      <c r="H395" s="358">
        <v>0</v>
      </c>
      <c r="I395" s="358">
        <v>0</v>
      </c>
      <c r="J395" s="358">
        <v>0</v>
      </c>
      <c r="K395" s="358">
        <v>0</v>
      </c>
      <c r="L395" s="358">
        <v>0</v>
      </c>
      <c r="M395" s="358">
        <v>0</v>
      </c>
    </row>
    <row r="396" spans="1:13" ht="13.8" x14ac:dyDescent="0.4">
      <c r="A396" s="356">
        <f t="shared" si="194"/>
        <v>25</v>
      </c>
      <c r="B396" s="358">
        <v>43.2</v>
      </c>
      <c r="C396" s="358">
        <v>2</v>
      </c>
      <c r="D396" s="358">
        <v>0</v>
      </c>
      <c r="E396" s="358">
        <v>10</v>
      </c>
      <c r="F396" s="358">
        <v>0</v>
      </c>
      <c r="G396" s="358">
        <v>1.5</v>
      </c>
      <c r="H396" s="358">
        <v>0</v>
      </c>
      <c r="I396" s="358">
        <v>0</v>
      </c>
      <c r="J396" s="358">
        <v>0</v>
      </c>
      <c r="K396" s="358">
        <v>4.5</v>
      </c>
      <c r="L396" s="358">
        <v>26</v>
      </c>
      <c r="M396" s="358">
        <v>32.200000000000003</v>
      </c>
    </row>
    <row r="397" spans="1:13" ht="13.8" x14ac:dyDescent="0.4">
      <c r="A397" s="356">
        <f t="shared" si="194"/>
        <v>26</v>
      </c>
      <c r="B397" s="358">
        <v>0</v>
      </c>
      <c r="C397" s="358">
        <v>11.7</v>
      </c>
      <c r="D397" s="358">
        <v>0</v>
      </c>
      <c r="E397" s="358">
        <v>14.5</v>
      </c>
      <c r="F397" s="358">
        <v>2</v>
      </c>
      <c r="G397" s="358">
        <v>9.4</v>
      </c>
      <c r="H397" s="358">
        <v>0</v>
      </c>
      <c r="I397" s="358">
        <v>0</v>
      </c>
      <c r="J397" s="358">
        <v>0</v>
      </c>
      <c r="K397" s="358">
        <v>0</v>
      </c>
      <c r="L397" s="358">
        <v>0</v>
      </c>
      <c r="M397" s="358">
        <v>0.6</v>
      </c>
    </row>
    <row r="398" spans="1:13" ht="13.8" x14ac:dyDescent="0.4">
      <c r="A398" s="356">
        <f t="shared" si="194"/>
        <v>27</v>
      </c>
      <c r="B398" s="358">
        <v>11.5</v>
      </c>
      <c r="C398" s="358">
        <v>10.199999999999999</v>
      </c>
      <c r="D398" s="358">
        <v>54.6</v>
      </c>
      <c r="E398" s="358">
        <v>0</v>
      </c>
      <c r="F398" s="358">
        <v>0</v>
      </c>
      <c r="G398" s="358">
        <v>0</v>
      </c>
      <c r="H398" s="358">
        <v>0</v>
      </c>
      <c r="I398" s="358">
        <v>0</v>
      </c>
      <c r="J398" s="358">
        <v>0</v>
      </c>
      <c r="K398" s="358">
        <v>0</v>
      </c>
      <c r="L398" s="358">
        <v>0</v>
      </c>
      <c r="M398" s="358">
        <v>1.2</v>
      </c>
    </row>
    <row r="399" spans="1:13" ht="13.8" x14ac:dyDescent="0.4">
      <c r="A399" s="356">
        <f t="shared" si="194"/>
        <v>28</v>
      </c>
      <c r="B399" s="358">
        <v>1.2</v>
      </c>
      <c r="C399" s="358">
        <v>45.8</v>
      </c>
      <c r="D399" s="358">
        <v>0</v>
      </c>
      <c r="E399" s="358">
        <v>0</v>
      </c>
      <c r="F399" s="358">
        <v>0</v>
      </c>
      <c r="G399" s="358">
        <v>0.2</v>
      </c>
      <c r="H399" s="358">
        <v>0</v>
      </c>
      <c r="I399" s="358">
        <v>0</v>
      </c>
      <c r="J399" s="358">
        <v>0</v>
      </c>
      <c r="K399" s="358">
        <v>0</v>
      </c>
      <c r="L399" s="358">
        <v>36.6</v>
      </c>
      <c r="M399" s="358">
        <v>0</v>
      </c>
    </row>
    <row r="400" spans="1:13" ht="13.8" x14ac:dyDescent="0.4">
      <c r="A400" s="356">
        <f t="shared" si="194"/>
        <v>29</v>
      </c>
      <c r="B400" s="358">
        <v>3.8</v>
      </c>
      <c r="C400" s="357"/>
      <c r="D400" s="358">
        <v>1.1000000000000001</v>
      </c>
      <c r="E400" s="358">
        <v>14.4</v>
      </c>
      <c r="F400" s="358">
        <v>0</v>
      </c>
      <c r="G400" s="358">
        <v>0</v>
      </c>
      <c r="H400" s="358">
        <v>0</v>
      </c>
      <c r="I400" s="358">
        <v>0</v>
      </c>
      <c r="J400" s="358">
        <v>0</v>
      </c>
      <c r="K400" s="358">
        <v>0</v>
      </c>
      <c r="L400" s="358">
        <v>0</v>
      </c>
      <c r="M400" s="358">
        <v>27.6</v>
      </c>
    </row>
    <row r="401" spans="1:13" ht="13.8" x14ac:dyDescent="0.4">
      <c r="A401" s="356">
        <f t="shared" si="194"/>
        <v>30</v>
      </c>
      <c r="B401" s="358">
        <v>0</v>
      </c>
      <c r="C401" s="357"/>
      <c r="D401" s="358">
        <v>2.4</v>
      </c>
      <c r="E401" s="358">
        <v>0.6</v>
      </c>
      <c r="F401" s="358">
        <v>0.4</v>
      </c>
      <c r="G401" s="358">
        <v>0</v>
      </c>
      <c r="H401" s="358">
        <v>0</v>
      </c>
      <c r="I401" s="358">
        <v>0</v>
      </c>
      <c r="J401" s="358">
        <v>0</v>
      </c>
      <c r="K401" s="358">
        <v>0</v>
      </c>
      <c r="L401" s="358">
        <v>2.2000000000000002</v>
      </c>
      <c r="M401" s="358">
        <v>94.5</v>
      </c>
    </row>
    <row r="402" spans="1:13" ht="13.8" x14ac:dyDescent="0.4">
      <c r="A402" s="356">
        <f t="shared" si="194"/>
        <v>31</v>
      </c>
      <c r="B402" s="358">
        <v>0</v>
      </c>
      <c r="C402" s="357"/>
      <c r="D402" s="358">
        <v>0.8</v>
      </c>
      <c r="E402" s="357"/>
      <c r="F402" s="358">
        <v>0</v>
      </c>
      <c r="G402" s="357"/>
      <c r="H402" s="358">
        <v>0</v>
      </c>
      <c r="I402" s="358">
        <v>0</v>
      </c>
      <c r="J402" s="357"/>
      <c r="K402" s="358">
        <v>0</v>
      </c>
      <c r="L402" s="357"/>
      <c r="M402" s="358">
        <v>0</v>
      </c>
    </row>
    <row r="403" spans="1:13" ht="13.8" x14ac:dyDescent="0.4">
      <c r="A403" s="356" t="s">
        <v>3296</v>
      </c>
      <c r="B403" s="357">
        <f>MAX(B372:B402)</f>
        <v>141</v>
      </c>
      <c r="C403" s="357">
        <f t="shared" ref="C403" si="195">MAX(C372:C402)</f>
        <v>125.8</v>
      </c>
      <c r="D403" s="357">
        <f t="shared" ref="D403" si="196">MAX(D372:D402)</f>
        <v>54.6</v>
      </c>
      <c r="E403" s="357">
        <f t="shared" ref="E403" si="197">MAX(E372:E402)</f>
        <v>26.9</v>
      </c>
      <c r="F403" s="357">
        <f t="shared" ref="F403" si="198">MAX(F372:F402)</f>
        <v>41.8</v>
      </c>
      <c r="G403" s="357">
        <f t="shared" ref="G403" si="199">MAX(G372:G402)</f>
        <v>46</v>
      </c>
      <c r="H403" s="357">
        <f t="shared" ref="H403" si="200">MAX(H372:H402)</f>
        <v>57.8</v>
      </c>
      <c r="I403" s="357">
        <f>MAX(I372:I402)</f>
        <v>14.2</v>
      </c>
      <c r="J403" s="357">
        <f t="shared" ref="J403" si="201">MAX(J372:J402)</f>
        <v>6</v>
      </c>
      <c r="K403" s="357">
        <f t="shared" ref="K403" si="202">MAX(K372:K402)</f>
        <v>11.8</v>
      </c>
      <c r="L403" s="357">
        <f t="shared" ref="L403" si="203">MAX(L372:L402)</f>
        <v>53.8</v>
      </c>
      <c r="M403" s="357">
        <f t="shared" ref="M403" si="204">MAX(M372:M402)</f>
        <v>94.5</v>
      </c>
    </row>
    <row r="404" spans="1:13" ht="13.8" x14ac:dyDescent="0.4">
      <c r="A404" s="356" t="s">
        <v>4798</v>
      </c>
      <c r="B404" s="357">
        <f>SUM(B372:B402)</f>
        <v>314.90000000000003</v>
      </c>
      <c r="C404" s="357">
        <f t="shared" ref="C404:M404" si="205">SUM(C372:C402)</f>
        <v>479.50000000000006</v>
      </c>
      <c r="D404" s="357">
        <f t="shared" si="205"/>
        <v>189.6</v>
      </c>
      <c r="E404" s="357">
        <f t="shared" si="205"/>
        <v>102.2</v>
      </c>
      <c r="F404" s="357">
        <f t="shared" si="205"/>
        <v>99.2</v>
      </c>
      <c r="G404" s="357">
        <f t="shared" si="205"/>
        <v>74.3</v>
      </c>
      <c r="H404" s="357">
        <f t="shared" si="205"/>
        <v>107.69999999999999</v>
      </c>
      <c r="I404" s="357">
        <f t="shared" si="205"/>
        <v>14.399999999999999</v>
      </c>
      <c r="J404" s="357">
        <f t="shared" si="205"/>
        <v>10.5</v>
      </c>
      <c r="K404" s="357">
        <f t="shared" si="205"/>
        <v>20.3</v>
      </c>
      <c r="L404" s="357">
        <f t="shared" si="205"/>
        <v>271.2</v>
      </c>
      <c r="M404" s="357">
        <f t="shared" si="205"/>
        <v>217.8</v>
      </c>
    </row>
    <row r="405" spans="1:13" ht="13.8" x14ac:dyDescent="0.4">
      <c r="A405" s="356" t="s">
        <v>4799</v>
      </c>
      <c r="B405" s="357">
        <f>COUNTIF(B372:B402,"&gt;2")</f>
        <v>13</v>
      </c>
      <c r="C405" s="357">
        <f t="shared" ref="C405:M405" si="206">COUNTIF(C372:C402,"&gt;2")</f>
        <v>20</v>
      </c>
      <c r="D405" s="357">
        <f t="shared" si="206"/>
        <v>9</v>
      </c>
      <c r="E405" s="357">
        <f t="shared" si="206"/>
        <v>8</v>
      </c>
      <c r="F405" s="357">
        <f t="shared" si="206"/>
        <v>6</v>
      </c>
      <c r="G405" s="357">
        <f t="shared" si="206"/>
        <v>4</v>
      </c>
      <c r="H405" s="357">
        <f t="shared" si="206"/>
        <v>2</v>
      </c>
      <c r="I405" s="357">
        <f t="shared" si="206"/>
        <v>1</v>
      </c>
      <c r="J405" s="357">
        <f t="shared" si="206"/>
        <v>2</v>
      </c>
      <c r="K405" s="357">
        <f t="shared" si="206"/>
        <v>3</v>
      </c>
      <c r="L405" s="357">
        <f t="shared" si="206"/>
        <v>17</v>
      </c>
      <c r="M405" s="357">
        <f t="shared" si="206"/>
        <v>7</v>
      </c>
    </row>
    <row r="406" spans="1:13" ht="13.8" x14ac:dyDescent="0.4">
      <c r="A406" s="356" t="s">
        <v>4800</v>
      </c>
      <c r="B406" s="357">
        <f>B404/B405</f>
        <v>24.223076923076924</v>
      </c>
      <c r="C406" s="357">
        <f t="shared" ref="C406" si="207">C404/C405</f>
        <v>23.975000000000001</v>
      </c>
      <c r="D406" s="357">
        <f t="shared" ref="D406" si="208">D404/D405</f>
        <v>21.066666666666666</v>
      </c>
      <c r="E406" s="357">
        <f t="shared" ref="E406" si="209">E404/E405</f>
        <v>12.775</v>
      </c>
      <c r="F406" s="357">
        <f t="shared" ref="F406" si="210">F404/F405</f>
        <v>16.533333333333335</v>
      </c>
      <c r="G406" s="357">
        <f t="shared" ref="G406" si="211">G404/G405</f>
        <v>18.574999999999999</v>
      </c>
      <c r="H406" s="357">
        <f t="shared" ref="H406" si="212">H404/H405</f>
        <v>53.849999999999994</v>
      </c>
      <c r="I406" s="357">
        <f t="shared" ref="I406" si="213">I404/I405</f>
        <v>14.399999999999999</v>
      </c>
      <c r="J406" s="357">
        <f t="shared" ref="J406" si="214">J404/J405</f>
        <v>5.25</v>
      </c>
      <c r="K406" s="357">
        <f t="shared" ref="K406" si="215">K404/K405</f>
        <v>6.7666666666666666</v>
      </c>
      <c r="L406" s="357">
        <f t="shared" ref="L406" si="216">L404/L405</f>
        <v>15.952941176470588</v>
      </c>
      <c r="M406" s="357">
        <f t="shared" ref="M406" si="217">M404/M405</f>
        <v>31.114285714285717</v>
      </c>
    </row>
    <row r="409" spans="1:13" ht="15.6" x14ac:dyDescent="0.2">
      <c r="A409" s="817" t="s">
        <v>3273</v>
      </c>
      <c r="B409" s="818">
        <v>2024</v>
      </c>
      <c r="C409" s="818"/>
      <c r="D409" s="818"/>
      <c r="E409" s="818"/>
      <c r="F409" s="818"/>
      <c r="G409" s="818"/>
      <c r="H409" s="818"/>
      <c r="I409" s="818"/>
      <c r="J409" s="818"/>
      <c r="K409" s="818"/>
      <c r="L409" s="818"/>
      <c r="M409" s="818"/>
    </row>
    <row r="410" spans="1:13" x14ac:dyDescent="0.2">
      <c r="A410" s="817"/>
      <c r="B410" s="769" t="s">
        <v>3280</v>
      </c>
      <c r="C410" s="769" t="s">
        <v>3281</v>
      </c>
      <c r="D410" s="769" t="s">
        <v>3282</v>
      </c>
      <c r="E410" s="769" t="s">
        <v>3283</v>
      </c>
      <c r="F410" s="769" t="s">
        <v>3284</v>
      </c>
      <c r="G410" s="769" t="s">
        <v>3285</v>
      </c>
      <c r="H410" s="769" t="s">
        <v>3286</v>
      </c>
      <c r="I410" s="769" t="s">
        <v>3294</v>
      </c>
      <c r="J410" s="769" t="s">
        <v>3288</v>
      </c>
      <c r="K410" s="769" t="s">
        <v>3289</v>
      </c>
      <c r="L410" s="769" t="s">
        <v>3290</v>
      </c>
      <c r="M410" s="769" t="s">
        <v>3291</v>
      </c>
    </row>
    <row r="411" spans="1:13" ht="11.4" customHeight="1" x14ac:dyDescent="0.2">
      <c r="A411" s="817"/>
      <c r="B411" s="819" t="s">
        <v>3295</v>
      </c>
      <c r="C411" s="819" t="s">
        <v>3295</v>
      </c>
      <c r="D411" s="819" t="s">
        <v>3295</v>
      </c>
      <c r="E411" s="819" t="s">
        <v>3295</v>
      </c>
      <c r="F411" s="819" t="s">
        <v>3295</v>
      </c>
      <c r="G411" s="819" t="s">
        <v>3295</v>
      </c>
      <c r="H411" s="819" t="s">
        <v>3295</v>
      </c>
      <c r="I411" s="819" t="s">
        <v>3295</v>
      </c>
      <c r="J411" s="819" t="s">
        <v>3295</v>
      </c>
      <c r="K411" s="819" t="s">
        <v>3295</v>
      </c>
      <c r="L411" s="819" t="s">
        <v>3295</v>
      </c>
      <c r="M411" s="819" t="s">
        <v>3295</v>
      </c>
    </row>
    <row r="412" spans="1:13" ht="21" customHeight="1" x14ac:dyDescent="0.2">
      <c r="A412" s="817"/>
      <c r="B412" s="819"/>
      <c r="C412" s="819"/>
      <c r="D412" s="819"/>
      <c r="E412" s="819"/>
      <c r="F412" s="819"/>
      <c r="G412" s="819"/>
      <c r="H412" s="819"/>
      <c r="I412" s="819"/>
      <c r="J412" s="819"/>
      <c r="K412" s="819"/>
      <c r="L412" s="819"/>
      <c r="M412" s="819"/>
    </row>
    <row r="413" spans="1:13" ht="13.8" x14ac:dyDescent="0.4">
      <c r="A413" s="356">
        <v>1</v>
      </c>
      <c r="B413" s="358">
        <v>14.3</v>
      </c>
      <c r="C413" s="358">
        <v>0</v>
      </c>
      <c r="D413" s="358">
        <v>0</v>
      </c>
      <c r="E413" s="358">
        <v>25.8</v>
      </c>
      <c r="F413" s="358">
        <v>0</v>
      </c>
      <c r="G413" s="358">
        <v>0</v>
      </c>
      <c r="H413" s="358">
        <v>46.2</v>
      </c>
      <c r="I413" s="358">
        <v>20.8</v>
      </c>
      <c r="J413" s="358">
        <v>0</v>
      </c>
      <c r="K413" s="368">
        <v>0</v>
      </c>
      <c r="L413" s="358">
        <v>47.4</v>
      </c>
      <c r="M413" s="358">
        <v>18.600000000000001</v>
      </c>
    </row>
    <row r="414" spans="1:13" ht="13.8" x14ac:dyDescent="0.4">
      <c r="A414" s="356">
        <f t="shared" ref="A414:A443" si="218">A413+1</f>
        <v>2</v>
      </c>
      <c r="B414" s="358">
        <v>15.5</v>
      </c>
      <c r="C414" s="358">
        <v>8.6</v>
      </c>
      <c r="D414" s="358">
        <v>0</v>
      </c>
      <c r="E414" s="358">
        <v>13.2</v>
      </c>
      <c r="F414" s="358">
        <v>0</v>
      </c>
      <c r="G414" s="358">
        <v>2.8</v>
      </c>
      <c r="H414" s="358">
        <v>0</v>
      </c>
      <c r="I414" s="358">
        <v>50.4</v>
      </c>
      <c r="J414" s="358">
        <v>0</v>
      </c>
      <c r="K414" s="368">
        <v>29.8</v>
      </c>
      <c r="L414" s="358">
        <v>0.4</v>
      </c>
      <c r="M414" s="358">
        <v>8.8000000000000007</v>
      </c>
    </row>
    <row r="415" spans="1:13" ht="13.8" x14ac:dyDescent="0.4">
      <c r="A415" s="356">
        <f t="shared" si="218"/>
        <v>3</v>
      </c>
      <c r="B415" s="358">
        <v>43.6</v>
      </c>
      <c r="C415" s="358">
        <v>2</v>
      </c>
      <c r="D415" s="358">
        <v>0</v>
      </c>
      <c r="E415" s="358">
        <v>11</v>
      </c>
      <c r="F415" s="358">
        <v>8.1999999999999993</v>
      </c>
      <c r="G415" s="358">
        <v>104.4</v>
      </c>
      <c r="H415" s="358">
        <v>0</v>
      </c>
      <c r="I415" s="358">
        <v>14</v>
      </c>
      <c r="J415" s="358">
        <v>0</v>
      </c>
      <c r="K415" s="368">
        <v>17.600000000000001</v>
      </c>
      <c r="L415" s="358">
        <v>25</v>
      </c>
      <c r="M415" s="358">
        <v>27.4</v>
      </c>
    </row>
    <row r="416" spans="1:13" ht="13.8" x14ac:dyDescent="0.4">
      <c r="A416" s="356">
        <f t="shared" si="218"/>
        <v>4</v>
      </c>
      <c r="B416" s="358">
        <v>0.4</v>
      </c>
      <c r="C416" s="358">
        <v>67.5</v>
      </c>
      <c r="D416" s="358">
        <v>0</v>
      </c>
      <c r="E416" s="358">
        <v>23.8</v>
      </c>
      <c r="F416" s="358">
        <v>0</v>
      </c>
      <c r="G416" s="358">
        <v>0</v>
      </c>
      <c r="H416" s="358">
        <v>0</v>
      </c>
      <c r="I416" s="358">
        <v>0</v>
      </c>
      <c r="J416" s="358">
        <v>0</v>
      </c>
      <c r="K416" s="368">
        <v>0</v>
      </c>
      <c r="L416" s="358">
        <v>0</v>
      </c>
      <c r="M416" s="358">
        <v>18</v>
      </c>
    </row>
    <row r="417" spans="1:13" ht="13.8" x14ac:dyDescent="0.4">
      <c r="A417" s="356">
        <f t="shared" si="218"/>
        <v>5</v>
      </c>
      <c r="B417" s="358">
        <v>0.5</v>
      </c>
      <c r="C417" s="358">
        <v>15.4</v>
      </c>
      <c r="D417" s="358">
        <v>0</v>
      </c>
      <c r="E417" s="358">
        <v>0</v>
      </c>
      <c r="F417" s="358">
        <v>0</v>
      </c>
      <c r="G417" s="358">
        <v>0</v>
      </c>
      <c r="H417" s="358">
        <v>3</v>
      </c>
      <c r="I417" s="358">
        <v>0</v>
      </c>
      <c r="J417" s="358">
        <v>0</v>
      </c>
      <c r="K417" s="368">
        <v>7.6</v>
      </c>
      <c r="L417" s="358">
        <v>0</v>
      </c>
      <c r="M417" s="358">
        <v>3.4</v>
      </c>
    </row>
    <row r="418" spans="1:13" ht="13.8" x14ac:dyDescent="0.4">
      <c r="A418" s="356">
        <f t="shared" si="218"/>
        <v>6</v>
      </c>
      <c r="B418" s="358">
        <v>0</v>
      </c>
      <c r="C418" s="358">
        <v>16.2</v>
      </c>
      <c r="D418" s="358">
        <v>0.4</v>
      </c>
      <c r="E418" s="358">
        <v>43.2</v>
      </c>
      <c r="F418" s="358">
        <v>0</v>
      </c>
      <c r="G418" s="358">
        <v>0</v>
      </c>
      <c r="H418" s="358">
        <v>0</v>
      </c>
      <c r="I418" s="358">
        <v>0</v>
      </c>
      <c r="J418" s="358">
        <v>0</v>
      </c>
      <c r="K418" s="368">
        <v>11.2</v>
      </c>
      <c r="L418" s="358">
        <v>52.4</v>
      </c>
      <c r="M418" s="358">
        <v>63</v>
      </c>
    </row>
    <row r="419" spans="1:13" ht="13.8" x14ac:dyDescent="0.4">
      <c r="A419" s="356">
        <f t="shared" si="218"/>
        <v>7</v>
      </c>
      <c r="B419" s="358">
        <v>0</v>
      </c>
      <c r="C419" s="358">
        <v>8.1999999999999993</v>
      </c>
      <c r="D419" s="358">
        <v>0</v>
      </c>
      <c r="E419" s="358">
        <v>0</v>
      </c>
      <c r="F419" s="358">
        <v>0</v>
      </c>
      <c r="G419" s="358">
        <v>0</v>
      </c>
      <c r="H419" s="358">
        <v>5.6</v>
      </c>
      <c r="I419" s="358">
        <v>0</v>
      </c>
      <c r="J419" s="358">
        <v>0</v>
      </c>
      <c r="K419" s="368">
        <v>0</v>
      </c>
      <c r="L419" s="358">
        <v>0.4</v>
      </c>
      <c r="M419" s="358">
        <v>0</v>
      </c>
    </row>
    <row r="420" spans="1:13" ht="13.8" x14ac:dyDescent="0.4">
      <c r="A420" s="356">
        <f t="shared" si="218"/>
        <v>8</v>
      </c>
      <c r="B420" s="358">
        <v>1.5</v>
      </c>
      <c r="C420" s="358">
        <v>0</v>
      </c>
      <c r="D420" s="358">
        <v>0</v>
      </c>
      <c r="E420" s="358">
        <v>62</v>
      </c>
      <c r="F420" s="358">
        <v>0</v>
      </c>
      <c r="G420" s="358">
        <v>0</v>
      </c>
      <c r="H420" s="358">
        <v>0</v>
      </c>
      <c r="I420" s="358">
        <v>0</v>
      </c>
      <c r="J420" s="358">
        <v>0</v>
      </c>
      <c r="K420" s="368">
        <v>0</v>
      </c>
      <c r="L420" s="358">
        <v>2</v>
      </c>
      <c r="M420" s="358">
        <v>1</v>
      </c>
    </row>
    <row r="421" spans="1:13" ht="13.8" x14ac:dyDescent="0.4">
      <c r="A421" s="356">
        <f t="shared" si="218"/>
        <v>9</v>
      </c>
      <c r="B421" s="358">
        <v>1</v>
      </c>
      <c r="C421" s="358">
        <v>0</v>
      </c>
      <c r="D421" s="358">
        <v>13.8</v>
      </c>
      <c r="E421" s="358">
        <v>4.4000000000000004</v>
      </c>
      <c r="F421" s="358">
        <v>11.6</v>
      </c>
      <c r="G421" s="358">
        <v>0</v>
      </c>
      <c r="H421" s="358">
        <v>0</v>
      </c>
      <c r="I421" s="358">
        <v>0</v>
      </c>
      <c r="J421" s="358">
        <v>0</v>
      </c>
      <c r="K421" s="368">
        <v>9.8000000000000007</v>
      </c>
      <c r="L421" s="358">
        <v>0</v>
      </c>
      <c r="M421" s="358">
        <v>2.2000000000000002</v>
      </c>
    </row>
    <row r="422" spans="1:13" ht="13.8" x14ac:dyDescent="0.4">
      <c r="A422" s="356">
        <f t="shared" si="218"/>
        <v>10</v>
      </c>
      <c r="B422" s="358">
        <v>3.4</v>
      </c>
      <c r="C422" s="358">
        <v>1.4</v>
      </c>
      <c r="D422" s="358">
        <v>74.599999999999994</v>
      </c>
      <c r="E422" s="358">
        <v>0.2</v>
      </c>
      <c r="F422" s="358">
        <v>1.8</v>
      </c>
      <c r="G422" s="358">
        <v>0</v>
      </c>
      <c r="H422" s="358">
        <v>0</v>
      </c>
      <c r="I422" s="358">
        <v>0</v>
      </c>
      <c r="J422" s="358">
        <v>1</v>
      </c>
      <c r="K422" s="368">
        <v>2.8</v>
      </c>
      <c r="L422" s="358">
        <v>21.6</v>
      </c>
      <c r="M422" s="358">
        <v>1.8</v>
      </c>
    </row>
    <row r="423" spans="1:13" ht="13.8" x14ac:dyDescent="0.4">
      <c r="A423" s="356">
        <f t="shared" si="218"/>
        <v>11</v>
      </c>
      <c r="B423" s="358">
        <v>0</v>
      </c>
      <c r="C423" s="358">
        <v>7.5</v>
      </c>
      <c r="D423" s="358">
        <v>2.5</v>
      </c>
      <c r="E423" s="358">
        <v>0</v>
      </c>
      <c r="F423" s="358">
        <v>0</v>
      </c>
      <c r="G423" s="358">
        <v>0</v>
      </c>
      <c r="H423" s="358">
        <v>0</v>
      </c>
      <c r="I423" s="358">
        <v>0</v>
      </c>
      <c r="J423" s="358">
        <v>0</v>
      </c>
      <c r="K423" s="368">
        <v>0</v>
      </c>
      <c r="L423" s="358">
        <v>0</v>
      </c>
      <c r="M423" s="358">
        <v>10.4</v>
      </c>
    </row>
    <row r="424" spans="1:13" ht="13.8" x14ac:dyDescent="0.4">
      <c r="A424" s="356">
        <f t="shared" si="218"/>
        <v>12</v>
      </c>
      <c r="B424" s="358">
        <v>6.4</v>
      </c>
      <c r="C424" s="358">
        <v>1.1000000000000001</v>
      </c>
      <c r="D424" s="358">
        <v>61.4</v>
      </c>
      <c r="E424" s="358">
        <v>23.4</v>
      </c>
      <c r="F424" s="358">
        <v>0</v>
      </c>
      <c r="G424" s="358">
        <v>0</v>
      </c>
      <c r="H424" s="358">
        <v>0</v>
      </c>
      <c r="I424" s="358">
        <v>0</v>
      </c>
      <c r="J424" s="358">
        <v>4</v>
      </c>
      <c r="K424" s="368">
        <v>0</v>
      </c>
      <c r="L424" s="358">
        <v>0</v>
      </c>
      <c r="M424" s="358">
        <v>23.4</v>
      </c>
    </row>
    <row r="425" spans="1:13" ht="13.8" x14ac:dyDescent="0.4">
      <c r="A425" s="356">
        <f t="shared" si="218"/>
        <v>13</v>
      </c>
      <c r="B425" s="358">
        <v>0</v>
      </c>
      <c r="C425" s="358">
        <v>0</v>
      </c>
      <c r="D425" s="358">
        <v>80.900000000000006</v>
      </c>
      <c r="E425" s="358">
        <v>0.7</v>
      </c>
      <c r="F425" s="358">
        <v>0</v>
      </c>
      <c r="G425" s="358">
        <v>48.6</v>
      </c>
      <c r="H425" s="358">
        <v>0</v>
      </c>
      <c r="I425" s="358">
        <v>0</v>
      </c>
      <c r="J425" s="358">
        <v>0</v>
      </c>
      <c r="K425" s="368">
        <v>0</v>
      </c>
      <c r="L425" s="358">
        <v>0</v>
      </c>
      <c r="M425" s="358">
        <v>0</v>
      </c>
    </row>
    <row r="426" spans="1:13" ht="13.8" x14ac:dyDescent="0.4">
      <c r="A426" s="356">
        <f t="shared" si="218"/>
        <v>14</v>
      </c>
      <c r="B426" s="358">
        <v>0</v>
      </c>
      <c r="C426" s="358">
        <v>33.200000000000003</v>
      </c>
      <c r="D426" s="358">
        <v>171.6</v>
      </c>
      <c r="E426" s="358">
        <v>0</v>
      </c>
      <c r="F426" s="358">
        <v>0</v>
      </c>
      <c r="G426" s="358">
        <v>0</v>
      </c>
      <c r="H426" s="358">
        <v>0</v>
      </c>
      <c r="I426" s="358">
        <v>0</v>
      </c>
      <c r="J426" s="358">
        <v>0</v>
      </c>
      <c r="K426" s="368">
        <v>0</v>
      </c>
      <c r="L426" s="358">
        <v>0</v>
      </c>
      <c r="M426" s="358">
        <v>32.1</v>
      </c>
    </row>
    <row r="427" spans="1:13" ht="13.8" x14ac:dyDescent="0.4">
      <c r="A427" s="356">
        <f t="shared" si="218"/>
        <v>15</v>
      </c>
      <c r="B427" s="358">
        <v>0</v>
      </c>
      <c r="C427" s="358">
        <v>10.8</v>
      </c>
      <c r="D427" s="358">
        <v>30</v>
      </c>
      <c r="E427" s="358">
        <v>0</v>
      </c>
      <c r="F427" s="358">
        <v>0</v>
      </c>
      <c r="G427" s="358">
        <v>9</v>
      </c>
      <c r="H427" s="358">
        <v>0</v>
      </c>
      <c r="I427" s="358">
        <v>0</v>
      </c>
      <c r="J427" s="358">
        <v>18</v>
      </c>
      <c r="K427" s="368">
        <v>76</v>
      </c>
      <c r="L427" s="358">
        <v>16</v>
      </c>
      <c r="M427" s="358">
        <v>7</v>
      </c>
    </row>
    <row r="428" spans="1:13" ht="13.8" x14ac:dyDescent="0.4">
      <c r="A428" s="356">
        <f t="shared" si="218"/>
        <v>16</v>
      </c>
      <c r="B428" s="358">
        <v>41</v>
      </c>
      <c r="C428" s="358">
        <v>0.6</v>
      </c>
      <c r="D428" s="358">
        <v>0.2</v>
      </c>
      <c r="E428" s="358">
        <v>26</v>
      </c>
      <c r="F428" s="358">
        <v>0</v>
      </c>
      <c r="G428" s="358">
        <v>13</v>
      </c>
      <c r="H428" s="358">
        <v>0</v>
      </c>
      <c r="I428" s="358">
        <v>0</v>
      </c>
      <c r="J428" s="358">
        <v>0</v>
      </c>
      <c r="K428" s="368">
        <v>0</v>
      </c>
      <c r="L428" s="358">
        <v>0</v>
      </c>
      <c r="M428" s="358">
        <v>2.6</v>
      </c>
    </row>
    <row r="429" spans="1:13" ht="13.8" x14ac:dyDescent="0.4">
      <c r="A429" s="356">
        <f t="shared" si="218"/>
        <v>17</v>
      </c>
      <c r="B429" s="358">
        <v>31.3</v>
      </c>
      <c r="C429" s="358">
        <v>0</v>
      </c>
      <c r="D429" s="358">
        <v>7</v>
      </c>
      <c r="E429" s="358">
        <v>10.4</v>
      </c>
      <c r="F429" s="358">
        <v>0</v>
      </c>
      <c r="G429" s="358">
        <v>10.6</v>
      </c>
      <c r="H429" s="358">
        <v>0</v>
      </c>
      <c r="I429" s="358">
        <v>0</v>
      </c>
      <c r="J429" s="358">
        <v>0</v>
      </c>
      <c r="K429" s="368">
        <v>0</v>
      </c>
      <c r="L429" s="358">
        <v>0</v>
      </c>
      <c r="M429" s="358">
        <v>10.3</v>
      </c>
    </row>
    <row r="430" spans="1:13" ht="13.8" x14ac:dyDescent="0.4">
      <c r="A430" s="356">
        <f t="shared" si="218"/>
        <v>18</v>
      </c>
      <c r="B430" s="358">
        <v>7.8</v>
      </c>
      <c r="C430" s="358">
        <v>48</v>
      </c>
      <c r="D430" s="358">
        <v>32</v>
      </c>
      <c r="E430" s="358">
        <v>3.5</v>
      </c>
      <c r="F430" s="358">
        <v>0</v>
      </c>
      <c r="G430" s="358">
        <v>0</v>
      </c>
      <c r="H430" s="358">
        <v>0</v>
      </c>
      <c r="I430" s="358">
        <v>0</v>
      </c>
      <c r="J430" s="358">
        <v>0</v>
      </c>
      <c r="K430" s="368">
        <v>0</v>
      </c>
      <c r="L430" s="358">
        <v>1.6</v>
      </c>
      <c r="M430" s="358">
        <v>0</v>
      </c>
    </row>
    <row r="431" spans="1:13" ht="13.8" x14ac:dyDescent="0.4">
      <c r="A431" s="356">
        <f t="shared" si="218"/>
        <v>19</v>
      </c>
      <c r="B431" s="358">
        <v>5.8</v>
      </c>
      <c r="C431" s="358">
        <v>2.4</v>
      </c>
      <c r="D431" s="358">
        <v>0</v>
      </c>
      <c r="E431" s="358">
        <v>0.2</v>
      </c>
      <c r="F431" s="358">
        <v>0</v>
      </c>
      <c r="G431" s="358">
        <v>0</v>
      </c>
      <c r="H431" s="358">
        <v>0</v>
      </c>
      <c r="I431" s="358">
        <v>0</v>
      </c>
      <c r="J431" s="358">
        <v>0</v>
      </c>
      <c r="K431" s="368">
        <v>0</v>
      </c>
      <c r="L431" s="358">
        <v>13.4</v>
      </c>
      <c r="M431" s="358">
        <v>27.4</v>
      </c>
    </row>
    <row r="432" spans="1:13" ht="13.8" x14ac:dyDescent="0.4">
      <c r="A432" s="356">
        <f t="shared" si="218"/>
        <v>20</v>
      </c>
      <c r="B432" s="358">
        <v>27</v>
      </c>
      <c r="C432" s="358">
        <v>0</v>
      </c>
      <c r="D432" s="358">
        <v>0</v>
      </c>
      <c r="E432" s="358">
        <v>6.2</v>
      </c>
      <c r="F432" s="358">
        <v>0</v>
      </c>
      <c r="G432" s="358">
        <v>0</v>
      </c>
      <c r="H432" s="358">
        <v>0</v>
      </c>
      <c r="I432" s="358">
        <v>0</v>
      </c>
      <c r="J432" s="358">
        <v>0</v>
      </c>
      <c r="K432" s="368">
        <v>0</v>
      </c>
      <c r="L432" s="358">
        <v>62</v>
      </c>
      <c r="M432" s="358">
        <v>3</v>
      </c>
    </row>
    <row r="433" spans="1:13" ht="13.8" x14ac:dyDescent="0.4">
      <c r="A433" s="356">
        <f t="shared" si="218"/>
        <v>21</v>
      </c>
      <c r="B433" s="358">
        <v>2.8</v>
      </c>
      <c r="C433" s="358">
        <v>0</v>
      </c>
      <c r="D433" s="358">
        <v>0</v>
      </c>
      <c r="E433" s="358">
        <v>0</v>
      </c>
      <c r="F433" s="358">
        <v>0</v>
      </c>
      <c r="G433" s="358">
        <v>0</v>
      </c>
      <c r="H433" s="358">
        <v>0</v>
      </c>
      <c r="I433" s="358">
        <v>0</v>
      </c>
      <c r="J433" s="358">
        <v>0</v>
      </c>
      <c r="K433" s="368">
        <v>1.2</v>
      </c>
      <c r="L433" s="358">
        <v>0</v>
      </c>
      <c r="M433" s="358">
        <v>1.6</v>
      </c>
    </row>
    <row r="434" spans="1:13" ht="13.8" x14ac:dyDescent="0.4">
      <c r="A434" s="356">
        <f t="shared" si="218"/>
        <v>22</v>
      </c>
      <c r="B434" s="358">
        <v>0</v>
      </c>
      <c r="C434" s="358">
        <v>0</v>
      </c>
      <c r="D434" s="358">
        <v>0</v>
      </c>
      <c r="E434" s="358">
        <v>5.5</v>
      </c>
      <c r="F434" s="358">
        <v>0</v>
      </c>
      <c r="G434" s="358">
        <v>0</v>
      </c>
      <c r="H434" s="358">
        <v>0</v>
      </c>
      <c r="I434" s="358">
        <v>0</v>
      </c>
      <c r="J434" s="358">
        <v>0</v>
      </c>
      <c r="K434" s="368">
        <v>0</v>
      </c>
      <c r="L434" s="358">
        <v>42.6</v>
      </c>
      <c r="M434" s="358">
        <v>0</v>
      </c>
    </row>
    <row r="435" spans="1:13" ht="13.8" x14ac:dyDescent="0.4">
      <c r="A435" s="356">
        <f t="shared" si="218"/>
        <v>23</v>
      </c>
      <c r="B435" s="358">
        <v>55.8</v>
      </c>
      <c r="C435" s="358">
        <v>0</v>
      </c>
      <c r="D435" s="358">
        <v>0</v>
      </c>
      <c r="E435" s="358">
        <v>1.2</v>
      </c>
      <c r="F435" s="358">
        <v>0</v>
      </c>
      <c r="G435" s="358">
        <v>0</v>
      </c>
      <c r="H435" s="358">
        <v>0</v>
      </c>
      <c r="I435" s="358">
        <v>0</v>
      </c>
      <c r="J435" s="358">
        <v>30.2</v>
      </c>
      <c r="K435" s="368">
        <v>1</v>
      </c>
      <c r="L435" s="358">
        <v>25.5</v>
      </c>
      <c r="M435" s="358">
        <v>3.4</v>
      </c>
    </row>
    <row r="436" spans="1:13" ht="13.8" x14ac:dyDescent="0.4">
      <c r="A436" s="356">
        <f t="shared" si="218"/>
        <v>24</v>
      </c>
      <c r="B436" s="358">
        <v>0</v>
      </c>
      <c r="C436" s="358">
        <v>0.4</v>
      </c>
      <c r="D436" s="358">
        <v>1.2</v>
      </c>
      <c r="E436" s="358">
        <v>0</v>
      </c>
      <c r="F436" s="358">
        <v>2.5</v>
      </c>
      <c r="G436" s="358">
        <v>0</v>
      </c>
      <c r="H436" s="358">
        <v>0</v>
      </c>
      <c r="I436" s="358">
        <v>0</v>
      </c>
      <c r="J436" s="358">
        <v>0.4</v>
      </c>
      <c r="K436" s="368">
        <v>0</v>
      </c>
      <c r="L436" s="358">
        <v>0</v>
      </c>
      <c r="M436" s="358">
        <v>7</v>
      </c>
    </row>
    <row r="437" spans="1:13" ht="13.8" x14ac:dyDescent="0.4">
      <c r="A437" s="356">
        <f t="shared" si="218"/>
        <v>25</v>
      </c>
      <c r="B437" s="358">
        <v>13.4</v>
      </c>
      <c r="C437" s="358">
        <v>7.6</v>
      </c>
      <c r="D437" s="358">
        <v>8</v>
      </c>
      <c r="E437" s="358">
        <v>16.2</v>
      </c>
      <c r="F437" s="358">
        <v>0</v>
      </c>
      <c r="G437" s="358">
        <v>0</v>
      </c>
      <c r="H437" s="358">
        <v>0</v>
      </c>
      <c r="I437" s="358">
        <v>0</v>
      </c>
      <c r="J437" s="358">
        <v>8.4</v>
      </c>
      <c r="K437" s="368">
        <v>0</v>
      </c>
      <c r="L437" s="358">
        <v>4.8</v>
      </c>
      <c r="M437" s="358">
        <v>8.1999999999999993</v>
      </c>
    </row>
    <row r="438" spans="1:13" ht="13.8" x14ac:dyDescent="0.4">
      <c r="A438" s="356">
        <f t="shared" si="218"/>
        <v>26</v>
      </c>
      <c r="B438" s="358">
        <v>0</v>
      </c>
      <c r="C438" s="358">
        <v>12</v>
      </c>
      <c r="D438" s="358">
        <v>0</v>
      </c>
      <c r="E438" s="358">
        <v>0</v>
      </c>
      <c r="F438" s="358">
        <v>0</v>
      </c>
      <c r="G438" s="358">
        <v>0</v>
      </c>
      <c r="H438" s="358">
        <v>0</v>
      </c>
      <c r="I438" s="358">
        <v>0</v>
      </c>
      <c r="J438" s="358">
        <v>3.2</v>
      </c>
      <c r="K438" s="368">
        <v>0</v>
      </c>
      <c r="L438" s="358">
        <v>5.8</v>
      </c>
      <c r="M438" s="358">
        <v>0.4</v>
      </c>
    </row>
    <row r="439" spans="1:13" ht="13.8" x14ac:dyDescent="0.4">
      <c r="A439" s="356">
        <f t="shared" si="218"/>
        <v>27</v>
      </c>
      <c r="B439" s="358">
        <v>0.2</v>
      </c>
      <c r="C439" s="358">
        <v>0</v>
      </c>
      <c r="D439" s="358">
        <v>25.4</v>
      </c>
      <c r="E439" s="358">
        <v>0</v>
      </c>
      <c r="F439" s="358">
        <v>0</v>
      </c>
      <c r="G439" s="358">
        <v>0</v>
      </c>
      <c r="H439" s="358">
        <v>0</v>
      </c>
      <c r="I439" s="358">
        <v>0</v>
      </c>
      <c r="J439" s="358">
        <v>11.2</v>
      </c>
      <c r="K439" s="368">
        <v>0</v>
      </c>
      <c r="L439" s="358">
        <v>0.8</v>
      </c>
      <c r="M439" s="358">
        <v>0</v>
      </c>
    </row>
    <row r="440" spans="1:13" ht="13.8" x14ac:dyDescent="0.4">
      <c r="A440" s="356">
        <f t="shared" si="218"/>
        <v>28</v>
      </c>
      <c r="B440" s="358">
        <v>21.6</v>
      </c>
      <c r="C440" s="358">
        <v>0</v>
      </c>
      <c r="D440" s="358">
        <v>3.6</v>
      </c>
      <c r="E440" s="358">
        <v>10.5</v>
      </c>
      <c r="F440" s="358">
        <v>0</v>
      </c>
      <c r="G440" s="358">
        <v>0</v>
      </c>
      <c r="H440" s="358">
        <v>0</v>
      </c>
      <c r="I440" s="358">
        <v>0</v>
      </c>
      <c r="J440" s="358">
        <v>1.2</v>
      </c>
      <c r="K440" s="368">
        <v>0</v>
      </c>
      <c r="L440" s="358">
        <v>0</v>
      </c>
      <c r="M440" s="358">
        <v>0.6</v>
      </c>
    </row>
    <row r="441" spans="1:13" ht="13.8" x14ac:dyDescent="0.4">
      <c r="A441" s="356">
        <f t="shared" si="218"/>
        <v>29</v>
      </c>
      <c r="B441" s="358">
        <v>5.4</v>
      </c>
      <c r="C441" s="358">
        <v>0</v>
      </c>
      <c r="D441" s="358">
        <v>0</v>
      </c>
      <c r="E441" s="358">
        <v>0</v>
      </c>
      <c r="F441" s="358">
        <v>0</v>
      </c>
      <c r="G441" s="358">
        <v>8.6</v>
      </c>
      <c r="H441" s="358">
        <v>0</v>
      </c>
      <c r="I441" s="358">
        <v>0</v>
      </c>
      <c r="J441" s="358">
        <v>0</v>
      </c>
      <c r="K441" s="368">
        <v>0.2</v>
      </c>
      <c r="L441" s="358">
        <v>19</v>
      </c>
      <c r="M441" s="358">
        <v>6.2</v>
      </c>
    </row>
    <row r="442" spans="1:13" ht="13.8" x14ac:dyDescent="0.4">
      <c r="A442" s="356">
        <f t="shared" si="218"/>
        <v>30</v>
      </c>
      <c r="B442" s="358">
        <v>0.4</v>
      </c>
      <c r="C442" s="357"/>
      <c r="D442" s="358">
        <v>0</v>
      </c>
      <c r="E442" s="358">
        <v>3.4</v>
      </c>
      <c r="F442" s="358">
        <v>0.4</v>
      </c>
      <c r="G442" s="358">
        <v>2</v>
      </c>
      <c r="H442" s="358">
        <v>0</v>
      </c>
      <c r="I442" s="358">
        <v>0</v>
      </c>
      <c r="J442" s="358">
        <v>0</v>
      </c>
      <c r="K442" s="368">
        <v>0</v>
      </c>
      <c r="L442" s="358">
        <v>0</v>
      </c>
      <c r="M442" s="358">
        <v>0</v>
      </c>
    </row>
    <row r="443" spans="1:13" ht="13.8" x14ac:dyDescent="0.4">
      <c r="A443" s="356">
        <f t="shared" si="218"/>
        <v>31</v>
      </c>
      <c r="B443" s="358">
        <v>20</v>
      </c>
      <c r="C443" s="357"/>
      <c r="D443" s="358">
        <v>2.6</v>
      </c>
      <c r="E443" s="357"/>
      <c r="F443" s="358">
        <v>0</v>
      </c>
      <c r="G443" s="357"/>
      <c r="H443" s="358">
        <v>0</v>
      </c>
      <c r="I443" s="358">
        <v>0</v>
      </c>
      <c r="J443" s="357"/>
      <c r="K443" s="368">
        <v>0</v>
      </c>
      <c r="L443" s="357"/>
      <c r="M443" s="358">
        <v>3.8</v>
      </c>
    </row>
    <row r="444" spans="1:13" ht="13.8" x14ac:dyDescent="0.4">
      <c r="A444" s="356" t="s">
        <v>3296</v>
      </c>
      <c r="B444" s="357">
        <f>MAX(B413:B443)</f>
        <v>55.8</v>
      </c>
      <c r="C444" s="357">
        <f t="shared" ref="C444:H444" si="219">MAX(C413:C443)</f>
        <v>67.5</v>
      </c>
      <c r="D444" s="357">
        <f t="shared" si="219"/>
        <v>171.6</v>
      </c>
      <c r="E444" s="357">
        <f t="shared" si="219"/>
        <v>62</v>
      </c>
      <c r="F444" s="357">
        <f t="shared" si="219"/>
        <v>11.6</v>
      </c>
      <c r="G444" s="357">
        <f t="shared" si="219"/>
        <v>104.4</v>
      </c>
      <c r="H444" s="357">
        <f t="shared" si="219"/>
        <v>46.2</v>
      </c>
      <c r="I444" s="357">
        <f>MAX(I413:I443)</f>
        <v>50.4</v>
      </c>
      <c r="J444" s="357">
        <f t="shared" ref="J444:M444" si="220">MAX(J413:J443)</f>
        <v>30.2</v>
      </c>
      <c r="K444" s="357">
        <f t="shared" si="220"/>
        <v>76</v>
      </c>
      <c r="L444" s="357">
        <f t="shared" si="220"/>
        <v>62</v>
      </c>
      <c r="M444" s="357">
        <f t="shared" si="220"/>
        <v>63</v>
      </c>
    </row>
    <row r="445" spans="1:13" ht="13.8" x14ac:dyDescent="0.4">
      <c r="A445" s="356" t="s">
        <v>4798</v>
      </c>
      <c r="B445" s="357">
        <f>SUM(B413:B443)</f>
        <v>319.10000000000002</v>
      </c>
      <c r="C445" s="357">
        <f t="shared" ref="C445:M445" si="221">SUM(C413:C443)</f>
        <v>242.90000000000003</v>
      </c>
      <c r="D445" s="357">
        <f t="shared" si="221"/>
        <v>515.19999999999993</v>
      </c>
      <c r="E445" s="357">
        <f t="shared" si="221"/>
        <v>290.79999999999995</v>
      </c>
      <c r="F445" s="357">
        <f t="shared" si="221"/>
        <v>24.499999999999996</v>
      </c>
      <c r="G445" s="357">
        <f t="shared" si="221"/>
        <v>199</v>
      </c>
      <c r="H445" s="357">
        <f t="shared" si="221"/>
        <v>54.800000000000004</v>
      </c>
      <c r="I445" s="357">
        <f t="shared" si="221"/>
        <v>85.2</v>
      </c>
      <c r="J445" s="357">
        <f t="shared" si="221"/>
        <v>77.600000000000009</v>
      </c>
      <c r="K445" s="357">
        <f t="shared" si="221"/>
        <v>157.19999999999999</v>
      </c>
      <c r="L445" s="357">
        <f t="shared" si="221"/>
        <v>340.70000000000005</v>
      </c>
      <c r="M445" s="357">
        <f t="shared" si="221"/>
        <v>291.59999999999997</v>
      </c>
    </row>
    <row r="446" spans="1:13" ht="13.8" x14ac:dyDescent="0.4">
      <c r="A446" s="356" t="s">
        <v>4799</v>
      </c>
      <c r="B446" s="357">
        <f>COUNTIF(B413:B443,"&gt;2")</f>
        <v>16</v>
      </c>
      <c r="C446" s="357">
        <f t="shared" ref="C446:M446" si="222">COUNTIF(C413:C443,"&gt;2")</f>
        <v>12</v>
      </c>
      <c r="D446" s="357">
        <f t="shared" si="222"/>
        <v>13</v>
      </c>
      <c r="E446" s="357">
        <f t="shared" si="222"/>
        <v>16</v>
      </c>
      <c r="F446" s="357">
        <f t="shared" si="222"/>
        <v>3</v>
      </c>
      <c r="G446" s="357">
        <f t="shared" si="222"/>
        <v>7</v>
      </c>
      <c r="H446" s="357">
        <f t="shared" si="222"/>
        <v>3</v>
      </c>
      <c r="I446" s="357">
        <f t="shared" si="222"/>
        <v>3</v>
      </c>
      <c r="J446" s="357">
        <f t="shared" si="222"/>
        <v>6</v>
      </c>
      <c r="K446" s="357">
        <f t="shared" si="222"/>
        <v>7</v>
      </c>
      <c r="L446" s="357">
        <f t="shared" si="222"/>
        <v>12</v>
      </c>
      <c r="M446" s="357">
        <f t="shared" si="222"/>
        <v>20</v>
      </c>
    </row>
    <row r="447" spans="1:13" ht="13.8" x14ac:dyDescent="0.4">
      <c r="A447" s="356" t="s">
        <v>4800</v>
      </c>
      <c r="B447" s="357">
        <f>B445/B446</f>
        <v>19.943750000000001</v>
      </c>
      <c r="C447" s="357">
        <f t="shared" ref="C447" si="223">C445/C446</f>
        <v>20.241666666666671</v>
      </c>
      <c r="D447" s="357">
        <f t="shared" ref="D447" si="224">D445/D446</f>
        <v>39.630769230769225</v>
      </c>
      <c r="E447" s="357">
        <f t="shared" ref="E447" si="225">E445/E446</f>
        <v>18.174999999999997</v>
      </c>
      <c r="F447" s="357">
        <f t="shared" ref="F447" si="226">F445/F446</f>
        <v>8.1666666666666661</v>
      </c>
      <c r="G447" s="357">
        <f t="shared" ref="G447" si="227">G445/G446</f>
        <v>28.428571428571427</v>
      </c>
      <c r="H447" s="357">
        <f t="shared" ref="H447" si="228">H445/H446</f>
        <v>18.266666666666669</v>
      </c>
      <c r="I447" s="357">
        <f t="shared" ref="I447" si="229">I445/I446</f>
        <v>28.400000000000002</v>
      </c>
      <c r="J447" s="357">
        <f t="shared" ref="J447" si="230">J445/J446</f>
        <v>12.933333333333335</v>
      </c>
      <c r="K447" s="357">
        <f t="shared" ref="K447" si="231">K445/K446</f>
        <v>22.457142857142856</v>
      </c>
      <c r="L447" s="357">
        <f t="shared" ref="L447" si="232">L445/L446</f>
        <v>28.391666666666669</v>
      </c>
      <c r="M447" s="357">
        <f t="shared" ref="M447" si="233">M445/M446</f>
        <v>14.579999999999998</v>
      </c>
    </row>
  </sheetData>
  <mergeCells count="154">
    <mergeCell ref="A1:A4"/>
    <mergeCell ref="A42:A45"/>
    <mergeCell ref="B42:M42"/>
    <mergeCell ref="B1:M1"/>
    <mergeCell ref="J44:J45"/>
    <mergeCell ref="M44:M45"/>
    <mergeCell ref="D44:D45"/>
    <mergeCell ref="F44:F45"/>
    <mergeCell ref="F3:F4"/>
    <mergeCell ref="B3:B4"/>
    <mergeCell ref="C3:C4"/>
    <mergeCell ref="D3:D4"/>
    <mergeCell ref="E3:E4"/>
    <mergeCell ref="G3:G4"/>
    <mergeCell ref="M3:M4"/>
    <mergeCell ref="H3:H4"/>
    <mergeCell ref="I3:I4"/>
    <mergeCell ref="J3:J4"/>
    <mergeCell ref="K3:K4"/>
    <mergeCell ref="L3:L4"/>
    <mergeCell ref="B44:B45"/>
    <mergeCell ref="C44:C45"/>
    <mergeCell ref="E44:E45"/>
    <mergeCell ref="G44:G45"/>
    <mergeCell ref="L44:L45"/>
    <mergeCell ref="H44:H45"/>
    <mergeCell ref="I44:I45"/>
    <mergeCell ref="K44:K45"/>
    <mergeCell ref="B84:B85"/>
    <mergeCell ref="C84:C85"/>
    <mergeCell ref="D84:D85"/>
    <mergeCell ref="A82:A85"/>
    <mergeCell ref="B82:M82"/>
    <mergeCell ref="E84:E85"/>
    <mergeCell ref="F84:F85"/>
    <mergeCell ref="G84:G85"/>
    <mergeCell ref="K84:K85"/>
    <mergeCell ref="L84:L85"/>
    <mergeCell ref="M84:M85"/>
    <mergeCell ref="H84:H85"/>
    <mergeCell ref="I84:I85"/>
    <mergeCell ref="J84:J85"/>
    <mergeCell ref="B124:B125"/>
    <mergeCell ref="C124:C125"/>
    <mergeCell ref="D124:D125"/>
    <mergeCell ref="A122:A125"/>
    <mergeCell ref="B122:M122"/>
    <mergeCell ref="E124:E125"/>
    <mergeCell ref="F124:F125"/>
    <mergeCell ref="G124:G125"/>
    <mergeCell ref="K124:K125"/>
    <mergeCell ref="L124:L125"/>
    <mergeCell ref="M124:M125"/>
    <mergeCell ref="H124:H125"/>
    <mergeCell ref="I124:I125"/>
    <mergeCell ref="J124:J125"/>
    <mergeCell ref="B165:B166"/>
    <mergeCell ref="C165:C166"/>
    <mergeCell ref="D165:D166"/>
    <mergeCell ref="A163:A166"/>
    <mergeCell ref="B163:M163"/>
    <mergeCell ref="E165:E166"/>
    <mergeCell ref="F165:F166"/>
    <mergeCell ref="G165:G166"/>
    <mergeCell ref="K165:K166"/>
    <mergeCell ref="L165:L166"/>
    <mergeCell ref="M165:M166"/>
    <mergeCell ref="H165:H166"/>
    <mergeCell ref="I165:I166"/>
    <mergeCell ref="J165:J166"/>
    <mergeCell ref="B206:B207"/>
    <mergeCell ref="C206:C207"/>
    <mergeCell ref="D206:D207"/>
    <mergeCell ref="A204:A207"/>
    <mergeCell ref="B204:M204"/>
    <mergeCell ref="E206:E207"/>
    <mergeCell ref="F206:F207"/>
    <mergeCell ref="G206:G207"/>
    <mergeCell ref="K206:K207"/>
    <mergeCell ref="L206:L207"/>
    <mergeCell ref="M206:M207"/>
    <mergeCell ref="H206:H207"/>
    <mergeCell ref="I206:I207"/>
    <mergeCell ref="J206:J207"/>
    <mergeCell ref="B247:B248"/>
    <mergeCell ref="C247:C248"/>
    <mergeCell ref="D247:D248"/>
    <mergeCell ref="A245:A248"/>
    <mergeCell ref="B245:M245"/>
    <mergeCell ref="E247:E248"/>
    <mergeCell ref="F247:F248"/>
    <mergeCell ref="G247:G248"/>
    <mergeCell ref="K247:K248"/>
    <mergeCell ref="L247:L248"/>
    <mergeCell ref="M247:M248"/>
    <mergeCell ref="H247:H248"/>
    <mergeCell ref="I247:I248"/>
    <mergeCell ref="J247:J248"/>
    <mergeCell ref="B288:B289"/>
    <mergeCell ref="C288:C289"/>
    <mergeCell ref="D288:D289"/>
    <mergeCell ref="A286:A289"/>
    <mergeCell ref="B286:M286"/>
    <mergeCell ref="E288:E289"/>
    <mergeCell ref="F288:F289"/>
    <mergeCell ref="G288:G289"/>
    <mergeCell ref="K288:K289"/>
    <mergeCell ref="L288:L289"/>
    <mergeCell ref="M288:M289"/>
    <mergeCell ref="H288:H289"/>
    <mergeCell ref="I288:I289"/>
    <mergeCell ref="J288:J289"/>
    <mergeCell ref="B329:B330"/>
    <mergeCell ref="C329:C330"/>
    <mergeCell ref="D329:D330"/>
    <mergeCell ref="A327:A330"/>
    <mergeCell ref="B327:M327"/>
    <mergeCell ref="E329:E330"/>
    <mergeCell ref="F329:F330"/>
    <mergeCell ref="G329:G330"/>
    <mergeCell ref="K329:K330"/>
    <mergeCell ref="L329:L330"/>
    <mergeCell ref="M329:M330"/>
    <mergeCell ref="H329:H330"/>
    <mergeCell ref="I329:I330"/>
    <mergeCell ref="J329:J330"/>
    <mergeCell ref="B370:B371"/>
    <mergeCell ref="C370:C371"/>
    <mergeCell ref="D370:D371"/>
    <mergeCell ref="A368:A371"/>
    <mergeCell ref="B368:M368"/>
    <mergeCell ref="E370:E371"/>
    <mergeCell ref="F370:F371"/>
    <mergeCell ref="G370:G371"/>
    <mergeCell ref="K370:K371"/>
    <mergeCell ref="L370:L371"/>
    <mergeCell ref="M370:M371"/>
    <mergeCell ref="H370:H371"/>
    <mergeCell ref="I370:I371"/>
    <mergeCell ref="J370:J371"/>
    <mergeCell ref="A409:A412"/>
    <mergeCell ref="B409:M409"/>
    <mergeCell ref="B411:B412"/>
    <mergeCell ref="C411:C412"/>
    <mergeCell ref="D411:D412"/>
    <mergeCell ref="E411:E412"/>
    <mergeCell ref="F411:F412"/>
    <mergeCell ref="L411:L412"/>
    <mergeCell ref="M411:M412"/>
    <mergeCell ref="G411:G412"/>
    <mergeCell ref="H411:H412"/>
    <mergeCell ref="I411:I412"/>
    <mergeCell ref="J411:J412"/>
    <mergeCell ref="K411:K4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060AC-C68F-4479-9920-EAF101E08CD0}">
  <sheetPr>
    <tabColor theme="1"/>
  </sheetPr>
  <dimension ref="B1:AF31"/>
  <sheetViews>
    <sheetView zoomScale="70" zoomScaleNormal="70" workbookViewId="0">
      <selection activeCell="AA22" sqref="AA22"/>
    </sheetView>
  </sheetViews>
  <sheetFormatPr defaultColWidth="8.88671875" defaultRowHeight="13.2" zeroHeight="1" x14ac:dyDescent="0.25"/>
  <cols>
    <col min="1" max="1" width="3.6640625" style="372" customWidth="1"/>
    <col min="2" max="2" width="18.5546875" style="372" hidden="1" customWidth="1"/>
    <col min="3" max="3" width="9.6640625" style="372" hidden="1" customWidth="1"/>
    <col min="4" max="4" width="8.109375" style="372" hidden="1" customWidth="1"/>
    <col min="5" max="14" width="9.6640625" style="372" hidden="1" customWidth="1"/>
    <col min="15" max="17" width="0" style="372" hidden="1" customWidth="1"/>
    <col min="18" max="25" width="8.88671875" style="372"/>
    <col min="26" max="26" width="8.88671875" style="372" customWidth="1"/>
    <col min="27" max="30" width="8.88671875" style="372"/>
    <col min="31" max="31" width="8.88671875" style="372" customWidth="1"/>
    <col min="32" max="16384" width="8.88671875" style="372"/>
  </cols>
  <sheetData>
    <row r="1" spans="2:32" ht="19.95" customHeight="1" x14ac:dyDescent="0.4">
      <c r="B1" s="371"/>
    </row>
    <row r="2" spans="2:32" ht="22.95" customHeight="1" x14ac:dyDescent="0.4">
      <c r="B2" s="827" t="s">
        <v>3292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</row>
    <row r="3" spans="2:32" ht="24" customHeight="1" thickBot="1" x14ac:dyDescent="0.3"/>
    <row r="4" spans="2:32" s="373" customFormat="1" ht="27.6" customHeight="1" x14ac:dyDescent="0.3">
      <c r="B4" s="820" t="s">
        <v>3279</v>
      </c>
      <c r="C4" s="771" t="s">
        <v>3280</v>
      </c>
      <c r="D4" s="770" t="s">
        <v>3281</v>
      </c>
      <c r="E4" s="770" t="s">
        <v>3282</v>
      </c>
      <c r="F4" s="770" t="s">
        <v>3283</v>
      </c>
      <c r="G4" s="770" t="s">
        <v>3284</v>
      </c>
      <c r="H4" s="770" t="s">
        <v>3285</v>
      </c>
      <c r="I4" s="770" t="s">
        <v>3286</v>
      </c>
      <c r="J4" s="770" t="s">
        <v>3287</v>
      </c>
      <c r="K4" s="770" t="s">
        <v>3288</v>
      </c>
      <c r="L4" s="770" t="s">
        <v>3289</v>
      </c>
      <c r="M4" s="770" t="s">
        <v>3290</v>
      </c>
      <c r="N4" s="770" t="s">
        <v>3291</v>
      </c>
      <c r="O4" s="820" t="s">
        <v>3279</v>
      </c>
      <c r="R4" s="820" t="s">
        <v>3279</v>
      </c>
      <c r="S4" s="781" t="s">
        <v>3280</v>
      </c>
      <c r="T4" s="781" t="s">
        <v>3281</v>
      </c>
      <c r="U4" s="781" t="s">
        <v>3282</v>
      </c>
      <c r="V4" s="781" t="s">
        <v>3283</v>
      </c>
      <c r="W4" s="781" t="s">
        <v>3284</v>
      </c>
      <c r="X4" s="781" t="s">
        <v>3285</v>
      </c>
      <c r="Y4" s="781" t="s">
        <v>3286</v>
      </c>
      <c r="Z4" s="781" t="s">
        <v>3287</v>
      </c>
      <c r="AA4" s="781" t="s">
        <v>3288</v>
      </c>
      <c r="AB4" s="781" t="s">
        <v>3289</v>
      </c>
      <c r="AC4" s="781" t="s">
        <v>3290</v>
      </c>
      <c r="AD4" s="781" t="s">
        <v>3291</v>
      </c>
      <c r="AE4" s="820" t="s">
        <v>4802</v>
      </c>
      <c r="AF4" s="820" t="s">
        <v>4803</v>
      </c>
    </row>
    <row r="5" spans="2:32" s="375" customFormat="1" ht="34.950000000000003" customHeight="1" x14ac:dyDescent="0.2">
      <c r="B5" s="821"/>
      <c r="C5" s="380" t="s">
        <v>3293</v>
      </c>
      <c r="D5" s="374" t="s">
        <v>3293</v>
      </c>
      <c r="E5" s="374" t="s">
        <v>3293</v>
      </c>
      <c r="F5" s="374" t="s">
        <v>3293</v>
      </c>
      <c r="G5" s="374" t="s">
        <v>3293</v>
      </c>
      <c r="H5" s="374" t="s">
        <v>3293</v>
      </c>
      <c r="I5" s="374" t="s">
        <v>3293</v>
      </c>
      <c r="J5" s="374" t="s">
        <v>3293</v>
      </c>
      <c r="K5" s="374" t="s">
        <v>3293</v>
      </c>
      <c r="L5" s="374" t="s">
        <v>3293</v>
      </c>
      <c r="M5" s="374" t="s">
        <v>3293</v>
      </c>
      <c r="N5" s="374" t="s">
        <v>3293</v>
      </c>
      <c r="O5" s="821"/>
      <c r="R5" s="821"/>
      <c r="S5" s="380" t="s">
        <v>3293</v>
      </c>
      <c r="T5" s="374" t="s">
        <v>3293</v>
      </c>
      <c r="U5" s="374" t="s">
        <v>3293</v>
      </c>
      <c r="V5" s="374" t="s">
        <v>3293</v>
      </c>
      <c r="W5" s="374" t="s">
        <v>3293</v>
      </c>
      <c r="X5" s="374" t="s">
        <v>3293</v>
      </c>
      <c r="Y5" s="374" t="s">
        <v>3293</v>
      </c>
      <c r="Z5" s="374" t="s">
        <v>3293</v>
      </c>
      <c r="AA5" s="374" t="s">
        <v>3293</v>
      </c>
      <c r="AB5" s="374" t="s">
        <v>3293</v>
      </c>
      <c r="AC5" s="374" t="s">
        <v>3293</v>
      </c>
      <c r="AD5" s="374" t="s">
        <v>3293</v>
      </c>
      <c r="AE5" s="821"/>
      <c r="AF5" s="821"/>
    </row>
    <row r="6" spans="2:32" s="375" customFormat="1" ht="30" customHeight="1" x14ac:dyDescent="0.2">
      <c r="B6" s="381">
        <v>2014</v>
      </c>
      <c r="C6" s="376">
        <f>'Rainfall 1 Days (24 Hours)'!B36</f>
        <v>120.5</v>
      </c>
      <c r="D6" s="376">
        <f>'Rainfall 1 Days (24 Hours)'!C36</f>
        <v>87.7</v>
      </c>
      <c r="E6" s="376">
        <f>'Rainfall 1 Days (24 Hours)'!D36</f>
        <v>33.4</v>
      </c>
      <c r="F6" s="376">
        <f>'Rainfall 1 Days (24 Hours)'!E36</f>
        <v>18</v>
      </c>
      <c r="G6" s="376">
        <f>'Rainfall 1 Days (24 Hours)'!F36</f>
        <v>37</v>
      </c>
      <c r="H6" s="376">
        <f>'Rainfall 1 Days (24 Hours)'!G36</f>
        <v>22.5</v>
      </c>
      <c r="I6" s="376">
        <f>'Rainfall 1 Days (24 Hours)'!H36</f>
        <v>46</v>
      </c>
      <c r="J6" s="376">
        <f>'Rainfall 1 Days (24 Hours)'!I36</f>
        <v>26.5</v>
      </c>
      <c r="K6" s="376">
        <f>'Rainfall 1 Days (24 Hours)'!J36</f>
        <v>1.5</v>
      </c>
      <c r="L6" s="376">
        <f>'Rainfall 1 Days (24 Hours)'!K36</f>
        <v>7</v>
      </c>
      <c r="M6" s="376">
        <f>'Rainfall 1 Days (24 Hours)'!L36</f>
        <v>34.700000000000003</v>
      </c>
      <c r="N6" s="376">
        <f>'Rainfall 1 Days (24 Hours)'!M36</f>
        <v>57</v>
      </c>
      <c r="O6" s="381">
        <v>2014</v>
      </c>
      <c r="R6" s="381">
        <v>2014</v>
      </c>
      <c r="S6" s="376">
        <f>'Rainfall 1 Days (24 Hours)'!B36</f>
        <v>120.5</v>
      </c>
      <c r="T6" s="376">
        <f>'Rainfall 1 Days (24 Hours)'!C36</f>
        <v>87.7</v>
      </c>
      <c r="U6" s="376">
        <f>'Rainfall 1 Days (24 Hours)'!D36</f>
        <v>33.4</v>
      </c>
      <c r="V6" s="376">
        <f>'Rainfall 1 Days (24 Hours)'!E36</f>
        <v>18</v>
      </c>
      <c r="W6" s="376">
        <f>'Rainfall 1 Days (24 Hours)'!F36</f>
        <v>37</v>
      </c>
      <c r="X6" s="376">
        <f>'Rainfall 1 Days (24 Hours)'!G36</f>
        <v>22.5</v>
      </c>
      <c r="Y6" s="376">
        <f>'Rainfall 1 Days (24 Hours)'!H36</f>
        <v>46</v>
      </c>
      <c r="Z6" s="376">
        <f>'Rainfall 1 Days (24 Hours)'!I36</f>
        <v>26.5</v>
      </c>
      <c r="AA6" s="376">
        <f>'Rainfall 1 Days (24 Hours)'!J36</f>
        <v>1.5</v>
      </c>
      <c r="AB6" s="376">
        <f>'Rainfall 1 Days (24 Hours)'!K36</f>
        <v>7</v>
      </c>
      <c r="AC6" s="376">
        <f>'Rainfall 1 Days (24 Hours)'!L36</f>
        <v>34.700000000000003</v>
      </c>
      <c r="AD6" s="376">
        <f>'Rainfall 1 Days (24 Hours)'!M36</f>
        <v>57</v>
      </c>
      <c r="AE6" s="780">
        <f>MAX(S6,T6,U6,V6,W6,X6,Y6,Z6,AA6,AB6,AC6,AD6)</f>
        <v>120.5</v>
      </c>
      <c r="AF6" s="780">
        <f t="shared" ref="AF6:AF16" si="0">AVERAGE(S6,T6,U6,V6,W6,X6,Y6,Z6,AA6,AB6,AC6,AD6)</f>
        <v>40.983333333333334</v>
      </c>
    </row>
    <row r="7" spans="2:32" s="375" customFormat="1" ht="30" customHeight="1" x14ac:dyDescent="0.2">
      <c r="B7" s="381">
        <v>2015</v>
      </c>
      <c r="C7" s="376">
        <f>'Rainfall 1 Days (24 Hours)'!B80</f>
        <v>19.510000000000002</v>
      </c>
      <c r="D7" s="376">
        <f>'Rainfall 1 Days (24 Hours)'!C80</f>
        <v>29.088888888888889</v>
      </c>
      <c r="E7" s="376">
        <f>'Rainfall 1 Days (24 Hours)'!D80</f>
        <v>13.741666666666669</v>
      </c>
      <c r="F7" s="376">
        <f>'Rainfall 1 Days (24 Hours)'!E80</f>
        <v>21.928571428571427</v>
      </c>
      <c r="G7" s="376">
        <f>'Rainfall 1 Days (24 Hours)'!F80</f>
        <v>24.979999999999997</v>
      </c>
      <c r="H7" s="376">
        <f>'Rainfall 1 Days (24 Hours)'!G80</f>
        <v>38.6</v>
      </c>
      <c r="I7" s="376" t="e">
        <f>'Rainfall 1 Days (24 Hours)'!H80</f>
        <v>#DIV/0!</v>
      </c>
      <c r="J7" s="376">
        <f>'Rainfall 1 Days (24 Hours)'!I80</f>
        <v>11.9</v>
      </c>
      <c r="K7" s="376">
        <f>'Rainfall 1 Days (24 Hours)'!J80</f>
        <v>0</v>
      </c>
      <c r="L7" s="376" t="e">
        <f>'Rainfall 1 Days (24 Hours)'!K80</f>
        <v>#DIV/0!</v>
      </c>
      <c r="M7" s="376">
        <f>'Rainfall 1 Days (24 Hours)'!L80</f>
        <v>11.899999999999999</v>
      </c>
      <c r="N7" s="376">
        <f>'Rainfall 1 Days (24 Hours)'!M80</f>
        <v>18.984615384615381</v>
      </c>
      <c r="O7" s="780" t="e">
        <f t="shared" ref="O7:O16" si="1">MAX(C7,D7,E7,F7,G7,H7,I7,J7,K7,L7,M7,N7)</f>
        <v>#DIV/0!</v>
      </c>
      <c r="R7" s="381">
        <v>2015</v>
      </c>
      <c r="S7" s="376">
        <f>'Rainfall 1 Days (24 Hours)'!B77</f>
        <v>42.9</v>
      </c>
      <c r="T7" s="376">
        <f>'Rainfall 1 Days (24 Hours)'!C77</f>
        <v>119.4</v>
      </c>
      <c r="U7" s="376">
        <f>'Rainfall 1 Days (24 Hours)'!D77</f>
        <v>36.799999999999997</v>
      </c>
      <c r="V7" s="376">
        <f>'Rainfall 1 Days (24 Hours)'!E77</f>
        <v>49.5</v>
      </c>
      <c r="W7" s="376">
        <f>'Rainfall 1 Days (24 Hours)'!F77</f>
        <v>38.5</v>
      </c>
      <c r="X7" s="376">
        <f>'Rainfall 1 Days (24 Hours)'!G77</f>
        <v>54</v>
      </c>
      <c r="Y7" s="376">
        <f>'Rainfall 1 Days (24 Hours)'!H77</f>
        <v>1.7</v>
      </c>
      <c r="Z7" s="376">
        <f>'Rainfall 1 Days (24 Hours)'!I77</f>
        <v>11.9</v>
      </c>
      <c r="AA7" s="376">
        <f>'Rainfall 1 Days (24 Hours)'!J77</f>
        <v>0</v>
      </c>
      <c r="AB7" s="376">
        <f>'Rainfall 1 Days (24 Hours)'!K77</f>
        <v>0.5</v>
      </c>
      <c r="AC7" s="376">
        <f>'Rainfall 1 Days (24 Hours)'!L77</f>
        <v>32.5</v>
      </c>
      <c r="AD7" s="376">
        <f>'Rainfall 1 Days (24 Hours)'!M77</f>
        <v>53</v>
      </c>
      <c r="AE7" s="780">
        <f t="shared" ref="AE7:AE16" si="2">MAX(S7,T7,U7,V7,W7,X7,Y7,Z7,AA7,AB7,AC7,AD7)</f>
        <v>119.4</v>
      </c>
      <c r="AF7" s="780">
        <f t="shared" si="0"/>
        <v>36.725000000000001</v>
      </c>
    </row>
    <row r="8" spans="2:32" s="375" customFormat="1" ht="30" customHeight="1" x14ac:dyDescent="0.2">
      <c r="B8" s="381">
        <v>2016</v>
      </c>
      <c r="C8" s="376">
        <f>'Rainfall 1 Days (24 Hours)'!B120</f>
        <v>18.350000000000001</v>
      </c>
      <c r="D8" s="376">
        <f>'Rainfall 1 Days (24 Hours)'!C120</f>
        <v>18.016666666666666</v>
      </c>
      <c r="E8" s="376">
        <f>'Rainfall 1 Days (24 Hours)'!D120</f>
        <v>12.242857142857144</v>
      </c>
      <c r="F8" s="376">
        <f>'Rainfall 1 Days (24 Hours)'!E120</f>
        <v>14.023076923076921</v>
      </c>
      <c r="G8" s="376">
        <f>'Rainfall 1 Days (24 Hours)'!F120</f>
        <v>18.075000000000003</v>
      </c>
      <c r="H8" s="376">
        <f>'Rainfall 1 Days (24 Hours)'!G120</f>
        <v>16.25</v>
      </c>
      <c r="I8" s="376">
        <f>'Rainfall 1 Days (24 Hours)'!H120</f>
        <v>25.8</v>
      </c>
      <c r="J8" s="376">
        <f>'Rainfall 1 Days (24 Hours)'!I120</f>
        <v>22.883333333333336</v>
      </c>
      <c r="K8" s="376">
        <f>'Rainfall 1 Days (24 Hours)'!J120</f>
        <v>23.766666666666666</v>
      </c>
      <c r="L8" s="376">
        <f>'Rainfall 1 Days (24 Hours)'!K120</f>
        <v>11.955555555555556</v>
      </c>
      <c r="M8" s="376">
        <f>'Rainfall 1 Days (24 Hours)'!L120</f>
        <v>16.328571428571426</v>
      </c>
      <c r="N8" s="376">
        <f>'Rainfall 1 Days (24 Hours)'!M120</f>
        <v>8.6666666666666661</v>
      </c>
      <c r="O8" s="780">
        <f t="shared" si="1"/>
        <v>25.8</v>
      </c>
      <c r="R8" s="381">
        <v>2016</v>
      </c>
      <c r="S8" s="376">
        <f>'Rainfall 1 Days (24 Hours)'!B117</f>
        <v>56</v>
      </c>
      <c r="T8" s="376">
        <f>'Rainfall 1 Days (24 Hours)'!C117</f>
        <v>70.099999999999994</v>
      </c>
      <c r="U8" s="376">
        <f>'Rainfall 1 Days (24 Hours)'!D117</f>
        <v>35.299999999999997</v>
      </c>
      <c r="V8" s="376">
        <f>'Rainfall 1 Days (24 Hours)'!E117</f>
        <v>44.2</v>
      </c>
      <c r="W8" s="376">
        <f>'Rainfall 1 Days (24 Hours)'!F117</f>
        <v>33</v>
      </c>
      <c r="X8" s="376">
        <f>'Rainfall 1 Days (24 Hours)'!G117</f>
        <v>60.5</v>
      </c>
      <c r="Y8" s="376">
        <f>'Rainfall 1 Days (24 Hours)'!H117</f>
        <v>66.5</v>
      </c>
      <c r="Z8" s="376">
        <f>'Rainfall 1 Days (24 Hours)'!I117</f>
        <v>55</v>
      </c>
      <c r="AA8" s="376">
        <f>'Rainfall 1 Days (24 Hours)'!J117</f>
        <v>74</v>
      </c>
      <c r="AB8" s="376">
        <f>'Rainfall 1 Days (24 Hours)'!K117</f>
        <v>29.5</v>
      </c>
      <c r="AC8" s="376">
        <f>'Rainfall 1 Days (24 Hours)'!L117</f>
        <v>32.200000000000003</v>
      </c>
      <c r="AD8" s="376">
        <f>'Rainfall 1 Days (24 Hours)'!M117</f>
        <v>22</v>
      </c>
      <c r="AE8" s="780">
        <f t="shared" si="2"/>
        <v>74</v>
      </c>
      <c r="AF8" s="780">
        <f t="shared" si="0"/>
        <v>48.191666666666663</v>
      </c>
    </row>
    <row r="9" spans="2:32" s="375" customFormat="1" ht="30" customHeight="1" x14ac:dyDescent="0.2">
      <c r="B9" s="381">
        <v>2017</v>
      </c>
      <c r="C9" s="376">
        <f>'Rainfall 1 Days (24 Hours)'!B160</f>
        <v>16.37857142857143</v>
      </c>
      <c r="D9" s="376">
        <f>'Rainfall 1 Days (24 Hours)'!C160</f>
        <v>25.28125</v>
      </c>
      <c r="E9" s="376">
        <f>'Rainfall 1 Days (24 Hours)'!D160</f>
        <v>29.057142857142857</v>
      </c>
      <c r="F9" s="376">
        <f>'Rainfall 1 Days (24 Hours)'!E160</f>
        <v>26.419999999999998</v>
      </c>
      <c r="G9" s="376">
        <f>'Rainfall 1 Days (24 Hours)'!F160</f>
        <v>20.950000000000003</v>
      </c>
      <c r="H9" s="376">
        <f>'Rainfall 1 Days (24 Hours)'!G160</f>
        <v>23.15</v>
      </c>
      <c r="I9" s="376">
        <f>'Rainfall 1 Days (24 Hours)'!H160</f>
        <v>8.3666666666666671</v>
      </c>
      <c r="J9" s="376" t="e">
        <f>'Rainfall 1 Days (24 Hours)'!I160</f>
        <v>#DIV/0!</v>
      </c>
      <c r="K9" s="376">
        <f>'Rainfall 1 Days (24 Hours)'!J160</f>
        <v>12.5</v>
      </c>
      <c r="L9" s="376">
        <f>'Rainfall 1 Days (24 Hours)'!K160</f>
        <v>32.529999999999994</v>
      </c>
      <c r="M9" s="376">
        <f>'Rainfall 1 Days (24 Hours)'!L160</f>
        <v>11.605882352941178</v>
      </c>
      <c r="N9" s="376">
        <f>'Rainfall 1 Days (24 Hours)'!M160</f>
        <v>20.010000000000002</v>
      </c>
      <c r="O9" s="780" t="e">
        <f t="shared" si="1"/>
        <v>#DIV/0!</v>
      </c>
      <c r="R9" s="381">
        <v>2017</v>
      </c>
      <c r="S9" s="376">
        <f>'Rainfall 1 Days (24 Hours)'!B157</f>
        <v>45</v>
      </c>
      <c r="T9" s="376">
        <f>'Rainfall 1 Days (24 Hours)'!C157</f>
        <v>67</v>
      </c>
      <c r="U9" s="376">
        <f>'Rainfall 1 Days (24 Hours)'!D157</f>
        <v>47</v>
      </c>
      <c r="V9" s="376">
        <f>'Rainfall 1 Days (24 Hours)'!E157</f>
        <v>86</v>
      </c>
      <c r="W9" s="376">
        <f>'Rainfall 1 Days (24 Hours)'!F157</f>
        <v>40</v>
      </c>
      <c r="X9" s="376">
        <f>'Rainfall 1 Days (24 Hours)'!G157</f>
        <v>34.4</v>
      </c>
      <c r="Y9" s="376">
        <f>'Rainfall 1 Days (24 Hours)'!H157</f>
        <v>10.199999999999999</v>
      </c>
      <c r="Z9" s="376">
        <f>'Rainfall 1 Days (24 Hours)'!I157</f>
        <v>1.5</v>
      </c>
      <c r="AA9" s="376">
        <f>'Rainfall 1 Days (24 Hours)'!J157</f>
        <v>21</v>
      </c>
      <c r="AB9" s="376">
        <f>'Rainfall 1 Days (24 Hours)'!K157</f>
        <v>99.5</v>
      </c>
      <c r="AC9" s="376">
        <f>'Rainfall 1 Days (24 Hours)'!L157</f>
        <v>34.299999999999997</v>
      </c>
      <c r="AD9" s="376">
        <f>'Rainfall 1 Days (24 Hours)'!M157</f>
        <v>54.7</v>
      </c>
      <c r="AE9" s="780">
        <f t="shared" si="2"/>
        <v>99.5</v>
      </c>
      <c r="AF9" s="780">
        <f t="shared" si="0"/>
        <v>45.050000000000004</v>
      </c>
    </row>
    <row r="10" spans="2:32" s="375" customFormat="1" ht="30" customHeight="1" x14ac:dyDescent="0.2">
      <c r="B10" s="381">
        <v>2018</v>
      </c>
      <c r="C10" s="376">
        <f>'Rainfall 1 Days (24 Hours)'!B201</f>
        <v>14.766666666666667</v>
      </c>
      <c r="D10" s="376">
        <f>'Rainfall 1 Days (24 Hours)'!C201</f>
        <v>37.294736842105273</v>
      </c>
      <c r="E10" s="376">
        <f>'Rainfall 1 Days (24 Hours)'!D201</f>
        <v>25.4</v>
      </c>
      <c r="F10" s="376">
        <f>'Rainfall 1 Days (24 Hours)'!E201</f>
        <v>18.414285714285715</v>
      </c>
      <c r="G10" s="376">
        <f>'Rainfall 1 Days (24 Hours)'!F201</f>
        <v>6.8666666666666671</v>
      </c>
      <c r="H10" s="376">
        <f>'Rainfall 1 Days (24 Hours)'!G201</f>
        <v>18.274999999999999</v>
      </c>
      <c r="I10" s="376" t="e">
        <f>'Rainfall 1 Days (24 Hours)'!H201</f>
        <v>#DIV/0!</v>
      </c>
      <c r="J10" s="376" t="e">
        <f>'Rainfall 1 Days (24 Hours)'!I201</f>
        <v>#DIV/0!</v>
      </c>
      <c r="K10" s="376">
        <f>'Rainfall 1 Days (24 Hours)'!J201</f>
        <v>5.6999999999999993</v>
      </c>
      <c r="L10" s="376">
        <f>'Rainfall 1 Days (24 Hours)'!K201</f>
        <v>26.866666666666664</v>
      </c>
      <c r="M10" s="376">
        <f>'Rainfall 1 Days (24 Hours)'!L201</f>
        <v>10.508333333333333</v>
      </c>
      <c r="N10" s="376">
        <f>'Rainfall 1 Days (24 Hours)'!M201</f>
        <v>23.566666666666666</v>
      </c>
      <c r="O10" s="780" t="e">
        <f t="shared" si="1"/>
        <v>#DIV/0!</v>
      </c>
      <c r="R10" s="381">
        <v>2018</v>
      </c>
      <c r="S10" s="376">
        <f>'Rainfall 1 Days (24 Hours)'!B198</f>
        <v>36.799999999999997</v>
      </c>
      <c r="T10" s="376">
        <f>'Rainfall 1 Days (24 Hours)'!C198</f>
        <v>138.5</v>
      </c>
      <c r="U10" s="376">
        <f>'Rainfall 1 Days (24 Hours)'!D198</f>
        <v>72</v>
      </c>
      <c r="V10" s="376">
        <f>'Rainfall 1 Days (24 Hours)'!E198</f>
        <v>43.5</v>
      </c>
      <c r="W10" s="376">
        <f>'Rainfall 1 Days (24 Hours)'!F198</f>
        <v>10</v>
      </c>
      <c r="X10" s="376">
        <f>'Rainfall 1 Days (24 Hours)'!G198</f>
        <v>50</v>
      </c>
      <c r="Y10" s="376">
        <f>'Rainfall 1 Days (24 Hours)'!H198</f>
        <v>0.4</v>
      </c>
      <c r="Z10" s="376">
        <f>'Rainfall 1 Days (24 Hours)'!I198</f>
        <v>0</v>
      </c>
      <c r="AA10" s="376">
        <f>'Rainfall 1 Days (24 Hours)'!J198</f>
        <v>3.3</v>
      </c>
      <c r="AB10" s="376">
        <f>'Rainfall 1 Days (24 Hours)'!K198</f>
        <v>42</v>
      </c>
      <c r="AC10" s="376">
        <f>'Rainfall 1 Days (24 Hours)'!L198</f>
        <v>37.5</v>
      </c>
      <c r="AD10" s="376">
        <f>'Rainfall 1 Days (24 Hours)'!M198</f>
        <v>105.7</v>
      </c>
      <c r="AE10" s="780">
        <f t="shared" si="2"/>
        <v>138.5</v>
      </c>
      <c r="AF10" s="780">
        <f t="shared" si="0"/>
        <v>44.975000000000001</v>
      </c>
    </row>
    <row r="11" spans="2:32" s="375" customFormat="1" ht="30" customHeight="1" x14ac:dyDescent="0.2">
      <c r="B11" s="381">
        <v>2019</v>
      </c>
      <c r="C11" s="376">
        <f>'Rainfall 1 Days (24 Hours)'!B242</f>
        <v>23.162499999999998</v>
      </c>
      <c r="D11" s="376">
        <f>'Rainfall 1 Days (24 Hours)'!C242</f>
        <v>25.669999999999998</v>
      </c>
      <c r="E11" s="376">
        <f>'Rainfall 1 Days (24 Hours)'!D242</f>
        <v>14.12</v>
      </c>
      <c r="F11" s="376">
        <f>'Rainfall 1 Days (24 Hours)'!E242</f>
        <v>16.253846153846155</v>
      </c>
      <c r="G11" s="376">
        <f>'Rainfall 1 Days (24 Hours)'!F242</f>
        <v>16.966666666666669</v>
      </c>
      <c r="H11" s="376" t="e">
        <f>'Rainfall 1 Days (24 Hours)'!G242</f>
        <v>#DIV/0!</v>
      </c>
      <c r="I11" s="376" t="e">
        <f>'Rainfall 1 Days (24 Hours)'!H242</f>
        <v>#DIV/0!</v>
      </c>
      <c r="J11" s="376">
        <f>'Rainfall 1 Days (24 Hours)'!I242</f>
        <v>5</v>
      </c>
      <c r="K11" s="376">
        <f>'Rainfall 1 Days (24 Hours)'!J242</f>
        <v>30.35</v>
      </c>
      <c r="L11" s="376" t="e">
        <f>'Rainfall 1 Days (24 Hours)'!K242</f>
        <v>#DIV/0!</v>
      </c>
      <c r="M11" s="376">
        <f>'Rainfall 1 Days (24 Hours)'!L242</f>
        <v>24.299999999999997</v>
      </c>
      <c r="N11" s="376">
        <f>'Rainfall 1 Days (24 Hours)'!M242</f>
        <v>26.628571428571426</v>
      </c>
      <c r="O11" s="780" t="e">
        <f t="shared" si="1"/>
        <v>#DIV/0!</v>
      </c>
      <c r="R11" s="381">
        <v>2019</v>
      </c>
      <c r="S11" s="376">
        <f>'Rainfall 1 Days (24 Hours)'!B239</f>
        <v>57.4</v>
      </c>
      <c r="T11" s="376">
        <f>'Rainfall 1 Days (24 Hours)'!C239</f>
        <v>92.7</v>
      </c>
      <c r="U11" s="376">
        <f>'Rainfall 1 Days (24 Hours)'!D239</f>
        <v>35.5</v>
      </c>
      <c r="V11" s="376">
        <f>'Rainfall 1 Days (24 Hours)'!E239</f>
        <v>47.7</v>
      </c>
      <c r="W11" s="376">
        <f>'Rainfall 1 Days (24 Hours)'!F239</f>
        <v>37</v>
      </c>
      <c r="X11" s="376">
        <f>'Rainfall 1 Days (24 Hours)'!G239</f>
        <v>0</v>
      </c>
      <c r="Y11" s="376">
        <f>'Rainfall 1 Days (24 Hours)'!H239</f>
        <v>1.3</v>
      </c>
      <c r="Z11" s="376">
        <f>'Rainfall 1 Days (24 Hours)'!I239</f>
        <v>5</v>
      </c>
      <c r="AA11" s="376">
        <f>'Rainfall 1 Days (24 Hours)'!J239</f>
        <v>48</v>
      </c>
      <c r="AB11" s="376">
        <f>'Rainfall 1 Days (24 Hours)'!K239</f>
        <v>0</v>
      </c>
      <c r="AC11" s="376">
        <f>'Rainfall 1 Days (24 Hours)'!L239</f>
        <v>24</v>
      </c>
      <c r="AD11" s="376">
        <f>'Rainfall 1 Days (24 Hours)'!M239</f>
        <v>86</v>
      </c>
      <c r="AE11" s="780">
        <f t="shared" si="2"/>
        <v>92.7</v>
      </c>
      <c r="AF11" s="780">
        <f t="shared" si="0"/>
        <v>36.216666666666669</v>
      </c>
    </row>
    <row r="12" spans="2:32" s="375" customFormat="1" ht="30" customHeight="1" x14ac:dyDescent="0.2">
      <c r="B12" s="381">
        <v>2020</v>
      </c>
      <c r="C12" s="376">
        <f>'Rainfall 1 Days (24 Hours)'!B283</f>
        <v>24.021428571428572</v>
      </c>
      <c r="D12" s="376">
        <f>'Rainfall 1 Days (24 Hours)'!C283</f>
        <v>26.4</v>
      </c>
      <c r="E12" s="376">
        <f>'Rainfall 1 Days (24 Hours)'!D283</f>
        <v>11.71875</v>
      </c>
      <c r="F12" s="376">
        <f>'Rainfall 1 Days (24 Hours)'!E283</f>
        <v>14.174999999999999</v>
      </c>
      <c r="G12" s="376">
        <f>'Rainfall 1 Days (24 Hours)'!F283</f>
        <v>20.088888888888889</v>
      </c>
      <c r="H12" s="376">
        <f>'Rainfall 1 Days (24 Hours)'!G283</f>
        <v>7.7</v>
      </c>
      <c r="I12" s="376">
        <f>'Rainfall 1 Days (24 Hours)'!H283</f>
        <v>34.275000000000006</v>
      </c>
      <c r="J12" s="376">
        <f>'Rainfall 1 Days (24 Hours)'!I283</f>
        <v>18.625</v>
      </c>
      <c r="K12" s="376">
        <f>'Rainfall 1 Days (24 Hours)'!J283</f>
        <v>22.685714285714287</v>
      </c>
      <c r="L12" s="376">
        <f>'Rainfall 1 Days (24 Hours)'!K283</f>
        <v>10.16</v>
      </c>
      <c r="M12" s="376">
        <f>'Rainfall 1 Days (24 Hours)'!L283</f>
        <v>14.764285714285714</v>
      </c>
      <c r="N12" s="376">
        <f>'Rainfall 1 Days (24 Hours)'!M283</f>
        <v>21.963157894736842</v>
      </c>
      <c r="O12" s="780">
        <f t="shared" si="1"/>
        <v>34.275000000000006</v>
      </c>
      <c r="R12" s="381">
        <v>2020</v>
      </c>
      <c r="S12" s="376">
        <f>'Rainfall 1 Days (24 Hours)'!B280</f>
        <v>105.6</v>
      </c>
      <c r="T12" s="376">
        <f>'Rainfall 1 Days (24 Hours)'!C280</f>
        <v>83.8</v>
      </c>
      <c r="U12" s="376">
        <f>'Rainfall 1 Days (24 Hours)'!D280</f>
        <v>28.8</v>
      </c>
      <c r="V12" s="376">
        <f>'Rainfall 1 Days (24 Hours)'!E280</f>
        <v>40.5</v>
      </c>
      <c r="W12" s="376">
        <f>'Rainfall 1 Days (24 Hours)'!F280</f>
        <v>38.5</v>
      </c>
      <c r="X12" s="376">
        <f>'Rainfall 1 Days (24 Hours)'!G280</f>
        <v>17</v>
      </c>
      <c r="Y12" s="376">
        <f>'Rainfall 1 Days (24 Hours)'!H280</f>
        <v>64.400000000000006</v>
      </c>
      <c r="Z12" s="376">
        <f>'Rainfall 1 Days (24 Hours)'!I280</f>
        <v>44.5</v>
      </c>
      <c r="AA12" s="376">
        <f>'Rainfall 1 Days (24 Hours)'!J280</f>
        <v>45</v>
      </c>
      <c r="AB12" s="376">
        <f>'Rainfall 1 Days (24 Hours)'!K280</f>
        <v>18.3</v>
      </c>
      <c r="AC12" s="376">
        <f>'Rainfall 1 Days (24 Hours)'!L280</f>
        <v>36.9</v>
      </c>
      <c r="AD12" s="376">
        <f>'Rainfall 1 Days (24 Hours)'!M280</f>
        <v>87</v>
      </c>
      <c r="AE12" s="780">
        <f t="shared" si="2"/>
        <v>105.6</v>
      </c>
      <c r="AF12" s="780">
        <f t="shared" si="0"/>
        <v>50.858333333333341</v>
      </c>
    </row>
    <row r="13" spans="2:32" s="375" customFormat="1" ht="30" customHeight="1" x14ac:dyDescent="0.2">
      <c r="B13" s="381">
        <v>2021</v>
      </c>
      <c r="C13" s="376">
        <f>'Rainfall 1 Days (24 Hours)'!B324</f>
        <v>18.799999999999997</v>
      </c>
      <c r="D13" s="376">
        <f>'Rainfall 1 Days (24 Hours)'!C324</f>
        <v>36.326086956521742</v>
      </c>
      <c r="E13" s="376">
        <f>'Rainfall 1 Days (24 Hours)'!D324</f>
        <v>13.354545454545455</v>
      </c>
      <c r="F13" s="376">
        <f>'Rainfall 1 Days (24 Hours)'!E324</f>
        <v>19.8</v>
      </c>
      <c r="G13" s="376">
        <f>'Rainfall 1 Days (24 Hours)'!F324</f>
        <v>26.18</v>
      </c>
      <c r="H13" s="376">
        <f>'Rainfall 1 Days (24 Hours)'!G324</f>
        <v>25.857142857142858</v>
      </c>
      <c r="I13" s="376">
        <f>'Rainfall 1 Days (24 Hours)'!H324</f>
        <v>3.5</v>
      </c>
      <c r="J13" s="376">
        <f>'Rainfall 1 Days (24 Hours)'!I324</f>
        <v>27.159999999999997</v>
      </c>
      <c r="K13" s="376">
        <f>'Rainfall 1 Days (24 Hours)'!J324</f>
        <v>23.130000000000003</v>
      </c>
      <c r="L13" s="376">
        <f>'Rainfall 1 Days (24 Hours)'!K324</f>
        <v>17.54</v>
      </c>
      <c r="M13" s="376">
        <f>'Rainfall 1 Days (24 Hours)'!L324</f>
        <v>21.418749999999996</v>
      </c>
      <c r="N13" s="376">
        <f>'Rainfall 1 Days (24 Hours)'!M324</f>
        <v>22.014285714285712</v>
      </c>
      <c r="O13" s="780">
        <f t="shared" si="1"/>
        <v>36.326086956521742</v>
      </c>
      <c r="R13" s="381">
        <v>2021</v>
      </c>
      <c r="S13" s="376">
        <f>'Rainfall 1 Days (24 Hours)'!B321</f>
        <v>88.3</v>
      </c>
      <c r="T13" s="376">
        <f>'Rainfall 1 Days (24 Hours)'!C321</f>
        <v>155</v>
      </c>
      <c r="U13" s="376">
        <f>'Rainfall 1 Days (24 Hours)'!D321</f>
        <v>25.9</v>
      </c>
      <c r="V13" s="376">
        <f>'Rainfall 1 Days (24 Hours)'!E321</f>
        <v>79.400000000000006</v>
      </c>
      <c r="W13" s="376">
        <f>'Rainfall 1 Days (24 Hours)'!F321</f>
        <v>47.2</v>
      </c>
      <c r="X13" s="376">
        <f>'Rainfall 1 Days (24 Hours)'!G321</f>
        <v>45.4</v>
      </c>
      <c r="Y13" s="376">
        <f>'Rainfall 1 Days (24 Hours)'!H321</f>
        <v>3.5</v>
      </c>
      <c r="Z13" s="376">
        <f>'Rainfall 1 Days (24 Hours)'!I321</f>
        <v>90</v>
      </c>
      <c r="AA13" s="376">
        <f>'Rainfall 1 Days (24 Hours)'!J321</f>
        <v>89.1</v>
      </c>
      <c r="AB13" s="376">
        <f>'Rainfall 1 Days (24 Hours)'!K321</f>
        <v>52.4</v>
      </c>
      <c r="AC13" s="376">
        <f>'Rainfall 1 Days (24 Hours)'!L321</f>
        <v>71.2</v>
      </c>
      <c r="AD13" s="376">
        <f>'Rainfall 1 Days (24 Hours)'!M321</f>
        <v>92.6</v>
      </c>
      <c r="AE13" s="780">
        <f t="shared" si="2"/>
        <v>155</v>
      </c>
      <c r="AF13" s="780">
        <f t="shared" si="0"/>
        <v>70.000000000000014</v>
      </c>
    </row>
    <row r="14" spans="2:32" s="375" customFormat="1" ht="30" customHeight="1" x14ac:dyDescent="0.2">
      <c r="B14" s="381">
        <v>2022</v>
      </c>
      <c r="C14" s="376">
        <f>'Rainfall 1 Days (24 Hours)'!B365</f>
        <v>12.875</v>
      </c>
      <c r="D14" s="376">
        <f>'Rainfall 1 Days (24 Hours)'!C365</f>
        <v>19.131250000000001</v>
      </c>
      <c r="E14" s="376">
        <f>'Rainfall 1 Days (24 Hours)'!D365</f>
        <v>15.858333333333333</v>
      </c>
      <c r="F14" s="376">
        <f>'Rainfall 1 Days (24 Hours)'!E365</f>
        <v>19.315384615384612</v>
      </c>
      <c r="G14" s="376">
        <f>'Rainfall 1 Days (24 Hours)'!F365</f>
        <v>12.972727272727271</v>
      </c>
      <c r="H14" s="376">
        <f>'Rainfall 1 Days (24 Hours)'!G365</f>
        <v>27.82</v>
      </c>
      <c r="I14" s="376">
        <f>'Rainfall 1 Days (24 Hours)'!H365</f>
        <v>25.02</v>
      </c>
      <c r="J14" s="376">
        <f>'Rainfall 1 Days (24 Hours)'!I365</f>
        <v>15.799999999999999</v>
      </c>
      <c r="K14" s="376">
        <f>'Rainfall 1 Days (24 Hours)'!J365</f>
        <v>14.62857142857143</v>
      </c>
      <c r="L14" s="376">
        <f>'Rainfall 1 Days (24 Hours)'!K365</f>
        <v>18.469230769230769</v>
      </c>
      <c r="M14" s="376">
        <f>'Rainfall 1 Days (24 Hours)'!L365</f>
        <v>13.544444444444444</v>
      </c>
      <c r="N14" s="376">
        <f>'Rainfall 1 Days (24 Hours)'!M365</f>
        <v>27.216666666666669</v>
      </c>
      <c r="O14" s="780">
        <f t="shared" si="1"/>
        <v>27.82</v>
      </c>
      <c r="R14" s="381">
        <v>2022</v>
      </c>
      <c r="S14" s="376">
        <f>'Rainfall 1 Days (24 Hours)'!B362</f>
        <v>48</v>
      </c>
      <c r="T14" s="376">
        <f>'Rainfall 1 Days (24 Hours)'!C362</f>
        <v>45.5</v>
      </c>
      <c r="U14" s="376">
        <f>'Rainfall 1 Days (24 Hours)'!D362</f>
        <v>30.1</v>
      </c>
      <c r="V14" s="376">
        <f>'Rainfall 1 Days (24 Hours)'!E362</f>
        <v>51.8</v>
      </c>
      <c r="W14" s="376">
        <f>'Rainfall 1 Days (24 Hours)'!F362</f>
        <v>31.2</v>
      </c>
      <c r="X14" s="376">
        <f>'Rainfall 1 Days (24 Hours)'!G362</f>
        <v>68</v>
      </c>
      <c r="Y14" s="376">
        <f>'Rainfall 1 Days (24 Hours)'!H362</f>
        <v>48.4</v>
      </c>
      <c r="Z14" s="376">
        <f>'Rainfall 1 Days (24 Hours)'!I362</f>
        <v>35.799999999999997</v>
      </c>
      <c r="AA14" s="376">
        <f>'Rainfall 1 Days (24 Hours)'!J362</f>
        <v>21.5</v>
      </c>
      <c r="AB14" s="376">
        <f>'Rainfall 1 Days (24 Hours)'!K362</f>
        <v>75.400000000000006</v>
      </c>
      <c r="AC14" s="376">
        <f>'Rainfall 1 Days (24 Hours)'!L362</f>
        <v>21.6</v>
      </c>
      <c r="AD14" s="376">
        <f>'Rainfall 1 Days (24 Hours)'!M362</f>
        <v>134</v>
      </c>
      <c r="AE14" s="780">
        <f t="shared" si="2"/>
        <v>134</v>
      </c>
      <c r="AF14" s="780">
        <f t="shared" si="0"/>
        <v>50.941666666666663</v>
      </c>
    </row>
    <row r="15" spans="2:32" s="375" customFormat="1" ht="30" customHeight="1" x14ac:dyDescent="0.2">
      <c r="B15" s="381">
        <v>2023</v>
      </c>
      <c r="C15" s="376">
        <f>'Rainfall 1 Days (24 Hours)'!B406</f>
        <v>24.223076923076924</v>
      </c>
      <c r="D15" s="376">
        <f>'Rainfall 1 Days (24 Hours)'!C406</f>
        <v>23.975000000000001</v>
      </c>
      <c r="E15" s="376">
        <f>'Rainfall 1 Days (24 Hours)'!D406</f>
        <v>21.066666666666666</v>
      </c>
      <c r="F15" s="376">
        <f>'Rainfall 1 Days (24 Hours)'!E406</f>
        <v>12.775</v>
      </c>
      <c r="G15" s="376">
        <f>'Rainfall 1 Days (24 Hours)'!F406</f>
        <v>16.533333333333335</v>
      </c>
      <c r="H15" s="376">
        <f>'Rainfall 1 Days (24 Hours)'!G406</f>
        <v>18.574999999999999</v>
      </c>
      <c r="I15" s="376">
        <f>'Rainfall 1 Days (24 Hours)'!H406</f>
        <v>53.849999999999994</v>
      </c>
      <c r="J15" s="376">
        <f>'Rainfall 1 Days (24 Hours)'!I406</f>
        <v>14.399999999999999</v>
      </c>
      <c r="K15" s="376">
        <f>'Rainfall 1 Days (24 Hours)'!J406</f>
        <v>5.25</v>
      </c>
      <c r="L15" s="376">
        <v>0</v>
      </c>
      <c r="M15" s="376">
        <f>'Rainfall 1 Days (24 Hours)'!L406</f>
        <v>15.952941176470588</v>
      </c>
      <c r="N15" s="376">
        <f>'Rainfall 1 Days (24 Hours)'!M406</f>
        <v>31.114285714285717</v>
      </c>
      <c r="O15" s="780">
        <f t="shared" si="1"/>
        <v>53.849999999999994</v>
      </c>
      <c r="R15" s="381">
        <v>2023</v>
      </c>
      <c r="S15" s="376">
        <f>'Rainfall 1 Days (24 Hours)'!B403</f>
        <v>141</v>
      </c>
      <c r="T15" s="376">
        <f>'Rainfall 1 Days (24 Hours)'!C403</f>
        <v>125.8</v>
      </c>
      <c r="U15" s="376">
        <f>'Rainfall 1 Days (24 Hours)'!D403</f>
        <v>54.6</v>
      </c>
      <c r="V15" s="376">
        <f>'Rainfall 1 Days (24 Hours)'!E403</f>
        <v>26.9</v>
      </c>
      <c r="W15" s="376">
        <f>'Rainfall 1 Days (24 Hours)'!F403</f>
        <v>41.8</v>
      </c>
      <c r="X15" s="376">
        <f>'Rainfall 1 Days (24 Hours)'!G403</f>
        <v>46</v>
      </c>
      <c r="Y15" s="376">
        <f>'Rainfall 1 Days (24 Hours)'!H403</f>
        <v>57.8</v>
      </c>
      <c r="Z15" s="376">
        <f>'Rainfall 1 Days (24 Hours)'!I403</f>
        <v>14.2</v>
      </c>
      <c r="AA15" s="376">
        <f>'Rainfall 1 Days (24 Hours)'!J403</f>
        <v>6</v>
      </c>
      <c r="AB15" s="376">
        <f>'Rainfall 1 Days (24 Hours)'!K403</f>
        <v>11.8</v>
      </c>
      <c r="AC15" s="376">
        <f>'Rainfall 1 Days (24 Hours)'!L403</f>
        <v>53.8</v>
      </c>
      <c r="AD15" s="376">
        <f>'Rainfall 1 Days (24 Hours)'!M403</f>
        <v>94.5</v>
      </c>
      <c r="AE15" s="780">
        <f t="shared" si="2"/>
        <v>141</v>
      </c>
      <c r="AF15" s="780">
        <f t="shared" si="0"/>
        <v>56.18333333333333</v>
      </c>
    </row>
    <row r="16" spans="2:32" s="375" customFormat="1" ht="30" customHeight="1" x14ac:dyDescent="0.2">
      <c r="B16" s="381">
        <v>2024</v>
      </c>
      <c r="C16" s="376">
        <f>'Rainfall 1 Days (24 Hours)'!B447</f>
        <v>19.943750000000001</v>
      </c>
      <c r="D16" s="376">
        <f>'Rainfall 1 Days (24 Hours)'!C447</f>
        <v>20.241666666666671</v>
      </c>
      <c r="E16" s="376">
        <f>'Rainfall 1 Days (24 Hours)'!D447</f>
        <v>39.630769230769225</v>
      </c>
      <c r="F16" s="376">
        <f>'Rainfall 1 Days (24 Hours)'!E447</f>
        <v>18.174999999999997</v>
      </c>
      <c r="G16" s="376">
        <f>'Rainfall 1 Days (24 Hours)'!F447</f>
        <v>8.1666666666666661</v>
      </c>
      <c r="H16" s="376">
        <f>'Rainfall 1 Days (24 Hours)'!G447</f>
        <v>28.428571428571427</v>
      </c>
      <c r="I16" s="376">
        <f>'Rainfall 1 Days (24 Hours)'!H447</f>
        <v>18.266666666666669</v>
      </c>
      <c r="J16" s="376">
        <f>'Rainfall 1 Days (24 Hours)'!I447</f>
        <v>28.400000000000002</v>
      </c>
      <c r="K16" s="376">
        <f>'Rainfall 1 Days (24 Hours)'!J447</f>
        <v>12.933333333333335</v>
      </c>
      <c r="L16" s="376">
        <f>'Rainfall 1 Days (24 Hours)'!K447</f>
        <v>22.457142857142856</v>
      </c>
      <c r="M16" s="376">
        <f>'Rainfall 1 Days (24 Hours)'!L447</f>
        <v>28.391666666666669</v>
      </c>
      <c r="N16" s="376">
        <f>'Rainfall 1 Days (24 Hours)'!M447</f>
        <v>14.579999999999998</v>
      </c>
      <c r="O16" s="780">
        <f t="shared" si="1"/>
        <v>39.630769230769225</v>
      </c>
      <c r="R16" s="381">
        <v>2024</v>
      </c>
      <c r="S16" s="376">
        <f>'Rainfall 1 Days (24 Hours)'!B444</f>
        <v>55.8</v>
      </c>
      <c r="T16" s="376">
        <f>'Rainfall 1 Days (24 Hours)'!C444</f>
        <v>67.5</v>
      </c>
      <c r="U16" s="376">
        <f>'Rainfall 1 Days (24 Hours)'!D444</f>
        <v>171.6</v>
      </c>
      <c r="V16" s="376">
        <f>'Rainfall 1 Days (24 Hours)'!E444</f>
        <v>62</v>
      </c>
      <c r="W16" s="376">
        <f>'Rainfall 1 Days (24 Hours)'!F444</f>
        <v>11.6</v>
      </c>
      <c r="X16" s="376">
        <f>'Rainfall 1 Days (24 Hours)'!G444</f>
        <v>104.4</v>
      </c>
      <c r="Y16" s="376">
        <f>'Rainfall 1 Days (24 Hours)'!H444</f>
        <v>46.2</v>
      </c>
      <c r="Z16" s="376">
        <f>'Rainfall 1 Days (24 Hours)'!I444</f>
        <v>50.4</v>
      </c>
      <c r="AA16" s="376">
        <f>'Rainfall 1 Days (24 Hours)'!J444</f>
        <v>30.2</v>
      </c>
      <c r="AB16" s="376">
        <f>'Rainfall 1 Days (24 Hours)'!K444</f>
        <v>76</v>
      </c>
      <c r="AC16" s="376">
        <f>'Rainfall 1 Days (24 Hours)'!L444</f>
        <v>62</v>
      </c>
      <c r="AD16" s="376">
        <f>'Rainfall 1 Days (24 Hours)'!M444</f>
        <v>63</v>
      </c>
      <c r="AE16" s="780">
        <f t="shared" si="2"/>
        <v>171.6</v>
      </c>
      <c r="AF16" s="780">
        <f t="shared" si="0"/>
        <v>66.725000000000009</v>
      </c>
    </row>
    <row r="17" spans="2:32" s="375" customFormat="1" ht="12.6" customHeight="1" thickBot="1" x14ac:dyDescent="0.3">
      <c r="B17" s="822"/>
      <c r="C17" s="823"/>
      <c r="D17" s="823"/>
      <c r="E17" s="823"/>
      <c r="F17" s="823"/>
      <c r="G17" s="823"/>
      <c r="H17" s="823"/>
      <c r="I17" s="823"/>
      <c r="J17" s="823"/>
      <c r="K17" s="823"/>
      <c r="L17" s="823"/>
      <c r="M17" s="823"/>
      <c r="N17" s="823"/>
      <c r="R17" s="822"/>
      <c r="S17" s="823"/>
      <c r="T17" s="823"/>
      <c r="U17" s="823"/>
      <c r="V17" s="823"/>
      <c r="W17" s="823"/>
      <c r="X17" s="823"/>
      <c r="Y17" s="823"/>
      <c r="Z17" s="823"/>
      <c r="AA17" s="823"/>
      <c r="AB17" s="823"/>
      <c r="AC17" s="823"/>
      <c r="AD17" s="823"/>
    </row>
    <row r="18" spans="2:32" s="375" customFormat="1" ht="20.399999999999999" customHeight="1" thickBot="1" x14ac:dyDescent="0.25">
      <c r="B18" s="824" t="s">
        <v>4801</v>
      </c>
      <c r="C18" s="825"/>
      <c r="D18" s="825"/>
      <c r="E18" s="825"/>
      <c r="F18" s="825"/>
      <c r="G18" s="825"/>
      <c r="H18" s="825"/>
      <c r="I18" s="825"/>
      <c r="J18" s="825"/>
      <c r="K18" s="825"/>
      <c r="L18" s="825"/>
      <c r="M18" s="825"/>
      <c r="N18" s="826"/>
      <c r="O18" s="780" t="e">
        <f>AVERAGE(O7:O16)</f>
        <v>#DIV/0!</v>
      </c>
      <c r="R18" s="824" t="s">
        <v>4801</v>
      </c>
      <c r="S18" s="825"/>
      <c r="T18" s="825"/>
      <c r="U18" s="825"/>
      <c r="V18" s="825"/>
      <c r="W18" s="825"/>
      <c r="X18" s="825"/>
      <c r="Y18" s="825"/>
      <c r="Z18" s="825"/>
      <c r="AA18" s="825"/>
      <c r="AB18" s="825"/>
      <c r="AC18" s="825"/>
      <c r="AD18" s="826"/>
      <c r="AE18" s="780">
        <f>AVERAGE(AE7:AE16)</f>
        <v>123.13</v>
      </c>
      <c r="AF18" s="780">
        <f>AVERAGE(AF7:AF16)</f>
        <v>50.586666666666666</v>
      </c>
    </row>
    <row r="19" spans="2:32" ht="12.75" customHeight="1" x14ac:dyDescent="0.25"/>
    <row r="20" spans="2:32" ht="12.75" customHeight="1" x14ac:dyDescent="0.25"/>
    <row r="21" spans="2:32" ht="12.75" customHeight="1" x14ac:dyDescent="0.25">
      <c r="B21" s="377"/>
      <c r="C21" s="378"/>
    </row>
    <row r="22" spans="2:32" ht="12.75" customHeight="1" x14ac:dyDescent="0.25">
      <c r="B22" s="379"/>
      <c r="C22" s="378"/>
    </row>
    <row r="23" spans="2:32" ht="12.75" customHeight="1" x14ac:dyDescent="0.25"/>
    <row r="24" spans="2:32" ht="12.75" customHeight="1" x14ac:dyDescent="0.25"/>
    <row r="25" spans="2:32" ht="12.75" customHeight="1" x14ac:dyDescent="0.25"/>
    <row r="26" spans="2:32" ht="12.75" customHeight="1" x14ac:dyDescent="0.25"/>
    <row r="27" spans="2:32" ht="12.75" customHeight="1" x14ac:dyDescent="0.25"/>
    <row r="28" spans="2:32" ht="12.75" customHeight="1" x14ac:dyDescent="0.25"/>
    <row r="29" spans="2:32" ht="12.75" customHeight="1" x14ac:dyDescent="0.25"/>
    <row r="30" spans="2:32" ht="12.75" customHeight="1" x14ac:dyDescent="0.25"/>
    <row r="31" spans="2:32" ht="12.75" customHeight="1" x14ac:dyDescent="0.25"/>
  </sheetData>
  <mergeCells count="10">
    <mergeCell ref="O4:O5"/>
    <mergeCell ref="B18:N18"/>
    <mergeCell ref="B2:N2"/>
    <mergeCell ref="B17:N17"/>
    <mergeCell ref="B4:B5"/>
    <mergeCell ref="AE4:AE5"/>
    <mergeCell ref="R17:AD17"/>
    <mergeCell ref="R18:AD18"/>
    <mergeCell ref="AF4:AF5"/>
    <mergeCell ref="R4:R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4"/>
  </sheetPr>
  <dimension ref="B2:W26"/>
  <sheetViews>
    <sheetView zoomScale="85" zoomScaleNormal="85" workbookViewId="0">
      <selection activeCell="A5" sqref="A5:XFD5"/>
    </sheetView>
  </sheetViews>
  <sheetFormatPr defaultColWidth="9.109375" defaultRowHeight="14.4" x14ac:dyDescent="0.3"/>
  <cols>
    <col min="1" max="1" width="4" style="1" customWidth="1"/>
    <col min="2" max="14" width="9.109375" style="1"/>
    <col min="15" max="15" width="13.88671875" style="1" bestFit="1" customWidth="1"/>
    <col min="16" max="16" width="4" style="1" customWidth="1"/>
    <col min="17" max="18" width="9.109375" style="1"/>
    <col min="19" max="19" width="11.88671875" style="1" customWidth="1"/>
    <col min="20" max="20" width="9.109375" style="1"/>
    <col min="21" max="21" width="3.5546875" style="1" bestFit="1" customWidth="1"/>
    <col min="22" max="22" width="9.109375" style="1"/>
    <col min="23" max="23" width="14.88671875" style="1" bestFit="1" customWidth="1"/>
    <col min="24" max="16384" width="9.109375" style="1"/>
  </cols>
  <sheetData>
    <row r="2" spans="2:23" ht="15" thickBot="1" x14ac:dyDescent="0.35">
      <c r="B2" s="828" t="s">
        <v>4812</v>
      </c>
      <c r="C2" s="828"/>
      <c r="D2" s="828"/>
      <c r="E2" s="828"/>
      <c r="F2" s="828"/>
      <c r="G2" s="828"/>
      <c r="H2" s="828"/>
      <c r="I2" s="828"/>
      <c r="J2" s="828"/>
      <c r="K2" s="828"/>
      <c r="L2" s="828"/>
      <c r="M2" s="828"/>
      <c r="N2" s="828"/>
      <c r="O2" s="828"/>
      <c r="P2" s="86"/>
      <c r="Q2" s="86"/>
      <c r="R2" s="86"/>
      <c r="S2" s="86"/>
    </row>
    <row r="3" spans="2:23" s="5" customFormat="1" ht="30" thickTop="1" thickBot="1" x14ac:dyDescent="0.35">
      <c r="B3" s="515" t="s">
        <v>4436</v>
      </c>
      <c r="C3" s="516" t="s">
        <v>155</v>
      </c>
      <c r="D3" s="516" t="s">
        <v>156</v>
      </c>
      <c r="E3" s="516" t="s">
        <v>157</v>
      </c>
      <c r="F3" s="516" t="s">
        <v>158</v>
      </c>
      <c r="G3" s="516" t="s">
        <v>3284</v>
      </c>
      <c r="H3" s="516" t="s">
        <v>159</v>
      </c>
      <c r="I3" s="516" t="s">
        <v>160</v>
      </c>
      <c r="J3" s="516" t="s">
        <v>4491</v>
      </c>
      <c r="K3" s="516" t="s">
        <v>162</v>
      </c>
      <c r="L3" s="516" t="s">
        <v>4489</v>
      </c>
      <c r="M3" s="516" t="s">
        <v>168</v>
      </c>
      <c r="N3" s="517" t="s">
        <v>4490</v>
      </c>
      <c r="O3" s="518" t="s">
        <v>4492</v>
      </c>
      <c r="P3" s="120"/>
      <c r="Q3" s="382" t="s">
        <v>4</v>
      </c>
      <c r="R3" s="383" t="s">
        <v>5</v>
      </c>
      <c r="S3" s="384" t="s">
        <v>4811</v>
      </c>
      <c r="U3" s="6" t="s">
        <v>4</v>
      </c>
      <c r="V3" s="7" t="s">
        <v>5</v>
      </c>
      <c r="W3" s="8" t="s">
        <v>181</v>
      </c>
    </row>
    <row r="4" spans="2:23" s="5" customFormat="1" ht="15" thickTop="1" x14ac:dyDescent="0.3">
      <c r="B4" s="528">
        <v>2014</v>
      </c>
      <c r="C4" s="514">
        <f>'Rainfall - Summary - Bakan'!S6</f>
        <v>120.5</v>
      </c>
      <c r="D4" s="514">
        <f>'Rainfall - Summary - Bakan'!T6</f>
        <v>87.7</v>
      </c>
      <c r="E4" s="514">
        <f>'Rainfall - Summary - Bakan'!U6</f>
        <v>33.4</v>
      </c>
      <c r="F4" s="514">
        <f>'Rainfall - Summary - Bakan'!V6</f>
        <v>18</v>
      </c>
      <c r="G4" s="514">
        <f>'Rainfall - Summary - Bakan'!W6</f>
        <v>37</v>
      </c>
      <c r="H4" s="514">
        <f>'Rainfall - Summary - Bakan'!X6</f>
        <v>22.5</v>
      </c>
      <c r="I4" s="514">
        <f>'Rainfall - Summary - Bakan'!Y6</f>
        <v>46</v>
      </c>
      <c r="J4" s="514">
        <f>'Rainfall - Summary - Bakan'!Z6</f>
        <v>26.5</v>
      </c>
      <c r="K4" s="514">
        <f>'Rainfall - Summary - Bakan'!AA6</f>
        <v>1.5</v>
      </c>
      <c r="L4" s="514">
        <f>'Rainfall - Summary - Bakan'!AB6</f>
        <v>7</v>
      </c>
      <c r="M4" s="514">
        <f>'Rainfall - Summary - Bakan'!AC6</f>
        <v>34.700000000000003</v>
      </c>
      <c r="N4" s="514">
        <f>'Rainfall - Summary - Bakan'!AD6</f>
        <v>57</v>
      </c>
      <c r="O4" s="528">
        <f>MAX(C4:N4)</f>
        <v>120.5</v>
      </c>
      <c r="P4" s="120"/>
      <c r="Q4" s="36">
        <v>1</v>
      </c>
      <c r="R4" s="35">
        <f>B4</f>
        <v>2014</v>
      </c>
      <c r="S4" s="200">
        <f>O4</f>
        <v>120.5</v>
      </c>
      <c r="U4" s="36">
        <v>1</v>
      </c>
      <c r="V4" s="35">
        <f t="shared" ref="V4" si="0">R4</f>
        <v>2014</v>
      </c>
      <c r="W4" s="197">
        <f>ROUND(S4,0)</f>
        <v>121</v>
      </c>
    </row>
    <row r="5" spans="2:23" x14ac:dyDescent="0.3">
      <c r="B5" s="528">
        <v>2015</v>
      </c>
      <c r="C5" s="514">
        <f>'Rainfall - Summary - Bakan'!S7</f>
        <v>42.9</v>
      </c>
      <c r="D5" s="514">
        <f>'Rainfall - Summary - Bakan'!T7</f>
        <v>119.4</v>
      </c>
      <c r="E5" s="514">
        <f>'Rainfall - Summary - Bakan'!U7</f>
        <v>36.799999999999997</v>
      </c>
      <c r="F5" s="514">
        <f>'Rainfall - Summary - Bakan'!V7</f>
        <v>49.5</v>
      </c>
      <c r="G5" s="514">
        <f>'Rainfall - Summary - Bakan'!W7</f>
        <v>38.5</v>
      </c>
      <c r="H5" s="514">
        <f>'Rainfall - Summary - Bakan'!X7</f>
        <v>54</v>
      </c>
      <c r="I5" s="514">
        <f>'Rainfall - Summary - Bakan'!Y7</f>
        <v>1.7</v>
      </c>
      <c r="J5" s="514">
        <f>'Rainfall - Summary - Bakan'!Z7</f>
        <v>11.9</v>
      </c>
      <c r="K5" s="514">
        <f>'Rainfall - Summary - Bakan'!AA7</f>
        <v>0</v>
      </c>
      <c r="L5" s="514">
        <f>'Rainfall - Summary - Bakan'!AB7</f>
        <v>0.5</v>
      </c>
      <c r="M5" s="514">
        <f>'Rainfall - Summary - Bakan'!AC7</f>
        <v>32.5</v>
      </c>
      <c r="N5" s="514">
        <f>'Rainfall - Summary - Bakan'!AD7</f>
        <v>53</v>
      </c>
      <c r="O5" s="528">
        <f>MAX(C5:N5)</f>
        <v>119.4</v>
      </c>
      <c r="Q5" s="40">
        <v>2</v>
      </c>
      <c r="R5" s="35">
        <f>B5</f>
        <v>2015</v>
      </c>
      <c r="S5" s="200">
        <f>O5</f>
        <v>119.4</v>
      </c>
      <c r="U5" s="36">
        <v>2</v>
      </c>
      <c r="V5" s="35">
        <f t="shared" ref="V5:V14" si="1">R5</f>
        <v>2015</v>
      </c>
      <c r="W5" s="197">
        <f>ROUND(S5,0)</f>
        <v>119</v>
      </c>
    </row>
    <row r="6" spans="2:23" x14ac:dyDescent="0.3">
      <c r="B6" s="528">
        <v>2016</v>
      </c>
      <c r="C6" s="514">
        <f>'Rainfall - Summary - Bakan'!S8</f>
        <v>56</v>
      </c>
      <c r="D6" s="514">
        <f>'Rainfall - Summary - Bakan'!T8</f>
        <v>70.099999999999994</v>
      </c>
      <c r="E6" s="514">
        <f>'Rainfall - Summary - Bakan'!U8</f>
        <v>35.299999999999997</v>
      </c>
      <c r="F6" s="514">
        <f>'Rainfall - Summary - Bakan'!V8</f>
        <v>44.2</v>
      </c>
      <c r="G6" s="514">
        <f>'Rainfall - Summary - Bakan'!W8</f>
        <v>33</v>
      </c>
      <c r="H6" s="514">
        <f>'Rainfall - Summary - Bakan'!X8</f>
        <v>60.5</v>
      </c>
      <c r="I6" s="514">
        <f>'Rainfall - Summary - Bakan'!Y8</f>
        <v>66.5</v>
      </c>
      <c r="J6" s="514">
        <f>'Rainfall - Summary - Bakan'!Z8</f>
        <v>55</v>
      </c>
      <c r="K6" s="514">
        <f>'Rainfall - Summary - Bakan'!AA8</f>
        <v>74</v>
      </c>
      <c r="L6" s="514">
        <f>'Rainfall - Summary - Bakan'!AB8</f>
        <v>29.5</v>
      </c>
      <c r="M6" s="514">
        <f>'Rainfall - Summary - Bakan'!AC8</f>
        <v>32.200000000000003</v>
      </c>
      <c r="N6" s="514">
        <f>'Rainfall - Summary - Bakan'!AD8</f>
        <v>22</v>
      </c>
      <c r="O6" s="528">
        <f t="shared" ref="O6:O14" si="2">MAX(C6:N6)</f>
        <v>74</v>
      </c>
      <c r="Q6" s="40">
        <v>3</v>
      </c>
      <c r="R6" s="38">
        <f t="shared" ref="R6:R14" si="3">B6</f>
        <v>2016</v>
      </c>
      <c r="S6" s="200">
        <f t="shared" ref="S6:S14" si="4">O6</f>
        <v>74</v>
      </c>
      <c r="U6" s="36">
        <v>3</v>
      </c>
      <c r="V6" s="35">
        <f t="shared" si="1"/>
        <v>2016</v>
      </c>
      <c r="W6" s="197">
        <f t="shared" ref="W6:W14" si="5">ROUND(S6,0)</f>
        <v>74</v>
      </c>
    </row>
    <row r="7" spans="2:23" x14ac:dyDescent="0.3">
      <c r="B7" s="528">
        <v>2017</v>
      </c>
      <c r="C7" s="514">
        <f>'Rainfall - Summary - Bakan'!S9</f>
        <v>45</v>
      </c>
      <c r="D7" s="514">
        <f>'Rainfall - Summary - Bakan'!T9</f>
        <v>67</v>
      </c>
      <c r="E7" s="514">
        <f>'Rainfall - Summary - Bakan'!U9</f>
        <v>47</v>
      </c>
      <c r="F7" s="514">
        <f>'Rainfall - Summary - Bakan'!V9</f>
        <v>86</v>
      </c>
      <c r="G7" s="514">
        <f>'Rainfall - Summary - Bakan'!W9</f>
        <v>40</v>
      </c>
      <c r="H7" s="514">
        <f>'Rainfall - Summary - Bakan'!X9</f>
        <v>34.4</v>
      </c>
      <c r="I7" s="514">
        <f>'Rainfall - Summary - Bakan'!Y9</f>
        <v>10.199999999999999</v>
      </c>
      <c r="J7" s="514">
        <f>'Rainfall - Summary - Bakan'!Z9</f>
        <v>1.5</v>
      </c>
      <c r="K7" s="514">
        <f>'Rainfall - Summary - Bakan'!AA9</f>
        <v>21</v>
      </c>
      <c r="L7" s="514">
        <f>'Rainfall - Summary - Bakan'!AB9</f>
        <v>99.5</v>
      </c>
      <c r="M7" s="514">
        <f>'Rainfall - Summary - Bakan'!AC9</f>
        <v>34.299999999999997</v>
      </c>
      <c r="N7" s="514">
        <f>'Rainfall - Summary - Bakan'!AD9</f>
        <v>54.7</v>
      </c>
      <c r="O7" s="528">
        <f t="shared" si="2"/>
        <v>99.5</v>
      </c>
      <c r="Q7" s="40">
        <v>4</v>
      </c>
      <c r="R7" s="38">
        <f t="shared" si="3"/>
        <v>2017</v>
      </c>
      <c r="S7" s="200">
        <f t="shared" si="4"/>
        <v>99.5</v>
      </c>
      <c r="U7" s="36">
        <v>4</v>
      </c>
      <c r="V7" s="35">
        <f t="shared" si="1"/>
        <v>2017</v>
      </c>
      <c r="W7" s="197">
        <f t="shared" si="5"/>
        <v>100</v>
      </c>
    </row>
    <row r="8" spans="2:23" x14ac:dyDescent="0.3">
      <c r="B8" s="528">
        <v>2018</v>
      </c>
      <c r="C8" s="514">
        <f>'Rainfall - Summary - Bakan'!S10</f>
        <v>36.799999999999997</v>
      </c>
      <c r="D8" s="514">
        <f>'Rainfall - Summary - Bakan'!T10</f>
        <v>138.5</v>
      </c>
      <c r="E8" s="514">
        <f>'Rainfall - Summary - Bakan'!U10</f>
        <v>72</v>
      </c>
      <c r="F8" s="514">
        <f>'Rainfall - Summary - Bakan'!V10</f>
        <v>43.5</v>
      </c>
      <c r="G8" s="514">
        <f>'Rainfall - Summary - Bakan'!W10</f>
        <v>10</v>
      </c>
      <c r="H8" s="514">
        <f>'Rainfall - Summary - Bakan'!X10</f>
        <v>50</v>
      </c>
      <c r="I8" s="514">
        <f>'Rainfall - Summary - Bakan'!Y10</f>
        <v>0.4</v>
      </c>
      <c r="J8" s="514">
        <f>'Rainfall - Summary - Bakan'!Z10</f>
        <v>0</v>
      </c>
      <c r="K8" s="514">
        <f>'Rainfall - Summary - Bakan'!AA10</f>
        <v>3.3</v>
      </c>
      <c r="L8" s="514">
        <f>'Rainfall - Summary - Bakan'!AB10</f>
        <v>42</v>
      </c>
      <c r="M8" s="514">
        <f>'Rainfall - Summary - Bakan'!AC10</f>
        <v>37.5</v>
      </c>
      <c r="N8" s="514">
        <f>'Rainfall - Summary - Bakan'!AD10</f>
        <v>105.7</v>
      </c>
      <c r="O8" s="528">
        <f t="shared" si="2"/>
        <v>138.5</v>
      </c>
      <c r="Q8" s="40">
        <v>5</v>
      </c>
      <c r="R8" s="38">
        <f t="shared" si="3"/>
        <v>2018</v>
      </c>
      <c r="S8" s="200">
        <f t="shared" si="4"/>
        <v>138.5</v>
      </c>
      <c r="U8" s="36">
        <v>5</v>
      </c>
      <c r="V8" s="35">
        <f t="shared" si="1"/>
        <v>2018</v>
      </c>
      <c r="W8" s="197">
        <f t="shared" si="5"/>
        <v>139</v>
      </c>
    </row>
    <row r="9" spans="2:23" x14ac:dyDescent="0.3">
      <c r="B9" s="528">
        <v>2019</v>
      </c>
      <c r="C9" s="514">
        <f>'Rainfall - Summary - Bakan'!S11</f>
        <v>57.4</v>
      </c>
      <c r="D9" s="514">
        <f>'Rainfall - Summary - Bakan'!T11</f>
        <v>92.7</v>
      </c>
      <c r="E9" s="514">
        <f>'Rainfall - Summary - Bakan'!U11</f>
        <v>35.5</v>
      </c>
      <c r="F9" s="514">
        <f>'Rainfall - Summary - Bakan'!V11</f>
        <v>47.7</v>
      </c>
      <c r="G9" s="514">
        <f>'Rainfall - Summary - Bakan'!W11</f>
        <v>37</v>
      </c>
      <c r="H9" s="514">
        <f>'Rainfall - Summary - Bakan'!X11</f>
        <v>0</v>
      </c>
      <c r="I9" s="514">
        <f>'Rainfall - Summary - Bakan'!Y11</f>
        <v>1.3</v>
      </c>
      <c r="J9" s="514">
        <f>'Rainfall - Summary - Bakan'!Z11</f>
        <v>5</v>
      </c>
      <c r="K9" s="514">
        <f>'Rainfall - Summary - Bakan'!AA11</f>
        <v>48</v>
      </c>
      <c r="L9" s="514">
        <f>'Rainfall - Summary - Bakan'!AB11</f>
        <v>0</v>
      </c>
      <c r="M9" s="514">
        <f>'Rainfall - Summary - Bakan'!AC11</f>
        <v>24</v>
      </c>
      <c r="N9" s="514">
        <f>'Rainfall - Summary - Bakan'!AD11</f>
        <v>86</v>
      </c>
      <c r="O9" s="528">
        <f t="shared" si="2"/>
        <v>92.7</v>
      </c>
      <c r="Q9" s="40">
        <v>6</v>
      </c>
      <c r="R9" s="38">
        <f t="shared" si="3"/>
        <v>2019</v>
      </c>
      <c r="S9" s="200">
        <f t="shared" si="4"/>
        <v>92.7</v>
      </c>
      <c r="U9" s="36">
        <v>6</v>
      </c>
      <c r="V9" s="35">
        <f t="shared" si="1"/>
        <v>2019</v>
      </c>
      <c r="W9" s="197">
        <f t="shared" si="5"/>
        <v>93</v>
      </c>
    </row>
    <row r="10" spans="2:23" x14ac:dyDescent="0.3">
      <c r="B10" s="528">
        <v>2020</v>
      </c>
      <c r="C10" s="514">
        <f>'Rainfall - Summary - Bakan'!S12</f>
        <v>105.6</v>
      </c>
      <c r="D10" s="514">
        <f>'Rainfall - Summary - Bakan'!T12</f>
        <v>83.8</v>
      </c>
      <c r="E10" s="514">
        <f>'Rainfall - Summary - Bakan'!U12</f>
        <v>28.8</v>
      </c>
      <c r="F10" s="514">
        <f>'Rainfall - Summary - Bakan'!V12</f>
        <v>40.5</v>
      </c>
      <c r="G10" s="514">
        <f>'Rainfall - Summary - Bakan'!W12</f>
        <v>38.5</v>
      </c>
      <c r="H10" s="514">
        <f>'Rainfall - Summary - Bakan'!X12</f>
        <v>17</v>
      </c>
      <c r="I10" s="514">
        <f>'Rainfall - Summary - Bakan'!Y12</f>
        <v>64.400000000000006</v>
      </c>
      <c r="J10" s="514">
        <f>'Rainfall - Summary - Bakan'!Z12</f>
        <v>44.5</v>
      </c>
      <c r="K10" s="514">
        <f>'Rainfall - Summary - Bakan'!AA12</f>
        <v>45</v>
      </c>
      <c r="L10" s="514">
        <f>'Rainfall - Summary - Bakan'!AB12</f>
        <v>18.3</v>
      </c>
      <c r="M10" s="514">
        <f>'Rainfall - Summary - Bakan'!AC12</f>
        <v>36.9</v>
      </c>
      <c r="N10" s="514">
        <f>'Rainfall - Summary - Bakan'!AD12</f>
        <v>87</v>
      </c>
      <c r="O10" s="528">
        <f t="shared" si="2"/>
        <v>105.6</v>
      </c>
      <c r="Q10" s="40">
        <v>7</v>
      </c>
      <c r="R10" s="38">
        <f t="shared" si="3"/>
        <v>2020</v>
      </c>
      <c r="S10" s="200">
        <f t="shared" si="4"/>
        <v>105.6</v>
      </c>
      <c r="U10" s="36">
        <v>7</v>
      </c>
      <c r="V10" s="35">
        <f t="shared" si="1"/>
        <v>2020</v>
      </c>
      <c r="W10" s="197">
        <f t="shared" si="5"/>
        <v>106</v>
      </c>
    </row>
    <row r="11" spans="2:23" x14ac:dyDescent="0.3">
      <c r="B11" s="528">
        <v>2021</v>
      </c>
      <c r="C11" s="514">
        <f>'Rainfall - Summary - Bakan'!S13</f>
        <v>88.3</v>
      </c>
      <c r="D11" s="514">
        <f>'Rainfall - Summary - Bakan'!T13</f>
        <v>155</v>
      </c>
      <c r="E11" s="514">
        <f>'Rainfall - Summary - Bakan'!U13</f>
        <v>25.9</v>
      </c>
      <c r="F11" s="514">
        <f>'Rainfall - Summary - Bakan'!V13</f>
        <v>79.400000000000006</v>
      </c>
      <c r="G11" s="514">
        <f>'Rainfall - Summary - Bakan'!W13</f>
        <v>47.2</v>
      </c>
      <c r="H11" s="514">
        <f>'Rainfall - Summary - Bakan'!X13</f>
        <v>45.4</v>
      </c>
      <c r="I11" s="514">
        <f>'Rainfall - Summary - Bakan'!Y13</f>
        <v>3.5</v>
      </c>
      <c r="J11" s="514">
        <f>'Rainfall - Summary - Bakan'!Z13</f>
        <v>90</v>
      </c>
      <c r="K11" s="514">
        <f>'Rainfall - Summary - Bakan'!AA13</f>
        <v>89.1</v>
      </c>
      <c r="L11" s="514">
        <f>'Rainfall - Summary - Bakan'!AB13</f>
        <v>52.4</v>
      </c>
      <c r="M11" s="514">
        <f>'Rainfall - Summary - Bakan'!AC13</f>
        <v>71.2</v>
      </c>
      <c r="N11" s="514">
        <f>'Rainfall - Summary - Bakan'!AD13</f>
        <v>92.6</v>
      </c>
      <c r="O11" s="528">
        <f t="shared" si="2"/>
        <v>155</v>
      </c>
      <c r="Q11" s="40">
        <v>8</v>
      </c>
      <c r="R11" s="38">
        <f t="shared" si="3"/>
        <v>2021</v>
      </c>
      <c r="S11" s="200">
        <f t="shared" si="4"/>
        <v>155</v>
      </c>
      <c r="U11" s="36">
        <v>8</v>
      </c>
      <c r="V11" s="35">
        <f t="shared" si="1"/>
        <v>2021</v>
      </c>
      <c r="W11" s="197">
        <f t="shared" si="5"/>
        <v>155</v>
      </c>
    </row>
    <row r="12" spans="2:23" x14ac:dyDescent="0.3">
      <c r="B12" s="528">
        <v>2022</v>
      </c>
      <c r="C12" s="514">
        <f>'Rainfall - Summary - Bakan'!S14</f>
        <v>48</v>
      </c>
      <c r="D12" s="514">
        <f>'Rainfall - Summary - Bakan'!T14</f>
        <v>45.5</v>
      </c>
      <c r="E12" s="514">
        <f>'Rainfall - Summary - Bakan'!U14</f>
        <v>30.1</v>
      </c>
      <c r="F12" s="514">
        <f>'Rainfall - Summary - Bakan'!V14</f>
        <v>51.8</v>
      </c>
      <c r="G12" s="514">
        <f>'Rainfall - Summary - Bakan'!W14</f>
        <v>31.2</v>
      </c>
      <c r="H12" s="514">
        <f>'Rainfall - Summary - Bakan'!X14</f>
        <v>68</v>
      </c>
      <c r="I12" s="514">
        <f>'Rainfall - Summary - Bakan'!Y14</f>
        <v>48.4</v>
      </c>
      <c r="J12" s="514">
        <f>'Rainfall - Summary - Bakan'!Z14</f>
        <v>35.799999999999997</v>
      </c>
      <c r="K12" s="514">
        <f>'Rainfall - Summary - Bakan'!AA14</f>
        <v>21.5</v>
      </c>
      <c r="L12" s="514">
        <f>'Rainfall - Summary - Bakan'!AB14</f>
        <v>75.400000000000006</v>
      </c>
      <c r="M12" s="514">
        <f>'Rainfall - Summary - Bakan'!AC14</f>
        <v>21.6</v>
      </c>
      <c r="N12" s="514">
        <f>'Rainfall - Summary - Bakan'!AD14</f>
        <v>134</v>
      </c>
      <c r="O12" s="528">
        <f t="shared" si="2"/>
        <v>134</v>
      </c>
      <c r="Q12" s="40">
        <v>9</v>
      </c>
      <c r="R12" s="38">
        <f t="shared" si="3"/>
        <v>2022</v>
      </c>
      <c r="S12" s="200">
        <f t="shared" si="4"/>
        <v>134</v>
      </c>
      <c r="U12" s="36">
        <v>9</v>
      </c>
      <c r="V12" s="35">
        <f t="shared" si="1"/>
        <v>2022</v>
      </c>
      <c r="W12" s="197">
        <f t="shared" si="5"/>
        <v>134</v>
      </c>
    </row>
    <row r="13" spans="2:23" x14ac:dyDescent="0.3">
      <c r="B13" s="528">
        <v>2023</v>
      </c>
      <c r="C13" s="514">
        <f>'Rainfall - Summary - Bakan'!S15</f>
        <v>141</v>
      </c>
      <c r="D13" s="514">
        <f>'Rainfall - Summary - Bakan'!T15</f>
        <v>125.8</v>
      </c>
      <c r="E13" s="514">
        <f>'Rainfall - Summary - Bakan'!U15</f>
        <v>54.6</v>
      </c>
      <c r="F13" s="514">
        <f>'Rainfall - Summary - Bakan'!V15</f>
        <v>26.9</v>
      </c>
      <c r="G13" s="514">
        <f>'Rainfall - Summary - Bakan'!W15</f>
        <v>41.8</v>
      </c>
      <c r="H13" s="514">
        <f>'Rainfall - Summary - Bakan'!X15</f>
        <v>46</v>
      </c>
      <c r="I13" s="514">
        <f>'Rainfall - Summary - Bakan'!Y15</f>
        <v>57.8</v>
      </c>
      <c r="J13" s="514">
        <f>'Rainfall - Summary - Bakan'!Z15</f>
        <v>14.2</v>
      </c>
      <c r="K13" s="514">
        <f>'Rainfall - Summary - Bakan'!AA15</f>
        <v>6</v>
      </c>
      <c r="L13" s="514">
        <f>'Rainfall - Summary - Bakan'!AB15</f>
        <v>11.8</v>
      </c>
      <c r="M13" s="514">
        <f>'Rainfall - Summary - Bakan'!AC15</f>
        <v>53.8</v>
      </c>
      <c r="N13" s="514">
        <f>'Rainfall - Summary - Bakan'!AD15</f>
        <v>94.5</v>
      </c>
      <c r="O13" s="528">
        <f t="shared" si="2"/>
        <v>141</v>
      </c>
      <c r="Q13" s="40">
        <v>10</v>
      </c>
      <c r="R13" s="38">
        <f t="shared" si="3"/>
        <v>2023</v>
      </c>
      <c r="S13" s="200">
        <f t="shared" si="4"/>
        <v>141</v>
      </c>
      <c r="U13" s="36">
        <v>10</v>
      </c>
      <c r="V13" s="35">
        <f t="shared" si="1"/>
        <v>2023</v>
      </c>
      <c r="W13" s="197">
        <f t="shared" si="5"/>
        <v>141</v>
      </c>
    </row>
    <row r="14" spans="2:23" ht="15" thickBot="1" x14ac:dyDescent="0.35">
      <c r="B14" s="528">
        <v>2024</v>
      </c>
      <c r="C14" s="514">
        <f>'Rainfall - Summary - Bakan'!S16</f>
        <v>55.8</v>
      </c>
      <c r="D14" s="514">
        <f>'Rainfall - Summary - Bakan'!T16</f>
        <v>67.5</v>
      </c>
      <c r="E14" s="514">
        <f>'Rainfall - Summary - Bakan'!U16</f>
        <v>171.6</v>
      </c>
      <c r="F14" s="514">
        <f>'Rainfall - Summary - Bakan'!V16</f>
        <v>62</v>
      </c>
      <c r="G14" s="514">
        <f>'Rainfall - Summary - Bakan'!W16</f>
        <v>11.6</v>
      </c>
      <c r="H14" s="514">
        <f>'Rainfall - Summary - Bakan'!X16</f>
        <v>104.4</v>
      </c>
      <c r="I14" s="514">
        <f>'Rainfall - Summary - Bakan'!Y16</f>
        <v>46.2</v>
      </c>
      <c r="J14" s="514">
        <f>'Rainfall - Summary - Bakan'!Z16</f>
        <v>50.4</v>
      </c>
      <c r="K14" s="514">
        <f>'Rainfall - Summary - Bakan'!AA16</f>
        <v>30.2</v>
      </c>
      <c r="L14" s="514">
        <f>'Rainfall - Summary - Bakan'!AB16</f>
        <v>76</v>
      </c>
      <c r="M14" s="514">
        <f>'Rainfall - Summary - Bakan'!AC16</f>
        <v>62</v>
      </c>
      <c r="N14" s="514">
        <f>'Rainfall - Summary - Bakan'!AD16</f>
        <v>63</v>
      </c>
      <c r="O14" s="528">
        <f t="shared" si="2"/>
        <v>171.6</v>
      </c>
      <c r="Q14" s="40">
        <v>11</v>
      </c>
      <c r="R14" s="38">
        <f t="shared" si="3"/>
        <v>2024</v>
      </c>
      <c r="S14" s="200">
        <f t="shared" si="4"/>
        <v>171.6</v>
      </c>
      <c r="U14" s="36">
        <v>11</v>
      </c>
      <c r="V14" s="35">
        <f t="shared" si="1"/>
        <v>2024</v>
      </c>
      <c r="W14" s="197">
        <f t="shared" si="5"/>
        <v>172</v>
      </c>
    </row>
    <row r="15" spans="2:23" ht="15.6" thickTop="1" thickBot="1" x14ac:dyDescent="0.35">
      <c r="B15" s="519" t="s">
        <v>1</v>
      </c>
      <c r="C15" s="520">
        <f>MIN(C5:C14)</f>
        <v>36.799999999999997</v>
      </c>
      <c r="D15" s="520">
        <f t="shared" ref="D15:N15" si="6">MIN(D5:D14)</f>
        <v>45.5</v>
      </c>
      <c r="E15" s="520">
        <f t="shared" si="6"/>
        <v>25.9</v>
      </c>
      <c r="F15" s="520">
        <f t="shared" si="6"/>
        <v>26.9</v>
      </c>
      <c r="G15" s="520">
        <f t="shared" si="6"/>
        <v>10</v>
      </c>
      <c r="H15" s="520">
        <f t="shared" si="6"/>
        <v>0</v>
      </c>
      <c r="I15" s="520">
        <f t="shared" si="6"/>
        <v>0.4</v>
      </c>
      <c r="J15" s="520">
        <f t="shared" si="6"/>
        <v>0</v>
      </c>
      <c r="K15" s="520">
        <f t="shared" si="6"/>
        <v>0</v>
      </c>
      <c r="L15" s="520">
        <f t="shared" si="6"/>
        <v>0</v>
      </c>
      <c r="M15" s="520">
        <f t="shared" si="6"/>
        <v>21.6</v>
      </c>
      <c r="N15" s="520">
        <f t="shared" si="6"/>
        <v>22</v>
      </c>
      <c r="O15" s="521">
        <f t="shared" ref="O15" si="7">MIN(O1:O13)</f>
        <v>74</v>
      </c>
      <c r="Q15" s="42"/>
      <c r="R15" s="43"/>
      <c r="S15" s="283"/>
      <c r="U15" s="42"/>
      <c r="V15" s="43"/>
      <c r="W15" s="199"/>
    </row>
    <row r="16" spans="2:23" x14ac:dyDescent="0.3">
      <c r="B16" s="522" t="s">
        <v>2</v>
      </c>
      <c r="C16" s="523">
        <f>MAX(C5:C14)</f>
        <v>141</v>
      </c>
      <c r="D16" s="523">
        <f t="shared" ref="D16:N16" si="8">MAX(D5:D14)</f>
        <v>155</v>
      </c>
      <c r="E16" s="523">
        <f t="shared" si="8"/>
        <v>171.6</v>
      </c>
      <c r="F16" s="523">
        <f t="shared" si="8"/>
        <v>86</v>
      </c>
      <c r="G16" s="523">
        <f t="shared" si="8"/>
        <v>47.2</v>
      </c>
      <c r="H16" s="523">
        <f t="shared" si="8"/>
        <v>104.4</v>
      </c>
      <c r="I16" s="523">
        <f t="shared" si="8"/>
        <v>66.5</v>
      </c>
      <c r="J16" s="523">
        <f t="shared" si="8"/>
        <v>90</v>
      </c>
      <c r="K16" s="523">
        <f t="shared" si="8"/>
        <v>89.1</v>
      </c>
      <c r="L16" s="523">
        <f t="shared" si="8"/>
        <v>99.5</v>
      </c>
      <c r="M16" s="523">
        <f t="shared" si="8"/>
        <v>71.2</v>
      </c>
      <c r="N16" s="523">
        <f t="shared" si="8"/>
        <v>134</v>
      </c>
      <c r="O16" s="524">
        <f t="shared" ref="O16" si="9">MAX(O1:O13)</f>
        <v>155</v>
      </c>
    </row>
    <row r="17" spans="2:19" ht="15" thickBot="1" x14ac:dyDescent="0.35">
      <c r="B17" s="525" t="s">
        <v>4493</v>
      </c>
      <c r="C17" s="526">
        <f>AVERAGE(C5:C14)</f>
        <v>67.679999999999993</v>
      </c>
      <c r="D17" s="526">
        <f t="shared" ref="D17:N17" si="10">AVERAGE(D5:D14)</f>
        <v>96.53</v>
      </c>
      <c r="E17" s="526">
        <f t="shared" si="10"/>
        <v>53.760000000000005</v>
      </c>
      <c r="F17" s="526">
        <f t="shared" si="10"/>
        <v>53.15</v>
      </c>
      <c r="G17" s="526">
        <f t="shared" si="10"/>
        <v>32.880000000000003</v>
      </c>
      <c r="H17" s="526">
        <f t="shared" si="10"/>
        <v>47.970000000000006</v>
      </c>
      <c r="I17" s="526">
        <f t="shared" si="10"/>
        <v>30.04</v>
      </c>
      <c r="J17" s="526">
        <f t="shared" si="10"/>
        <v>30.829999999999995</v>
      </c>
      <c r="K17" s="526">
        <f t="shared" si="10"/>
        <v>33.809999999999995</v>
      </c>
      <c r="L17" s="526">
        <f t="shared" si="10"/>
        <v>40.540000000000006</v>
      </c>
      <c r="M17" s="526">
        <f t="shared" si="10"/>
        <v>40.600000000000009</v>
      </c>
      <c r="N17" s="526">
        <f t="shared" si="10"/>
        <v>79.25</v>
      </c>
      <c r="O17" s="527">
        <f t="shared" ref="O17" si="11">AVERAGE(O1:O13)</f>
        <v>118.02000000000001</v>
      </c>
      <c r="P17" s="86"/>
      <c r="Q17" s="86"/>
      <c r="R17" s="86"/>
      <c r="S17" s="86"/>
    </row>
    <row r="18" spans="2:19" ht="15" customHeight="1" thickTop="1" x14ac:dyDescent="0.3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s="86"/>
      <c r="Q18" s="86"/>
      <c r="R18" s="86"/>
      <c r="S18" s="274"/>
    </row>
    <row r="19" spans="2:19" x14ac:dyDescent="0.3">
      <c r="P19" s="273"/>
      <c r="Q19" s="273"/>
      <c r="R19" s="273"/>
      <c r="S19" s="273"/>
    </row>
    <row r="20" spans="2:19" x14ac:dyDescent="0.3">
      <c r="P20" s="273"/>
      <c r="Q20" s="273"/>
      <c r="R20" s="273"/>
      <c r="S20" s="273"/>
    </row>
    <row r="21" spans="2:19" x14ac:dyDescent="0.3">
      <c r="P21" s="273"/>
      <c r="Q21" s="273"/>
      <c r="R21" s="273"/>
      <c r="S21" s="273"/>
    </row>
    <row r="22" spans="2:19" x14ac:dyDescent="0.3">
      <c r="P22" s="273"/>
      <c r="Q22" s="273"/>
      <c r="R22" s="273"/>
      <c r="S22" s="273"/>
    </row>
    <row r="23" spans="2:19" x14ac:dyDescent="0.3">
      <c r="P23" s="86"/>
      <c r="Q23" s="86"/>
      <c r="R23" s="86"/>
      <c r="S23" s="86"/>
    </row>
    <row r="24" spans="2:19" x14ac:dyDescent="0.3">
      <c r="P24" s="274"/>
      <c r="Q24" s="274"/>
      <c r="R24" s="274"/>
      <c r="S24" s="274"/>
    </row>
    <row r="25" spans="2:19" x14ac:dyDescent="0.3">
      <c r="P25" s="86"/>
      <c r="Q25" s="86"/>
      <c r="R25" s="86"/>
      <c r="S25" s="86"/>
    </row>
    <row r="26" spans="2:19" x14ac:dyDescent="0.3">
      <c r="P26" s="86"/>
      <c r="Q26" s="86"/>
      <c r="R26" s="86"/>
      <c r="S26" s="86"/>
    </row>
  </sheetData>
  <mergeCells count="1">
    <mergeCell ref="B2:O2"/>
  </mergeCells>
  <conditionalFormatting sqref="C4:N14">
    <cfRule type="cellIs" dxfId="0" priority="3" operator="equal">
      <formula>$A$1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2:M37"/>
  <sheetViews>
    <sheetView topLeftCell="D13" zoomScale="111" zoomScaleNormal="115" workbookViewId="0">
      <selection activeCell="D35" sqref="D35"/>
    </sheetView>
  </sheetViews>
  <sheetFormatPr defaultColWidth="8.88671875" defaultRowHeight="11.4" x14ac:dyDescent="0.2"/>
  <cols>
    <col min="1" max="1" width="4.33203125" style="355" customWidth="1"/>
    <col min="2" max="2" width="3.6640625" style="355" customWidth="1"/>
    <col min="3" max="3" width="15" style="355" bestFit="1" customWidth="1"/>
    <col min="4" max="4" width="16.109375" style="355" customWidth="1"/>
    <col min="5" max="5" width="15.44140625" style="355" bestFit="1" customWidth="1"/>
    <col min="6" max="6" width="18" style="355" customWidth="1"/>
    <col min="7" max="7" width="9.88671875" style="355" customWidth="1"/>
    <col min="8" max="8" width="8.88671875" style="355"/>
    <col min="9" max="9" width="11.6640625" style="355" bestFit="1" customWidth="1"/>
    <col min="10" max="10" width="15" style="355" bestFit="1" customWidth="1"/>
    <col min="11" max="11" width="8.88671875" style="355"/>
    <col min="12" max="12" width="9.109375" style="355" customWidth="1"/>
    <col min="13" max="16384" width="8.88671875" style="355"/>
  </cols>
  <sheetData>
    <row r="2" spans="1:10" ht="12" x14ac:dyDescent="0.25">
      <c r="B2" s="840" t="s">
        <v>15</v>
      </c>
      <c r="C2" s="840"/>
      <c r="D2" s="840"/>
      <c r="E2" s="840"/>
      <c r="F2" s="840"/>
      <c r="G2" s="840"/>
      <c r="H2" s="840"/>
      <c r="I2" s="840"/>
      <c r="J2" s="840"/>
    </row>
    <row r="3" spans="1:10" ht="13.2" x14ac:dyDescent="0.2">
      <c r="B3" s="841" t="s">
        <v>4</v>
      </c>
      <c r="C3" s="841" t="s">
        <v>5</v>
      </c>
      <c r="D3" s="841" t="s">
        <v>6</v>
      </c>
      <c r="E3" s="477" t="s">
        <v>4457</v>
      </c>
      <c r="F3" s="477" t="s">
        <v>4458</v>
      </c>
      <c r="G3" s="841" t="s">
        <v>147</v>
      </c>
      <c r="H3" s="842" t="s">
        <v>4459</v>
      </c>
      <c r="I3" s="842" t="s">
        <v>4460</v>
      </c>
      <c r="J3" s="842" t="s">
        <v>4461</v>
      </c>
    </row>
    <row r="4" spans="1:10" ht="18.75" customHeight="1" x14ac:dyDescent="0.2">
      <c r="B4" s="841"/>
      <c r="C4" s="841"/>
      <c r="D4" s="841"/>
      <c r="E4" s="477" t="s">
        <v>145</v>
      </c>
      <c r="F4" s="477" t="s">
        <v>146</v>
      </c>
      <c r="G4" s="841"/>
      <c r="H4" s="842"/>
      <c r="I4" s="842"/>
      <c r="J4" s="842"/>
    </row>
    <row r="5" spans="1:10" ht="13.95" customHeight="1" x14ac:dyDescent="0.2">
      <c r="B5" s="470">
        <v>1</v>
      </c>
      <c r="C5" s="470">
        <f>'Rainfall Max'!V4</f>
        <v>2014</v>
      </c>
      <c r="D5" s="470">
        <f>_xlfn.RANK.AVG(E5,$E$5:$E$15,0)</f>
        <v>6</v>
      </c>
      <c r="E5" s="488">
        <f>'Rainfall Max'!W4</f>
        <v>121</v>
      </c>
      <c r="F5" s="488">
        <f>VLOOKUP(B5,$D$5:$E$15,2,FALSE)</f>
        <v>172</v>
      </c>
      <c r="G5" s="488">
        <f>E5-$E$19</f>
        <v>-2.0909090909090935</v>
      </c>
      <c r="H5" s="488">
        <f t="shared" ref="H5:H15" si="0">G5^2</f>
        <v>4.371900826446292</v>
      </c>
      <c r="I5" s="488">
        <f t="shared" ref="I5:I15" si="1">G5^3</f>
        <v>-9.1412471825695309</v>
      </c>
      <c r="J5" s="488">
        <f t="shared" ref="J5:J15" si="2">G5^4</f>
        <v>19.113516836281772</v>
      </c>
    </row>
    <row r="6" spans="1:10" ht="13.95" customHeight="1" x14ac:dyDescent="0.2">
      <c r="B6" s="470">
        <v>2</v>
      </c>
      <c r="C6" s="470">
        <f>'Rainfall Max'!V5</f>
        <v>2015</v>
      </c>
      <c r="D6" s="470">
        <f t="shared" ref="D6:D15" si="3">_xlfn.RANK.AVG(E6,$E$5:$E$15,0)</f>
        <v>7</v>
      </c>
      <c r="E6" s="488">
        <f>'Rainfall Max'!W5</f>
        <v>119</v>
      </c>
      <c r="F6" s="488">
        <f t="shared" ref="F6:F15" si="4">VLOOKUP(B6,$D$5:$E$15,2,FALSE)</f>
        <v>155</v>
      </c>
      <c r="G6" s="488">
        <f t="shared" ref="G6:G15" si="5">E6-$E$19</f>
        <v>-4.0909090909090935</v>
      </c>
      <c r="H6" s="488">
        <f t="shared" si="0"/>
        <v>16.735537190082667</v>
      </c>
      <c r="I6" s="488">
        <f t="shared" si="1"/>
        <v>-68.463561232156408</v>
      </c>
      <c r="J6" s="488">
        <f t="shared" si="2"/>
        <v>280.07820504064006</v>
      </c>
    </row>
    <row r="7" spans="1:10" ht="13.95" customHeight="1" x14ac:dyDescent="0.2">
      <c r="B7" s="470">
        <v>3</v>
      </c>
      <c r="C7" s="470">
        <f>'Rainfall Max'!V6</f>
        <v>2016</v>
      </c>
      <c r="D7" s="470">
        <f t="shared" si="3"/>
        <v>11</v>
      </c>
      <c r="E7" s="488">
        <f>'Rainfall Max'!W6</f>
        <v>74</v>
      </c>
      <c r="F7" s="488">
        <f t="shared" si="4"/>
        <v>141</v>
      </c>
      <c r="G7" s="488">
        <f t="shared" si="5"/>
        <v>-49.090909090909093</v>
      </c>
      <c r="H7" s="488">
        <f t="shared" si="0"/>
        <v>2409.9173553719011</v>
      </c>
      <c r="I7" s="488">
        <f t="shared" si="1"/>
        <v>-118305.03380916605</v>
      </c>
      <c r="J7" s="488">
        <f t="shared" si="2"/>
        <v>5807701.6597226979</v>
      </c>
    </row>
    <row r="8" spans="1:10" x14ac:dyDescent="0.2">
      <c r="B8" s="470">
        <v>4</v>
      </c>
      <c r="C8" s="470">
        <f>'Rainfall Max'!V7</f>
        <v>2017</v>
      </c>
      <c r="D8" s="470">
        <f t="shared" si="3"/>
        <v>9</v>
      </c>
      <c r="E8" s="488">
        <f>'Rainfall Max'!W7</f>
        <v>100</v>
      </c>
      <c r="F8" s="488">
        <f t="shared" si="4"/>
        <v>139</v>
      </c>
      <c r="G8" s="488">
        <f t="shared" si="5"/>
        <v>-23.090909090909093</v>
      </c>
      <c r="H8" s="488">
        <f t="shared" si="0"/>
        <v>533.19008264462821</v>
      </c>
      <c r="I8" s="488">
        <f t="shared" si="1"/>
        <v>-12311.843726521416</v>
      </c>
      <c r="J8" s="488">
        <f t="shared" si="2"/>
        <v>284291.66423058545</v>
      </c>
    </row>
    <row r="9" spans="1:10" x14ac:dyDescent="0.2">
      <c r="B9" s="470">
        <v>5</v>
      </c>
      <c r="C9" s="470">
        <f>'Rainfall Max'!V8</f>
        <v>2018</v>
      </c>
      <c r="D9" s="470">
        <f t="shared" si="3"/>
        <v>4</v>
      </c>
      <c r="E9" s="488">
        <f>'Rainfall Max'!W8</f>
        <v>139</v>
      </c>
      <c r="F9" s="488">
        <f t="shared" si="4"/>
        <v>134</v>
      </c>
      <c r="G9" s="488">
        <f t="shared" si="5"/>
        <v>15.909090909090907</v>
      </c>
      <c r="H9" s="488">
        <f t="shared" si="0"/>
        <v>253.09917355371891</v>
      </c>
      <c r="I9" s="488">
        <f t="shared" si="1"/>
        <v>4026.5777610818914</v>
      </c>
      <c r="J9" s="488">
        <f t="shared" si="2"/>
        <v>64059.19165357553</v>
      </c>
    </row>
    <row r="10" spans="1:10" x14ac:dyDescent="0.2">
      <c r="B10" s="470">
        <v>6</v>
      </c>
      <c r="C10" s="470">
        <f>'Rainfall Max'!V9</f>
        <v>2019</v>
      </c>
      <c r="D10" s="470">
        <f t="shared" si="3"/>
        <v>10</v>
      </c>
      <c r="E10" s="488">
        <f>'Rainfall Max'!W9</f>
        <v>93</v>
      </c>
      <c r="F10" s="488">
        <f t="shared" si="4"/>
        <v>121</v>
      </c>
      <c r="G10" s="488">
        <f t="shared" si="5"/>
        <v>-30.090909090909093</v>
      </c>
      <c r="H10" s="488">
        <f t="shared" si="0"/>
        <v>905.46280991735557</v>
      </c>
      <c r="I10" s="488">
        <f t="shared" si="1"/>
        <v>-27246.199098422247</v>
      </c>
      <c r="J10" s="488">
        <f t="shared" si="2"/>
        <v>819862.90014343313</v>
      </c>
    </row>
    <row r="11" spans="1:10" x14ac:dyDescent="0.2">
      <c r="B11" s="470">
        <v>7</v>
      </c>
      <c r="C11" s="470">
        <f>'Rainfall Max'!V10</f>
        <v>2020</v>
      </c>
      <c r="D11" s="470">
        <f t="shared" si="3"/>
        <v>8</v>
      </c>
      <c r="E11" s="488">
        <f>'Rainfall Max'!W10</f>
        <v>106</v>
      </c>
      <c r="F11" s="488">
        <f t="shared" si="4"/>
        <v>119</v>
      </c>
      <c r="G11" s="488">
        <f t="shared" si="5"/>
        <v>-17.090909090909093</v>
      </c>
      <c r="H11" s="488">
        <f t="shared" si="0"/>
        <v>292.09917355371908</v>
      </c>
      <c r="I11" s="488">
        <f t="shared" si="1"/>
        <v>-4992.2404207362906</v>
      </c>
      <c r="J11" s="488">
        <f t="shared" si="2"/>
        <v>85321.927190765695</v>
      </c>
    </row>
    <row r="12" spans="1:10" x14ac:dyDescent="0.2">
      <c r="B12" s="470">
        <v>8</v>
      </c>
      <c r="C12" s="470">
        <f>'Rainfall Max'!V11</f>
        <v>2021</v>
      </c>
      <c r="D12" s="470">
        <f t="shared" si="3"/>
        <v>2</v>
      </c>
      <c r="E12" s="488">
        <f>'Rainfall Max'!W11</f>
        <v>155</v>
      </c>
      <c r="F12" s="488">
        <f t="shared" si="4"/>
        <v>106</v>
      </c>
      <c r="G12" s="488">
        <f t="shared" si="5"/>
        <v>31.909090909090907</v>
      </c>
      <c r="H12" s="488">
        <f t="shared" si="0"/>
        <v>1018.190082644628</v>
      </c>
      <c r="I12" s="488">
        <f t="shared" si="1"/>
        <v>32489.519909842216</v>
      </c>
      <c r="J12" s="488">
        <f t="shared" si="2"/>
        <v>1036711.0443958744</v>
      </c>
    </row>
    <row r="13" spans="1:10" x14ac:dyDescent="0.2">
      <c r="B13" s="470">
        <v>9</v>
      </c>
      <c r="C13" s="470">
        <f>'Rainfall Max'!V12</f>
        <v>2022</v>
      </c>
      <c r="D13" s="470">
        <f t="shared" si="3"/>
        <v>5</v>
      </c>
      <c r="E13" s="488">
        <f>'Rainfall Max'!W12</f>
        <v>134</v>
      </c>
      <c r="F13" s="488">
        <f t="shared" si="4"/>
        <v>100</v>
      </c>
      <c r="G13" s="488">
        <f t="shared" si="5"/>
        <v>10.909090909090907</v>
      </c>
      <c r="H13" s="488">
        <f t="shared" si="0"/>
        <v>119.00826446280986</v>
      </c>
      <c r="I13" s="488">
        <f t="shared" si="1"/>
        <v>1298.2719759579254</v>
      </c>
      <c r="J13" s="488">
        <f t="shared" si="2"/>
        <v>14162.967010450093</v>
      </c>
    </row>
    <row r="14" spans="1:10" x14ac:dyDescent="0.2">
      <c r="B14" s="470">
        <v>10</v>
      </c>
      <c r="C14" s="470">
        <f>'Rainfall Max'!V13</f>
        <v>2023</v>
      </c>
      <c r="D14" s="470">
        <f t="shared" si="3"/>
        <v>3</v>
      </c>
      <c r="E14" s="488">
        <f>'Rainfall Max'!W13</f>
        <v>141</v>
      </c>
      <c r="F14" s="488">
        <f t="shared" si="4"/>
        <v>93</v>
      </c>
      <c r="G14" s="488">
        <f t="shared" si="5"/>
        <v>17.909090909090907</v>
      </c>
      <c r="H14" s="488">
        <f t="shared" si="0"/>
        <v>320.73553719008254</v>
      </c>
      <c r="I14" s="488">
        <f t="shared" si="1"/>
        <v>5744.081893313296</v>
      </c>
      <c r="J14" s="488">
        <f t="shared" si="2"/>
        <v>102871.28481661082</v>
      </c>
    </row>
    <row r="15" spans="1:10" x14ac:dyDescent="0.2">
      <c r="B15" s="470">
        <v>11</v>
      </c>
      <c r="C15" s="470">
        <f>'Rainfall Max'!V14</f>
        <v>2024</v>
      </c>
      <c r="D15" s="470">
        <f t="shared" si="3"/>
        <v>1</v>
      </c>
      <c r="E15" s="488">
        <f>'Rainfall Max'!W14</f>
        <v>172</v>
      </c>
      <c r="F15" s="488">
        <f t="shared" si="4"/>
        <v>74</v>
      </c>
      <c r="G15" s="488">
        <f t="shared" si="5"/>
        <v>48.909090909090907</v>
      </c>
      <c r="H15" s="488">
        <f t="shared" si="0"/>
        <v>2392.0991735537186</v>
      </c>
      <c r="I15" s="488">
        <f t="shared" si="1"/>
        <v>116995.39594290005</v>
      </c>
      <c r="J15" s="488">
        <f t="shared" si="2"/>
        <v>5722138.4561163839</v>
      </c>
    </row>
    <row r="16" spans="1:10" x14ac:dyDescent="0.2">
      <c r="A16" s="354"/>
      <c r="B16" s="844" t="s">
        <v>122</v>
      </c>
      <c r="C16" s="844"/>
      <c r="D16" s="844"/>
      <c r="E16" s="489">
        <f>SUM(E5:E15)</f>
        <v>1354</v>
      </c>
      <c r="F16" s="489"/>
      <c r="G16" s="489">
        <f>SUM(G5:G15)</f>
        <v>0</v>
      </c>
      <c r="H16" s="490">
        <f>SUM(H5:H15)</f>
        <v>8264.9090909090901</v>
      </c>
      <c r="I16" s="490">
        <f>SUM(I5:I15)</f>
        <v>-2379.0743801653298</v>
      </c>
      <c r="J16" s="490">
        <f>SUM(J5:J15)</f>
        <v>13937420.287002254</v>
      </c>
    </row>
    <row r="17" spans="2:13" x14ac:dyDescent="0.2">
      <c r="C17" s="480"/>
      <c r="D17" s="480"/>
      <c r="E17" s="481"/>
    </row>
    <row r="18" spans="2:13" x14ac:dyDescent="0.2">
      <c r="C18" s="843" t="s">
        <v>148</v>
      </c>
      <c r="D18" s="843"/>
      <c r="E18" s="482">
        <f>COUNT(E5:E15)</f>
        <v>11</v>
      </c>
    </row>
    <row r="19" spans="2:13" x14ac:dyDescent="0.2">
      <c r="C19" s="843" t="s">
        <v>149</v>
      </c>
      <c r="D19" s="843"/>
      <c r="E19" s="483">
        <f>AVERAGE(E5:E15)</f>
        <v>123.09090909090909</v>
      </c>
    </row>
    <row r="20" spans="2:13" x14ac:dyDescent="0.2">
      <c r="C20" s="843" t="s">
        <v>150</v>
      </c>
      <c r="D20" s="843"/>
      <c r="E20" s="484">
        <f>_xlfn.STDEV.S(E5:E15)</f>
        <v>28.748754913750766</v>
      </c>
    </row>
    <row r="21" spans="2:13" x14ac:dyDescent="0.2">
      <c r="C21" s="843" t="s">
        <v>151</v>
      </c>
      <c r="D21" s="843"/>
      <c r="E21" s="484">
        <f>ROUND(SKEW(E5:E15),2)</f>
        <v>-0.01</v>
      </c>
    </row>
    <row r="22" spans="2:13" ht="13.2" x14ac:dyDescent="0.2">
      <c r="C22" s="834" t="s">
        <v>152</v>
      </c>
      <c r="D22" s="834"/>
      <c r="E22" s="485">
        <f>E20/E19</f>
        <v>0.23355709309546413</v>
      </c>
      <c r="F22" s="486" t="s">
        <v>4462</v>
      </c>
      <c r="G22" s="479">
        <f>ROUND(3*E22+E22^3,2)</f>
        <v>0.71</v>
      </c>
    </row>
    <row r="23" spans="2:13" ht="13.2" x14ac:dyDescent="0.2">
      <c r="C23" s="834" t="s">
        <v>153</v>
      </c>
      <c r="D23" s="834"/>
      <c r="E23" s="485">
        <f>(E18^2*(J16))/((E18-1)*(E18-2)*(E18-3)*(E20^4))</f>
        <v>3.4289338625138024</v>
      </c>
      <c r="F23" s="486" t="s">
        <v>4463</v>
      </c>
      <c r="G23" s="479">
        <f>ROUND(3*E22^2,2)</f>
        <v>0.16</v>
      </c>
    </row>
    <row r="24" spans="2:13" x14ac:dyDescent="0.2">
      <c r="C24" s="487"/>
    </row>
    <row r="25" spans="2:13" x14ac:dyDescent="0.2">
      <c r="C25" s="487"/>
    </row>
    <row r="26" spans="2:13" ht="22.8" x14ac:dyDescent="0.2">
      <c r="B26" s="475" t="s">
        <v>4</v>
      </c>
      <c r="C26" s="787" t="s">
        <v>4494</v>
      </c>
      <c r="D26" s="787" t="s">
        <v>4495</v>
      </c>
      <c r="E26" s="788" t="s">
        <v>4496</v>
      </c>
      <c r="F26" s="787" t="s">
        <v>4497</v>
      </c>
      <c r="I26" s="478"/>
      <c r="J26" s="478"/>
      <c r="K26" s="478"/>
      <c r="L26" s="478"/>
      <c r="M26" s="478"/>
    </row>
    <row r="27" spans="2:13" ht="15" customHeight="1" x14ac:dyDescent="0.25">
      <c r="B27" s="829">
        <v>1</v>
      </c>
      <c r="C27" s="832" t="s">
        <v>89</v>
      </c>
      <c r="D27" s="785" t="s">
        <v>4804</v>
      </c>
      <c r="E27" s="472" t="str">
        <f>"Cs = " &amp;E21</f>
        <v>Cs = -0.01</v>
      </c>
      <c r="F27" s="837" t="s">
        <v>4498</v>
      </c>
      <c r="I27" s="478"/>
      <c r="J27" s="478"/>
      <c r="K27" s="478"/>
      <c r="L27" s="478"/>
      <c r="M27" s="478"/>
    </row>
    <row r="28" spans="2:13" ht="13.8" x14ac:dyDescent="0.25">
      <c r="B28" s="830"/>
      <c r="C28" s="839"/>
      <c r="D28" s="785" t="s">
        <v>4805</v>
      </c>
      <c r="E28" s="838">
        <f>E23</f>
        <v>3.4289338625138024</v>
      </c>
      <c r="F28" s="837"/>
      <c r="I28" s="478"/>
      <c r="J28" s="478"/>
      <c r="K28" s="478"/>
      <c r="L28" s="478"/>
      <c r="M28" s="478"/>
    </row>
    <row r="29" spans="2:13" ht="12" x14ac:dyDescent="0.25">
      <c r="B29" s="831"/>
      <c r="C29" s="833"/>
      <c r="D29" s="786" t="str">
        <f>"     = "&amp;G23</f>
        <v xml:space="preserve">     = 0.16</v>
      </c>
      <c r="E29" s="838"/>
      <c r="F29" s="837"/>
      <c r="I29" s="478"/>
      <c r="J29" s="478"/>
      <c r="K29" s="478"/>
      <c r="L29" s="478"/>
      <c r="M29" s="478"/>
    </row>
    <row r="30" spans="2:13" ht="17.25" customHeight="1" x14ac:dyDescent="0.25">
      <c r="B30" s="829">
        <v>2</v>
      </c>
      <c r="C30" s="832" t="s">
        <v>90</v>
      </c>
      <c r="D30" s="785" t="s">
        <v>4806</v>
      </c>
      <c r="E30" s="835" t="str">
        <f>E27</f>
        <v>Cs = -0.01</v>
      </c>
      <c r="F30" s="837" t="s">
        <v>4498</v>
      </c>
      <c r="I30" s="478"/>
      <c r="J30" s="478"/>
      <c r="K30" s="478"/>
      <c r="L30" s="478"/>
      <c r="M30" s="478"/>
    </row>
    <row r="31" spans="2:13" ht="12" x14ac:dyDescent="0.25">
      <c r="B31" s="831"/>
      <c r="C31" s="833"/>
      <c r="D31" s="786" t="str">
        <f>"   = "&amp;G22</f>
        <v xml:space="preserve">   = 0.71</v>
      </c>
      <c r="E31" s="836"/>
      <c r="F31" s="837"/>
      <c r="I31" s="478"/>
      <c r="J31" s="478"/>
      <c r="K31" s="478"/>
      <c r="L31" s="478"/>
      <c r="M31" s="478"/>
    </row>
    <row r="32" spans="2:13" ht="12" x14ac:dyDescent="0.25">
      <c r="B32" s="470">
        <v>3</v>
      </c>
      <c r="C32" s="529" t="s">
        <v>92</v>
      </c>
      <c r="D32" s="786" t="s">
        <v>4807</v>
      </c>
      <c r="E32" s="473" t="str">
        <f>E27</f>
        <v>Cs = -0.01</v>
      </c>
      <c r="F32" s="789" t="s">
        <v>4499</v>
      </c>
      <c r="I32" s="478"/>
      <c r="J32" s="478"/>
      <c r="K32" s="478"/>
      <c r="L32" s="478"/>
      <c r="M32" s="478"/>
    </row>
    <row r="33" spans="2:13" ht="12" x14ac:dyDescent="0.25">
      <c r="B33" s="470">
        <v>4</v>
      </c>
      <c r="C33" s="529" t="s">
        <v>93</v>
      </c>
      <c r="D33" s="786" t="s">
        <v>4808</v>
      </c>
      <c r="E33" s="473" t="str">
        <f>E27</f>
        <v>Cs = -0.01</v>
      </c>
      <c r="F33" s="789" t="s">
        <v>4499</v>
      </c>
      <c r="I33" s="478"/>
      <c r="J33" s="478"/>
      <c r="K33" s="478"/>
      <c r="L33" s="478"/>
      <c r="M33" s="478"/>
    </row>
    <row r="34" spans="2:13" ht="15" customHeight="1" x14ac:dyDescent="0.25">
      <c r="B34" s="829">
        <v>5</v>
      </c>
      <c r="C34" s="832" t="s">
        <v>91</v>
      </c>
      <c r="D34" s="786" t="s">
        <v>4809</v>
      </c>
      <c r="E34" s="473" t="str">
        <f>E27</f>
        <v>Cs = -0.01</v>
      </c>
      <c r="F34" s="837" t="s">
        <v>4498</v>
      </c>
      <c r="I34" s="478"/>
      <c r="J34" s="478"/>
      <c r="K34" s="478"/>
      <c r="L34" s="478"/>
      <c r="M34" s="478"/>
    </row>
    <row r="35" spans="2:13" ht="12" x14ac:dyDescent="0.25">
      <c r="B35" s="831"/>
      <c r="C35" s="833"/>
      <c r="D35" s="786" t="s">
        <v>4810</v>
      </c>
      <c r="E35" s="474">
        <f>E28</f>
        <v>3.4289338625138024</v>
      </c>
      <c r="F35" s="837"/>
    </row>
    <row r="36" spans="2:13" ht="1.2" customHeight="1" x14ac:dyDescent="0.2">
      <c r="B36" s="354"/>
      <c r="C36" s="354"/>
      <c r="D36" s="354"/>
      <c r="E36" s="354"/>
      <c r="F36" s="354"/>
    </row>
    <row r="37" spans="2:13" ht="9" customHeight="1" x14ac:dyDescent="0.2">
      <c r="C37" s="355" t="s">
        <v>154</v>
      </c>
      <c r="E37" s="354"/>
      <c r="F37" s="354"/>
    </row>
  </sheetData>
  <mergeCells count="26">
    <mergeCell ref="C22:D22"/>
    <mergeCell ref="B2:J2"/>
    <mergeCell ref="G3:G4"/>
    <mergeCell ref="H3:H4"/>
    <mergeCell ref="I3:I4"/>
    <mergeCell ref="J3:J4"/>
    <mergeCell ref="C18:D18"/>
    <mergeCell ref="C19:D19"/>
    <mergeCell ref="C20:D20"/>
    <mergeCell ref="C21:D21"/>
    <mergeCell ref="B3:B4"/>
    <mergeCell ref="C3:C4"/>
    <mergeCell ref="D3:D4"/>
    <mergeCell ref="B16:D16"/>
    <mergeCell ref="C23:D23"/>
    <mergeCell ref="E30:E31"/>
    <mergeCell ref="F30:F31"/>
    <mergeCell ref="F34:F35"/>
    <mergeCell ref="E28:E29"/>
    <mergeCell ref="F27:F29"/>
    <mergeCell ref="C27:C29"/>
    <mergeCell ref="B27:B29"/>
    <mergeCell ref="C30:C31"/>
    <mergeCell ref="B30:B31"/>
    <mergeCell ref="C34:C35"/>
    <mergeCell ref="B34:B35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B2:J134"/>
  <sheetViews>
    <sheetView zoomScale="85" zoomScaleNormal="85" workbookViewId="0">
      <selection activeCell="G25" sqref="G25"/>
    </sheetView>
  </sheetViews>
  <sheetFormatPr defaultColWidth="7.88671875" defaultRowHeight="14.4" x14ac:dyDescent="0.3"/>
  <cols>
    <col min="1" max="1" width="7.88671875" style="9"/>
    <col min="2" max="2" width="7.44140625" style="9" customWidth="1"/>
    <col min="3" max="3" width="16.109375" style="9" customWidth="1"/>
    <col min="4" max="4" width="11.88671875" style="9" customWidth="1"/>
    <col min="5" max="5" width="14.44140625" style="9" customWidth="1"/>
    <col min="6" max="6" width="7.88671875" style="9"/>
    <col min="7" max="7" width="6.6640625" style="9" customWidth="1"/>
    <col min="8" max="8" width="11.5546875" style="9" customWidth="1"/>
    <col min="9" max="9" width="10.44140625" style="9" customWidth="1"/>
    <col min="10" max="10" width="12" style="9" customWidth="1"/>
    <col min="11" max="16384" width="7.88671875" style="9"/>
  </cols>
  <sheetData>
    <row r="2" spans="2:10" ht="16.2" thickBot="1" x14ac:dyDescent="0.35">
      <c r="B2" s="845" t="s">
        <v>12</v>
      </c>
      <c r="C2" s="845"/>
      <c r="D2" s="845"/>
      <c r="E2" s="845"/>
      <c r="G2" s="845" t="s">
        <v>7</v>
      </c>
      <c r="H2" s="845"/>
      <c r="I2" s="845"/>
      <c r="J2" s="845"/>
    </row>
    <row r="3" spans="2:10" ht="6" customHeight="1" thickTop="1" x14ac:dyDescent="0.3"/>
    <row r="4" spans="2:10" ht="19.5" customHeight="1" thickBot="1" x14ac:dyDescent="0.35">
      <c r="B4" s="10" t="s">
        <v>8</v>
      </c>
      <c r="C4" s="10" t="s">
        <v>9</v>
      </c>
      <c r="D4" s="10" t="s">
        <v>13</v>
      </c>
      <c r="E4" s="10" t="s">
        <v>10</v>
      </c>
      <c r="G4" s="10" t="s">
        <v>8</v>
      </c>
      <c r="H4" s="10" t="s">
        <v>9</v>
      </c>
      <c r="I4" s="10" t="s">
        <v>11</v>
      </c>
      <c r="J4" s="10" t="s">
        <v>10</v>
      </c>
    </row>
    <row r="5" spans="2:10" ht="13.5" customHeight="1" thickTop="1" x14ac:dyDescent="0.3">
      <c r="B5" s="11">
        <v>1</v>
      </c>
      <c r="C5" s="12">
        <v>1.0009999999999999</v>
      </c>
      <c r="D5" s="13">
        <v>-3.05</v>
      </c>
      <c r="E5" s="12">
        <v>0.999</v>
      </c>
      <c r="G5" s="11">
        <v>1</v>
      </c>
      <c r="H5" s="14">
        <v>2</v>
      </c>
      <c r="I5" s="15">
        <v>1</v>
      </c>
      <c r="J5" s="12">
        <v>0.999</v>
      </c>
    </row>
    <row r="6" spans="2:10" ht="13.5" customHeight="1" x14ac:dyDescent="0.3">
      <c r="B6" s="16">
        <f t="shared" ref="B6:B25" si="0">B5+1</f>
        <v>2</v>
      </c>
      <c r="C6" s="17">
        <v>1.0049999999999999</v>
      </c>
      <c r="D6" s="18">
        <v>-2.58</v>
      </c>
      <c r="E6" s="17">
        <v>0.995</v>
      </c>
      <c r="G6" s="16">
        <f t="shared" ref="G6:G11" si="1">G5+1</f>
        <v>2</v>
      </c>
      <c r="H6" s="19">
        <v>5</v>
      </c>
      <c r="I6" s="20">
        <v>1.1637999999999999</v>
      </c>
      <c r="J6" s="17">
        <v>0.995</v>
      </c>
    </row>
    <row r="7" spans="2:10" ht="13.5" customHeight="1" x14ac:dyDescent="0.3">
      <c r="B7" s="16">
        <f t="shared" si="0"/>
        <v>3</v>
      </c>
      <c r="C7" s="17">
        <v>1.01</v>
      </c>
      <c r="D7" s="18">
        <v>-2.33</v>
      </c>
      <c r="E7" s="17">
        <v>0.99</v>
      </c>
      <c r="G7" s="16">
        <f t="shared" si="1"/>
        <v>3</v>
      </c>
      <c r="H7" s="19">
        <v>10</v>
      </c>
      <c r="I7" s="20">
        <v>1.3496999999999999</v>
      </c>
      <c r="J7" s="17">
        <v>0.99</v>
      </c>
    </row>
    <row r="8" spans="2:10" ht="13.5" customHeight="1" x14ac:dyDescent="0.3">
      <c r="B8" s="16">
        <f t="shared" si="0"/>
        <v>4</v>
      </c>
      <c r="C8" s="17">
        <v>1.05</v>
      </c>
      <c r="D8" s="18">
        <v>-1.64</v>
      </c>
      <c r="E8" s="17">
        <v>0.95</v>
      </c>
      <c r="G8" s="16">
        <f t="shared" si="1"/>
        <v>4</v>
      </c>
      <c r="H8" s="19">
        <v>20</v>
      </c>
      <c r="I8" s="20">
        <v>1.534</v>
      </c>
      <c r="J8" s="17">
        <v>0.95</v>
      </c>
    </row>
    <row r="9" spans="2:10" ht="13.5" customHeight="1" x14ac:dyDescent="0.3">
      <c r="B9" s="16">
        <f t="shared" si="0"/>
        <v>5</v>
      </c>
      <c r="C9" s="17">
        <v>1.1100000000000001</v>
      </c>
      <c r="D9" s="18">
        <v>-1.28</v>
      </c>
      <c r="E9" s="17">
        <v>0.9</v>
      </c>
      <c r="G9" s="16">
        <f t="shared" si="1"/>
        <v>5</v>
      </c>
      <c r="H9" s="19">
        <v>25</v>
      </c>
      <c r="I9" s="20">
        <v>1.5853200000000001</v>
      </c>
      <c r="J9" s="17">
        <v>0.94</v>
      </c>
    </row>
    <row r="10" spans="2:10" ht="13.5" customHeight="1" x14ac:dyDescent="0.3">
      <c r="B10" s="16">
        <f t="shared" si="0"/>
        <v>6</v>
      </c>
      <c r="C10" s="17">
        <v>1.25</v>
      </c>
      <c r="D10" s="18">
        <v>-0.84</v>
      </c>
      <c r="E10" s="17">
        <v>0.8</v>
      </c>
      <c r="G10" s="16">
        <f t="shared" si="1"/>
        <v>6</v>
      </c>
      <c r="H10" s="19">
        <v>50</v>
      </c>
      <c r="I10" s="20">
        <v>1.7634000000000001</v>
      </c>
      <c r="J10" s="17">
        <v>0.8</v>
      </c>
    </row>
    <row r="11" spans="2:10" ht="13.5" customHeight="1" x14ac:dyDescent="0.3">
      <c r="B11" s="16">
        <f t="shared" si="0"/>
        <v>7</v>
      </c>
      <c r="C11" s="17">
        <v>1.33</v>
      </c>
      <c r="D11" s="18">
        <v>-0.67</v>
      </c>
      <c r="E11" s="17">
        <v>0.75</v>
      </c>
      <c r="G11" s="21">
        <f t="shared" si="1"/>
        <v>7</v>
      </c>
      <c r="H11" s="22">
        <v>100</v>
      </c>
      <c r="I11" s="23">
        <v>1.9249000000000001</v>
      </c>
      <c r="J11" s="24">
        <v>0.75</v>
      </c>
    </row>
    <row r="12" spans="2:10" ht="13.5" customHeight="1" x14ac:dyDescent="0.3">
      <c r="B12" s="16">
        <f t="shared" si="0"/>
        <v>8</v>
      </c>
      <c r="C12" s="17">
        <v>1.43</v>
      </c>
      <c r="D12" s="18">
        <v>-0.52</v>
      </c>
      <c r="E12" s="17">
        <v>0.7</v>
      </c>
      <c r="G12" s="25"/>
      <c r="H12" s="26"/>
      <c r="I12" s="27"/>
      <c r="J12" s="28"/>
    </row>
    <row r="13" spans="2:10" ht="13.5" customHeight="1" x14ac:dyDescent="0.3">
      <c r="B13" s="16">
        <f t="shared" si="0"/>
        <v>9</v>
      </c>
      <c r="C13" s="17">
        <v>1.67</v>
      </c>
      <c r="D13" s="18">
        <v>-0.25</v>
      </c>
      <c r="E13" s="17">
        <v>0.6</v>
      </c>
      <c r="G13" s="25"/>
      <c r="H13" s="26"/>
      <c r="I13" s="27"/>
      <c r="J13" s="28"/>
    </row>
    <row r="14" spans="2:10" ht="13.5" customHeight="1" x14ac:dyDescent="0.3">
      <c r="B14" s="16">
        <f t="shared" si="0"/>
        <v>10</v>
      </c>
      <c r="C14" s="1013">
        <v>2</v>
      </c>
      <c r="D14" s="18">
        <v>0</v>
      </c>
      <c r="E14" s="17">
        <v>0.5</v>
      </c>
      <c r="G14" s="29"/>
      <c r="H14" s="26"/>
      <c r="I14" s="27"/>
      <c r="J14" s="28"/>
    </row>
    <row r="15" spans="2:10" ht="13.5" customHeight="1" x14ac:dyDescent="0.3">
      <c r="B15" s="16">
        <f t="shared" si="0"/>
        <v>11</v>
      </c>
      <c r="C15" s="17">
        <v>2.5</v>
      </c>
      <c r="D15" s="18">
        <v>0.25</v>
      </c>
      <c r="E15" s="17">
        <v>0.4</v>
      </c>
      <c r="G15" s="29"/>
      <c r="H15" s="26"/>
      <c r="I15" s="27"/>
      <c r="J15" s="28"/>
    </row>
    <row r="16" spans="2:10" ht="13.5" customHeight="1" x14ac:dyDescent="0.3">
      <c r="B16" s="16">
        <f t="shared" si="0"/>
        <v>12</v>
      </c>
      <c r="C16" s="17">
        <v>3.33</v>
      </c>
      <c r="D16" s="18">
        <v>0.52</v>
      </c>
      <c r="E16" s="17">
        <v>0.3</v>
      </c>
      <c r="G16" s="25"/>
      <c r="H16" s="26"/>
      <c r="I16" s="27"/>
      <c r="J16" s="28"/>
    </row>
    <row r="17" spans="2:10" ht="13.5" customHeight="1" x14ac:dyDescent="0.3">
      <c r="B17" s="16">
        <f t="shared" si="0"/>
        <v>13</v>
      </c>
      <c r="C17" s="17">
        <v>4</v>
      </c>
      <c r="D17" s="18">
        <v>0.67</v>
      </c>
      <c r="E17" s="17">
        <v>0.25</v>
      </c>
      <c r="G17" s="25"/>
      <c r="H17" s="26"/>
      <c r="I17" s="27"/>
      <c r="J17" s="28"/>
    </row>
    <row r="18" spans="2:10" ht="13.5" customHeight="1" x14ac:dyDescent="0.3">
      <c r="B18" s="16">
        <f t="shared" si="0"/>
        <v>14</v>
      </c>
      <c r="C18" s="1013">
        <v>5</v>
      </c>
      <c r="D18" s="18">
        <v>0.84</v>
      </c>
      <c r="E18" s="17">
        <v>0.2</v>
      </c>
      <c r="G18" s="25"/>
      <c r="H18" s="26"/>
      <c r="I18" s="27"/>
      <c r="J18" s="28"/>
    </row>
    <row r="19" spans="2:10" ht="13.5" customHeight="1" x14ac:dyDescent="0.3">
      <c r="B19" s="16">
        <f t="shared" si="0"/>
        <v>15</v>
      </c>
      <c r="C19" s="1013">
        <v>10</v>
      </c>
      <c r="D19" s="18">
        <v>1.28</v>
      </c>
      <c r="E19" s="17">
        <v>0.1</v>
      </c>
      <c r="G19" s="25"/>
      <c r="H19" s="26"/>
      <c r="I19" s="27"/>
      <c r="J19" s="28"/>
    </row>
    <row r="20" spans="2:10" ht="13.5" customHeight="1" x14ac:dyDescent="0.3">
      <c r="B20" s="16">
        <f t="shared" si="0"/>
        <v>16</v>
      </c>
      <c r="C20" s="1013">
        <v>25</v>
      </c>
      <c r="D20" s="18">
        <v>1.64</v>
      </c>
      <c r="E20" s="17">
        <v>0.04</v>
      </c>
      <c r="G20" s="25"/>
      <c r="H20" s="26"/>
      <c r="I20" s="27"/>
      <c r="J20" s="28"/>
    </row>
    <row r="21" spans="2:10" ht="13.5" customHeight="1" x14ac:dyDescent="0.3">
      <c r="B21" s="16">
        <f t="shared" si="0"/>
        <v>17</v>
      </c>
      <c r="C21" s="1013">
        <v>50</v>
      </c>
      <c r="D21" s="18">
        <v>2.0499999999999998</v>
      </c>
      <c r="E21" s="17">
        <v>0.02</v>
      </c>
      <c r="G21" s="25"/>
      <c r="H21" s="26"/>
      <c r="I21" s="27"/>
      <c r="J21" s="28"/>
    </row>
    <row r="22" spans="2:10" ht="13.5" customHeight="1" x14ac:dyDescent="0.3">
      <c r="B22" s="16">
        <f t="shared" si="0"/>
        <v>18</v>
      </c>
      <c r="C22" s="1013">
        <v>100</v>
      </c>
      <c r="D22" s="18">
        <v>2.33</v>
      </c>
      <c r="E22" s="17">
        <v>0.01</v>
      </c>
      <c r="G22" s="25"/>
      <c r="H22" s="26"/>
      <c r="I22" s="27"/>
      <c r="J22" s="28"/>
    </row>
    <row r="23" spans="2:10" ht="13.5" customHeight="1" x14ac:dyDescent="0.3">
      <c r="B23" s="16">
        <f t="shared" si="0"/>
        <v>19</v>
      </c>
      <c r="C23" s="1013">
        <v>200</v>
      </c>
      <c r="D23" s="18">
        <v>2.58</v>
      </c>
      <c r="E23" s="17">
        <v>5.0000000000000001E-3</v>
      </c>
      <c r="G23" s="25"/>
      <c r="H23" s="26"/>
      <c r="I23" s="27"/>
      <c r="J23" s="28"/>
    </row>
    <row r="24" spans="2:10" ht="13.5" customHeight="1" x14ac:dyDescent="0.3">
      <c r="B24" s="16">
        <f t="shared" si="0"/>
        <v>20</v>
      </c>
      <c r="C24" s="17">
        <v>500</v>
      </c>
      <c r="D24" s="18">
        <v>2.88</v>
      </c>
      <c r="E24" s="17">
        <v>2E-3</v>
      </c>
      <c r="G24" s="25"/>
      <c r="H24" s="26"/>
      <c r="I24" s="27"/>
      <c r="J24" s="28"/>
    </row>
    <row r="25" spans="2:10" ht="13.5" customHeight="1" x14ac:dyDescent="0.3">
      <c r="B25" s="21">
        <f t="shared" si="0"/>
        <v>21</v>
      </c>
      <c r="C25" s="1014">
        <v>1000</v>
      </c>
      <c r="D25" s="30">
        <v>3.09</v>
      </c>
      <c r="E25" s="24">
        <v>1E-3</v>
      </c>
      <c r="G25" s="25"/>
      <c r="H25" s="26"/>
      <c r="I25" s="27"/>
      <c r="J25" s="28"/>
    </row>
    <row r="26" spans="2:10" x14ac:dyDescent="0.3">
      <c r="C26" s="31"/>
      <c r="D26" s="31"/>
      <c r="E26" s="32"/>
      <c r="H26" s="31"/>
      <c r="I26" s="31"/>
      <c r="J26" s="32"/>
    </row>
    <row r="27" spans="2:10" x14ac:dyDescent="0.3">
      <c r="B27" s="9" t="s">
        <v>4813</v>
      </c>
      <c r="C27" s="31"/>
      <c r="D27" s="31"/>
      <c r="E27" s="32"/>
      <c r="H27" s="31"/>
      <c r="I27" s="31"/>
      <c r="J27" s="32"/>
    </row>
    <row r="28" spans="2:10" x14ac:dyDescent="0.3">
      <c r="C28" s="31"/>
      <c r="D28" s="31"/>
      <c r="E28" s="32"/>
      <c r="H28" s="31"/>
      <c r="I28" s="31"/>
      <c r="J28" s="32"/>
    </row>
    <row r="29" spans="2:10" x14ac:dyDescent="0.3">
      <c r="C29" s="31"/>
      <c r="D29" s="31"/>
      <c r="E29" s="32"/>
      <c r="H29" s="31"/>
      <c r="I29" s="31"/>
      <c r="J29" s="32"/>
    </row>
    <row r="30" spans="2:10" x14ac:dyDescent="0.3">
      <c r="C30" s="31"/>
      <c r="D30" s="31"/>
      <c r="E30" s="32"/>
      <c r="H30" s="31"/>
      <c r="I30" s="31"/>
      <c r="J30" s="32"/>
    </row>
    <row r="31" spans="2:10" x14ac:dyDescent="0.3">
      <c r="C31" s="31"/>
      <c r="D31" s="31"/>
      <c r="E31" s="32"/>
      <c r="H31" s="31"/>
      <c r="I31" s="31"/>
      <c r="J31" s="32"/>
    </row>
    <row r="32" spans="2:10" x14ac:dyDescent="0.3">
      <c r="C32" s="31"/>
      <c r="D32" s="31"/>
      <c r="E32" s="32"/>
      <c r="H32" s="31"/>
      <c r="I32" s="31"/>
      <c r="J32" s="32"/>
    </row>
    <row r="33" spans="3:10" x14ac:dyDescent="0.3">
      <c r="C33" s="33"/>
      <c r="D33" s="32"/>
      <c r="E33" s="32"/>
      <c r="H33" s="33"/>
      <c r="I33" s="32"/>
      <c r="J33" s="32"/>
    </row>
    <row r="34" spans="3:10" x14ac:dyDescent="0.3">
      <c r="C34" s="33"/>
      <c r="D34" s="32"/>
      <c r="E34" s="32"/>
      <c r="H34" s="33"/>
      <c r="I34" s="32"/>
      <c r="J34" s="32"/>
    </row>
    <row r="35" spans="3:10" x14ac:dyDescent="0.3">
      <c r="C35" s="33"/>
      <c r="D35" s="32"/>
      <c r="E35" s="32"/>
      <c r="H35" s="33"/>
      <c r="I35" s="32"/>
      <c r="J35" s="32"/>
    </row>
    <row r="36" spans="3:10" x14ac:dyDescent="0.3">
      <c r="C36" s="33"/>
      <c r="D36" s="32"/>
      <c r="E36" s="32"/>
      <c r="H36" s="33"/>
      <c r="I36" s="32"/>
      <c r="J36" s="32"/>
    </row>
    <row r="37" spans="3:10" x14ac:dyDescent="0.3">
      <c r="C37" s="33"/>
      <c r="D37" s="32"/>
      <c r="E37" s="32"/>
      <c r="H37" s="33"/>
      <c r="I37" s="32"/>
      <c r="J37" s="32"/>
    </row>
    <row r="38" spans="3:10" x14ac:dyDescent="0.3">
      <c r="C38" s="33"/>
      <c r="D38" s="32"/>
      <c r="E38" s="32"/>
      <c r="H38" s="33"/>
      <c r="I38" s="32"/>
      <c r="J38" s="32"/>
    </row>
    <row r="39" spans="3:10" x14ac:dyDescent="0.3">
      <c r="C39" s="33"/>
      <c r="D39" s="32"/>
      <c r="E39" s="32"/>
      <c r="H39" s="33"/>
      <c r="I39" s="32"/>
      <c r="J39" s="32"/>
    </row>
    <row r="40" spans="3:10" x14ac:dyDescent="0.3">
      <c r="C40" s="33"/>
      <c r="D40" s="32"/>
      <c r="E40" s="32"/>
      <c r="H40" s="33"/>
      <c r="I40" s="32"/>
      <c r="J40" s="32"/>
    </row>
    <row r="41" spans="3:10" x14ac:dyDescent="0.3">
      <c r="C41" s="33"/>
      <c r="D41" s="32"/>
      <c r="E41" s="32"/>
      <c r="H41" s="33"/>
      <c r="I41" s="32"/>
      <c r="J41" s="32"/>
    </row>
    <row r="42" spans="3:10" x14ac:dyDescent="0.3">
      <c r="C42" s="33"/>
      <c r="D42" s="32"/>
      <c r="E42" s="32"/>
      <c r="H42" s="33"/>
      <c r="I42" s="32"/>
      <c r="J42" s="32"/>
    </row>
    <row r="43" spans="3:10" x14ac:dyDescent="0.3">
      <c r="C43" s="33"/>
      <c r="D43" s="32"/>
      <c r="E43" s="32"/>
      <c r="H43" s="33"/>
      <c r="I43" s="32"/>
      <c r="J43" s="32"/>
    </row>
    <row r="44" spans="3:10" x14ac:dyDescent="0.3">
      <c r="C44" s="33"/>
      <c r="D44" s="32"/>
      <c r="E44" s="32"/>
      <c r="H44" s="33"/>
      <c r="I44" s="32"/>
      <c r="J44" s="32"/>
    </row>
    <row r="45" spans="3:10" x14ac:dyDescent="0.3">
      <c r="C45" s="33"/>
      <c r="D45" s="32"/>
      <c r="E45" s="32"/>
      <c r="H45" s="33"/>
      <c r="I45" s="32"/>
      <c r="J45" s="32"/>
    </row>
    <row r="46" spans="3:10" x14ac:dyDescent="0.3">
      <c r="C46" s="33"/>
      <c r="D46" s="32"/>
      <c r="E46" s="32"/>
      <c r="H46" s="33"/>
      <c r="I46" s="32"/>
      <c r="J46" s="32"/>
    </row>
    <row r="47" spans="3:10" x14ac:dyDescent="0.3">
      <c r="C47" s="33"/>
      <c r="D47" s="32"/>
      <c r="E47" s="32"/>
      <c r="H47" s="33"/>
      <c r="I47" s="32"/>
      <c r="J47" s="32"/>
    </row>
    <row r="48" spans="3:10" x14ac:dyDescent="0.3">
      <c r="C48" s="33"/>
      <c r="D48" s="32"/>
      <c r="E48" s="32"/>
      <c r="H48" s="33"/>
      <c r="I48" s="32"/>
      <c r="J48" s="32"/>
    </row>
    <row r="49" spans="3:10" x14ac:dyDescent="0.3">
      <c r="C49" s="33"/>
      <c r="D49" s="32"/>
      <c r="E49" s="32"/>
      <c r="H49" s="33"/>
      <c r="I49" s="32"/>
      <c r="J49" s="32"/>
    </row>
    <row r="50" spans="3:10" x14ac:dyDescent="0.3">
      <c r="C50" s="33"/>
      <c r="D50" s="32"/>
      <c r="E50" s="32"/>
      <c r="H50" s="33"/>
      <c r="I50" s="32"/>
      <c r="J50" s="32"/>
    </row>
    <row r="51" spans="3:10" x14ac:dyDescent="0.3">
      <c r="C51" s="33"/>
      <c r="D51" s="32"/>
      <c r="E51" s="32"/>
      <c r="H51" s="33"/>
      <c r="I51" s="32"/>
      <c r="J51" s="32"/>
    </row>
    <row r="52" spans="3:10" x14ac:dyDescent="0.3">
      <c r="C52" s="33"/>
      <c r="D52" s="32"/>
      <c r="E52" s="32"/>
      <c r="H52" s="33"/>
      <c r="I52" s="32"/>
      <c r="J52" s="32"/>
    </row>
    <row r="53" spans="3:10" x14ac:dyDescent="0.3">
      <c r="C53" s="33"/>
      <c r="D53" s="32"/>
      <c r="E53" s="32"/>
      <c r="H53" s="33"/>
      <c r="I53" s="32"/>
      <c r="J53" s="32"/>
    </row>
    <row r="54" spans="3:10" x14ac:dyDescent="0.3">
      <c r="C54" s="33"/>
      <c r="D54" s="32"/>
      <c r="E54" s="32"/>
      <c r="H54" s="33"/>
      <c r="I54" s="32"/>
      <c r="J54" s="32"/>
    </row>
    <row r="55" spans="3:10" x14ac:dyDescent="0.3">
      <c r="C55" s="33"/>
      <c r="D55" s="32"/>
      <c r="E55" s="32"/>
      <c r="H55" s="33"/>
      <c r="I55" s="32"/>
      <c r="J55" s="32"/>
    </row>
    <row r="56" spans="3:10" x14ac:dyDescent="0.3">
      <c r="C56" s="33"/>
      <c r="D56" s="32"/>
      <c r="E56" s="32"/>
      <c r="H56" s="33"/>
      <c r="I56" s="32"/>
      <c r="J56" s="32"/>
    </row>
    <row r="57" spans="3:10" x14ac:dyDescent="0.3">
      <c r="C57" s="33"/>
      <c r="D57" s="32"/>
      <c r="E57" s="32"/>
      <c r="H57" s="33"/>
      <c r="I57" s="32"/>
      <c r="J57" s="32"/>
    </row>
    <row r="58" spans="3:10" x14ac:dyDescent="0.3">
      <c r="C58" s="33"/>
      <c r="D58" s="32"/>
      <c r="E58" s="32"/>
      <c r="H58" s="33"/>
      <c r="I58" s="32"/>
      <c r="J58" s="32"/>
    </row>
    <row r="59" spans="3:10" x14ac:dyDescent="0.3">
      <c r="C59" s="33"/>
      <c r="D59" s="32"/>
      <c r="E59" s="32"/>
      <c r="H59" s="33"/>
      <c r="I59" s="32"/>
      <c r="J59" s="32"/>
    </row>
    <row r="60" spans="3:10" x14ac:dyDescent="0.3">
      <c r="C60" s="33"/>
      <c r="D60" s="32"/>
      <c r="E60" s="32"/>
      <c r="H60" s="33"/>
      <c r="I60" s="32"/>
      <c r="J60" s="32"/>
    </row>
    <row r="61" spans="3:10" x14ac:dyDescent="0.3">
      <c r="C61" s="33"/>
      <c r="D61" s="32"/>
      <c r="E61" s="32"/>
      <c r="H61" s="33"/>
      <c r="I61" s="32"/>
      <c r="J61" s="32"/>
    </row>
    <row r="62" spans="3:10" x14ac:dyDescent="0.3">
      <c r="C62" s="33"/>
      <c r="D62" s="32"/>
      <c r="E62" s="32"/>
      <c r="H62" s="33"/>
      <c r="I62" s="32"/>
      <c r="J62" s="32"/>
    </row>
    <row r="63" spans="3:10" x14ac:dyDescent="0.3">
      <c r="C63" s="33"/>
      <c r="D63" s="32"/>
      <c r="E63" s="32"/>
      <c r="H63" s="33"/>
      <c r="I63" s="32"/>
      <c r="J63" s="32"/>
    </row>
    <row r="64" spans="3:10" x14ac:dyDescent="0.3">
      <c r="C64" s="33"/>
      <c r="D64" s="32"/>
      <c r="E64" s="32"/>
      <c r="H64" s="33"/>
      <c r="I64" s="32"/>
      <c r="J64" s="32"/>
    </row>
    <row r="65" spans="3:10" x14ac:dyDescent="0.3">
      <c r="C65" s="33"/>
      <c r="D65" s="32"/>
      <c r="E65" s="32"/>
      <c r="H65" s="33"/>
      <c r="I65" s="32"/>
      <c r="J65" s="32"/>
    </row>
    <row r="66" spans="3:10" x14ac:dyDescent="0.3">
      <c r="C66" s="33"/>
      <c r="D66" s="32"/>
      <c r="E66" s="32"/>
      <c r="H66" s="33"/>
      <c r="I66" s="32"/>
      <c r="J66" s="32"/>
    </row>
    <row r="67" spans="3:10" x14ac:dyDescent="0.3">
      <c r="C67" s="33"/>
      <c r="D67" s="32"/>
      <c r="E67" s="32"/>
      <c r="H67" s="33"/>
      <c r="I67" s="32"/>
      <c r="J67" s="32"/>
    </row>
    <row r="68" spans="3:10" x14ac:dyDescent="0.3">
      <c r="C68" s="33"/>
      <c r="D68" s="32"/>
      <c r="E68" s="32"/>
      <c r="H68" s="33"/>
      <c r="I68" s="32"/>
      <c r="J68" s="32"/>
    </row>
    <row r="69" spans="3:10" x14ac:dyDescent="0.3">
      <c r="C69" s="33"/>
      <c r="D69" s="32"/>
      <c r="E69" s="32"/>
      <c r="H69" s="33"/>
      <c r="I69" s="32"/>
      <c r="J69" s="32"/>
    </row>
    <row r="70" spans="3:10" x14ac:dyDescent="0.3">
      <c r="C70" s="33"/>
      <c r="D70" s="32"/>
      <c r="E70" s="32"/>
      <c r="H70" s="33"/>
      <c r="I70" s="32"/>
      <c r="J70" s="32"/>
    </row>
    <row r="71" spans="3:10" x14ac:dyDescent="0.3">
      <c r="C71" s="33"/>
      <c r="D71" s="32"/>
      <c r="E71" s="32"/>
      <c r="H71" s="33"/>
      <c r="I71" s="32"/>
      <c r="J71" s="32"/>
    </row>
    <row r="72" spans="3:10" x14ac:dyDescent="0.3">
      <c r="C72" s="33"/>
      <c r="D72" s="32"/>
      <c r="E72" s="32"/>
      <c r="H72" s="33"/>
      <c r="I72" s="32"/>
      <c r="J72" s="32"/>
    </row>
    <row r="73" spans="3:10" x14ac:dyDescent="0.3">
      <c r="C73" s="33"/>
      <c r="D73" s="32"/>
      <c r="E73" s="32"/>
      <c r="H73" s="33"/>
      <c r="I73" s="32"/>
      <c r="J73" s="32"/>
    </row>
    <row r="74" spans="3:10" x14ac:dyDescent="0.3">
      <c r="C74" s="33"/>
      <c r="D74" s="32"/>
      <c r="E74" s="32"/>
      <c r="H74" s="33"/>
      <c r="I74" s="32"/>
      <c r="J74" s="32"/>
    </row>
    <row r="75" spans="3:10" x14ac:dyDescent="0.3">
      <c r="C75" s="33"/>
      <c r="D75" s="32"/>
      <c r="E75" s="32"/>
      <c r="H75" s="33"/>
      <c r="I75" s="32"/>
      <c r="J75" s="32"/>
    </row>
    <row r="76" spans="3:10" x14ac:dyDescent="0.3">
      <c r="C76" s="33"/>
      <c r="D76" s="32"/>
      <c r="E76" s="32"/>
      <c r="H76" s="33"/>
      <c r="I76" s="32"/>
      <c r="J76" s="32"/>
    </row>
    <row r="77" spans="3:10" x14ac:dyDescent="0.3">
      <c r="C77" s="33"/>
      <c r="D77" s="32"/>
      <c r="E77" s="32"/>
      <c r="H77" s="33"/>
      <c r="I77" s="32"/>
      <c r="J77" s="32"/>
    </row>
    <row r="78" spans="3:10" x14ac:dyDescent="0.3">
      <c r="C78" s="33"/>
      <c r="D78" s="32"/>
      <c r="E78" s="32"/>
      <c r="H78" s="33"/>
      <c r="I78" s="32"/>
      <c r="J78" s="32"/>
    </row>
    <row r="79" spans="3:10" x14ac:dyDescent="0.3">
      <c r="C79" s="32"/>
      <c r="D79" s="32"/>
      <c r="E79" s="32"/>
      <c r="H79" s="32"/>
      <c r="I79" s="32"/>
      <c r="J79" s="32"/>
    </row>
    <row r="80" spans="3:10" x14ac:dyDescent="0.3">
      <c r="C80" s="32"/>
      <c r="D80" s="32"/>
      <c r="E80" s="32"/>
      <c r="H80" s="32"/>
      <c r="I80" s="32"/>
      <c r="J80" s="32"/>
    </row>
    <row r="81" spans="3:10" x14ac:dyDescent="0.3">
      <c r="C81" s="32"/>
      <c r="D81" s="32"/>
      <c r="E81" s="32"/>
      <c r="H81" s="32"/>
      <c r="I81" s="32"/>
      <c r="J81" s="32"/>
    </row>
    <row r="82" spans="3:10" x14ac:dyDescent="0.3">
      <c r="C82" s="32"/>
      <c r="D82" s="32"/>
      <c r="E82" s="32"/>
      <c r="H82" s="32"/>
      <c r="I82" s="32"/>
      <c r="J82" s="32"/>
    </row>
    <row r="83" spans="3:10" x14ac:dyDescent="0.3">
      <c r="C83" s="32"/>
      <c r="D83" s="32"/>
      <c r="E83" s="32"/>
      <c r="H83" s="32"/>
      <c r="I83" s="32"/>
      <c r="J83" s="32"/>
    </row>
    <row r="84" spans="3:10" x14ac:dyDescent="0.3">
      <c r="C84" s="32"/>
      <c r="D84" s="32"/>
      <c r="E84" s="32"/>
      <c r="H84" s="32"/>
      <c r="I84" s="32"/>
      <c r="J84" s="32"/>
    </row>
    <row r="85" spans="3:10" x14ac:dyDescent="0.3">
      <c r="C85" s="32"/>
      <c r="D85" s="32"/>
      <c r="E85" s="32"/>
      <c r="H85" s="32"/>
      <c r="I85" s="32"/>
      <c r="J85" s="32"/>
    </row>
    <row r="86" spans="3:10" x14ac:dyDescent="0.3">
      <c r="C86" s="32"/>
      <c r="D86" s="32"/>
      <c r="E86" s="32"/>
      <c r="H86" s="32"/>
      <c r="I86" s="32"/>
      <c r="J86" s="32"/>
    </row>
    <row r="87" spans="3:10" x14ac:dyDescent="0.3">
      <c r="C87" s="32"/>
      <c r="D87" s="32"/>
      <c r="E87" s="32"/>
      <c r="H87" s="32"/>
      <c r="I87" s="32"/>
      <c r="J87" s="32"/>
    </row>
    <row r="88" spans="3:10" x14ac:dyDescent="0.3">
      <c r="C88" s="32"/>
      <c r="D88" s="32"/>
      <c r="E88" s="32"/>
      <c r="H88" s="32"/>
      <c r="I88" s="32"/>
      <c r="J88" s="32"/>
    </row>
    <row r="89" spans="3:10" x14ac:dyDescent="0.3">
      <c r="C89" s="32"/>
      <c r="D89" s="32"/>
      <c r="E89" s="32"/>
      <c r="H89" s="32"/>
      <c r="I89" s="32"/>
      <c r="J89" s="32"/>
    </row>
    <row r="90" spans="3:10" x14ac:dyDescent="0.3">
      <c r="C90" s="32"/>
      <c r="D90" s="32"/>
      <c r="E90" s="32"/>
      <c r="H90" s="32"/>
      <c r="I90" s="32"/>
      <c r="J90" s="32"/>
    </row>
    <row r="91" spans="3:10" x14ac:dyDescent="0.3">
      <c r="C91" s="32"/>
      <c r="D91" s="32"/>
      <c r="E91" s="32"/>
      <c r="H91" s="32"/>
      <c r="I91" s="32"/>
      <c r="J91" s="32"/>
    </row>
    <row r="92" spans="3:10" x14ac:dyDescent="0.3">
      <c r="C92" s="32"/>
      <c r="D92" s="32"/>
      <c r="E92" s="32"/>
      <c r="H92" s="32"/>
      <c r="I92" s="32"/>
      <c r="J92" s="32"/>
    </row>
    <row r="93" spans="3:10" x14ac:dyDescent="0.3">
      <c r="C93" s="32"/>
      <c r="D93" s="32"/>
      <c r="E93" s="32"/>
      <c r="H93" s="32"/>
      <c r="I93" s="32"/>
      <c r="J93" s="32"/>
    </row>
    <row r="94" spans="3:10" x14ac:dyDescent="0.3">
      <c r="C94" s="32"/>
      <c r="D94" s="32"/>
      <c r="E94" s="32"/>
      <c r="H94" s="32"/>
      <c r="I94" s="32"/>
      <c r="J94" s="32"/>
    </row>
    <row r="95" spans="3:10" x14ac:dyDescent="0.3">
      <c r="C95" s="32"/>
      <c r="D95" s="32"/>
      <c r="E95" s="32"/>
      <c r="H95" s="32"/>
      <c r="I95" s="32"/>
      <c r="J95" s="32"/>
    </row>
    <row r="96" spans="3:10" x14ac:dyDescent="0.3">
      <c r="C96" s="32"/>
      <c r="D96" s="32"/>
      <c r="E96" s="32"/>
      <c r="H96" s="32"/>
      <c r="I96" s="32"/>
      <c r="J96" s="32"/>
    </row>
    <row r="97" spans="3:10" x14ac:dyDescent="0.3">
      <c r="C97" s="32"/>
      <c r="D97" s="32"/>
      <c r="E97" s="32"/>
      <c r="H97" s="32"/>
      <c r="I97" s="32"/>
      <c r="J97" s="32"/>
    </row>
    <row r="98" spans="3:10" x14ac:dyDescent="0.3">
      <c r="C98" s="32"/>
      <c r="D98" s="32"/>
      <c r="E98" s="32"/>
      <c r="H98" s="32"/>
      <c r="I98" s="32"/>
      <c r="J98" s="32"/>
    </row>
    <row r="99" spans="3:10" x14ac:dyDescent="0.3">
      <c r="C99" s="32"/>
      <c r="D99" s="32"/>
      <c r="E99" s="32"/>
      <c r="H99" s="32"/>
      <c r="I99" s="32"/>
      <c r="J99" s="32"/>
    </row>
    <row r="100" spans="3:10" x14ac:dyDescent="0.3">
      <c r="C100" s="32"/>
      <c r="D100" s="32"/>
      <c r="E100" s="32"/>
      <c r="H100" s="32"/>
      <c r="I100" s="32"/>
      <c r="J100" s="32"/>
    </row>
    <row r="101" spans="3:10" x14ac:dyDescent="0.3">
      <c r="C101" s="32"/>
      <c r="D101" s="32"/>
      <c r="E101" s="32"/>
      <c r="H101" s="32"/>
      <c r="I101" s="32"/>
      <c r="J101" s="32"/>
    </row>
    <row r="102" spans="3:10" x14ac:dyDescent="0.3">
      <c r="C102" s="32"/>
      <c r="D102" s="32"/>
      <c r="E102" s="32"/>
      <c r="H102" s="32"/>
      <c r="I102" s="32"/>
      <c r="J102" s="32"/>
    </row>
    <row r="103" spans="3:10" x14ac:dyDescent="0.3">
      <c r="C103" s="32"/>
      <c r="D103" s="32"/>
      <c r="E103" s="32"/>
      <c r="H103" s="32"/>
      <c r="I103" s="32"/>
      <c r="J103" s="32"/>
    </row>
    <row r="104" spans="3:10" x14ac:dyDescent="0.3">
      <c r="C104" s="32"/>
      <c r="D104" s="32"/>
      <c r="E104" s="32"/>
      <c r="H104" s="32"/>
      <c r="I104" s="32"/>
      <c r="J104" s="32"/>
    </row>
    <row r="105" spans="3:10" x14ac:dyDescent="0.3">
      <c r="C105" s="32"/>
      <c r="D105" s="32"/>
      <c r="E105" s="32"/>
      <c r="H105" s="32"/>
      <c r="I105" s="32"/>
      <c r="J105" s="32"/>
    </row>
    <row r="106" spans="3:10" x14ac:dyDescent="0.3">
      <c r="C106" s="32"/>
      <c r="D106" s="32"/>
      <c r="E106" s="32"/>
      <c r="H106" s="32"/>
      <c r="I106" s="32"/>
      <c r="J106" s="32"/>
    </row>
    <row r="107" spans="3:10" x14ac:dyDescent="0.3">
      <c r="C107" s="32"/>
      <c r="D107" s="32"/>
      <c r="E107" s="32"/>
      <c r="H107" s="32"/>
      <c r="I107" s="32"/>
      <c r="J107" s="32"/>
    </row>
    <row r="108" spans="3:10" x14ac:dyDescent="0.3">
      <c r="C108" s="32"/>
      <c r="D108" s="32"/>
      <c r="E108" s="32"/>
      <c r="H108" s="32"/>
      <c r="I108" s="32"/>
      <c r="J108" s="32"/>
    </row>
    <row r="109" spans="3:10" x14ac:dyDescent="0.3">
      <c r="C109" s="32"/>
      <c r="D109" s="32"/>
      <c r="E109" s="32"/>
      <c r="H109" s="32"/>
      <c r="I109" s="32"/>
      <c r="J109" s="32"/>
    </row>
    <row r="110" spans="3:10" x14ac:dyDescent="0.3">
      <c r="C110" s="32"/>
      <c r="D110" s="32"/>
      <c r="E110" s="32"/>
      <c r="H110" s="32"/>
      <c r="I110" s="32"/>
      <c r="J110" s="32"/>
    </row>
    <row r="111" spans="3:10" x14ac:dyDescent="0.3">
      <c r="C111" s="32"/>
      <c r="D111" s="32"/>
      <c r="E111" s="32"/>
      <c r="H111" s="32"/>
      <c r="I111" s="32"/>
      <c r="J111" s="32"/>
    </row>
    <row r="112" spans="3:10" x14ac:dyDescent="0.3">
      <c r="C112" s="32"/>
      <c r="D112" s="32"/>
      <c r="E112" s="32"/>
      <c r="H112" s="32"/>
      <c r="I112" s="32"/>
      <c r="J112" s="32"/>
    </row>
    <row r="113" spans="3:10" x14ac:dyDescent="0.3">
      <c r="C113" s="32"/>
      <c r="D113" s="32"/>
      <c r="E113" s="32"/>
      <c r="H113" s="32"/>
      <c r="I113" s="32"/>
      <c r="J113" s="32"/>
    </row>
    <row r="114" spans="3:10" x14ac:dyDescent="0.3">
      <c r="C114" s="32"/>
      <c r="D114" s="32"/>
      <c r="E114" s="32"/>
      <c r="H114" s="32"/>
      <c r="I114" s="32"/>
      <c r="J114" s="32"/>
    </row>
    <row r="115" spans="3:10" x14ac:dyDescent="0.3">
      <c r="C115" s="32"/>
      <c r="D115" s="32"/>
      <c r="E115" s="32"/>
      <c r="H115" s="32"/>
      <c r="I115" s="32"/>
      <c r="J115" s="32"/>
    </row>
    <row r="116" spans="3:10" x14ac:dyDescent="0.3">
      <c r="C116" s="32"/>
      <c r="D116" s="32"/>
      <c r="E116" s="32"/>
      <c r="H116" s="32"/>
      <c r="I116" s="32"/>
      <c r="J116" s="32"/>
    </row>
    <row r="117" spans="3:10" x14ac:dyDescent="0.3">
      <c r="C117" s="32"/>
      <c r="D117" s="32"/>
      <c r="E117" s="32"/>
      <c r="H117" s="32"/>
      <c r="I117" s="32"/>
      <c r="J117" s="32"/>
    </row>
    <row r="118" spans="3:10" x14ac:dyDescent="0.3">
      <c r="C118" s="32"/>
      <c r="D118" s="32"/>
      <c r="E118" s="32"/>
      <c r="H118" s="32"/>
      <c r="I118" s="32"/>
      <c r="J118" s="32"/>
    </row>
    <row r="119" spans="3:10" x14ac:dyDescent="0.3">
      <c r="C119" s="32"/>
      <c r="D119" s="32"/>
      <c r="E119" s="32"/>
      <c r="H119" s="32"/>
      <c r="I119" s="32"/>
      <c r="J119" s="32"/>
    </row>
    <row r="120" spans="3:10" x14ac:dyDescent="0.3">
      <c r="C120" s="32"/>
      <c r="D120" s="32"/>
      <c r="E120" s="32"/>
      <c r="H120" s="32"/>
      <c r="I120" s="32"/>
      <c r="J120" s="32"/>
    </row>
    <row r="121" spans="3:10" x14ac:dyDescent="0.3">
      <c r="C121" s="32"/>
      <c r="D121" s="32"/>
      <c r="E121" s="32"/>
      <c r="H121" s="32"/>
      <c r="I121" s="32"/>
      <c r="J121" s="32"/>
    </row>
    <row r="122" spans="3:10" x14ac:dyDescent="0.3">
      <c r="C122" s="32"/>
      <c r="D122" s="32"/>
      <c r="E122" s="32"/>
      <c r="H122" s="32"/>
      <c r="I122" s="32"/>
      <c r="J122" s="32"/>
    </row>
    <row r="123" spans="3:10" x14ac:dyDescent="0.3">
      <c r="C123" s="32"/>
      <c r="D123" s="32"/>
      <c r="E123" s="32"/>
      <c r="H123" s="32"/>
      <c r="I123" s="32"/>
      <c r="J123" s="32"/>
    </row>
    <row r="124" spans="3:10" x14ac:dyDescent="0.3">
      <c r="C124" s="32"/>
      <c r="D124" s="32"/>
      <c r="E124" s="32"/>
      <c r="H124" s="32"/>
      <c r="I124" s="32"/>
      <c r="J124" s="32"/>
    </row>
    <row r="125" spans="3:10" x14ac:dyDescent="0.3">
      <c r="C125" s="32"/>
      <c r="D125" s="32"/>
      <c r="E125" s="32"/>
      <c r="H125" s="32"/>
      <c r="I125" s="32"/>
      <c r="J125" s="32"/>
    </row>
    <row r="126" spans="3:10" x14ac:dyDescent="0.3">
      <c r="C126" s="32"/>
      <c r="D126" s="32"/>
      <c r="E126" s="32"/>
      <c r="H126" s="32"/>
      <c r="I126" s="32"/>
      <c r="J126" s="32"/>
    </row>
    <row r="127" spans="3:10" x14ac:dyDescent="0.3">
      <c r="C127" s="32"/>
      <c r="D127" s="32"/>
      <c r="E127" s="32"/>
      <c r="H127" s="32"/>
      <c r="I127" s="32"/>
      <c r="J127" s="32"/>
    </row>
    <row r="128" spans="3:10" x14ac:dyDescent="0.3">
      <c r="C128" s="32"/>
      <c r="D128" s="32"/>
      <c r="E128" s="32"/>
      <c r="H128" s="32"/>
      <c r="I128" s="32"/>
      <c r="J128" s="32"/>
    </row>
    <row r="129" spans="3:10" x14ac:dyDescent="0.3">
      <c r="C129" s="32"/>
      <c r="D129" s="32"/>
      <c r="E129" s="32"/>
      <c r="H129" s="32"/>
      <c r="I129" s="32"/>
      <c r="J129" s="32"/>
    </row>
    <row r="130" spans="3:10" x14ac:dyDescent="0.3">
      <c r="C130" s="32"/>
      <c r="D130" s="32"/>
      <c r="E130" s="32"/>
      <c r="H130" s="32"/>
      <c r="I130" s="32"/>
      <c r="J130" s="32"/>
    </row>
    <row r="131" spans="3:10" x14ac:dyDescent="0.3">
      <c r="C131" s="32"/>
      <c r="D131" s="32"/>
      <c r="E131" s="32"/>
      <c r="H131" s="32"/>
      <c r="I131" s="32"/>
      <c r="J131" s="32"/>
    </row>
    <row r="132" spans="3:10" x14ac:dyDescent="0.3">
      <c r="C132" s="32"/>
      <c r="D132" s="32"/>
      <c r="E132" s="32"/>
      <c r="H132" s="32"/>
      <c r="I132" s="32"/>
      <c r="J132" s="32"/>
    </row>
    <row r="133" spans="3:10" x14ac:dyDescent="0.3">
      <c r="C133" s="32"/>
      <c r="D133" s="32"/>
      <c r="E133" s="32"/>
      <c r="H133" s="32"/>
      <c r="I133" s="32"/>
      <c r="J133" s="32"/>
    </row>
    <row r="134" spans="3:10" x14ac:dyDescent="0.3">
      <c r="C134" s="32"/>
      <c r="D134" s="32"/>
      <c r="E134" s="32"/>
      <c r="H134" s="32"/>
      <c r="I134" s="32"/>
      <c r="J134" s="32"/>
    </row>
  </sheetData>
  <mergeCells count="2">
    <mergeCell ref="B2:E2"/>
    <mergeCell ref="G2:J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136"/>
  <sheetViews>
    <sheetView topLeftCell="B23" zoomScale="85" zoomScaleNormal="85" workbookViewId="0">
      <selection activeCell="C39" sqref="C39:G39"/>
    </sheetView>
  </sheetViews>
  <sheetFormatPr defaultColWidth="7.88671875" defaultRowHeight="15" customHeight="1" x14ac:dyDescent="0.3"/>
  <cols>
    <col min="1" max="1" width="7.88671875" style="292"/>
    <col min="2" max="2" width="7.44140625" style="292" customWidth="1"/>
    <col min="3" max="10" width="9" style="292" customWidth="1"/>
    <col min="11" max="11" width="7.88671875" style="292"/>
    <col min="12" max="12" width="7.88671875" style="292" customWidth="1"/>
    <col min="13" max="16384" width="7.88671875" style="292"/>
  </cols>
  <sheetData>
    <row r="2" spans="2:24" ht="15" customHeight="1" x14ac:dyDescent="0.3">
      <c r="B2" s="847" t="s">
        <v>141</v>
      </c>
      <c r="C2" s="847"/>
      <c r="D2" s="847"/>
      <c r="E2" s="847"/>
      <c r="F2" s="847"/>
      <c r="G2" s="847"/>
      <c r="H2" s="847"/>
      <c r="I2" s="847"/>
      <c r="J2" s="847"/>
    </row>
    <row r="4" spans="2:24" ht="15" customHeight="1" x14ac:dyDescent="0.3">
      <c r="B4" s="846" t="s">
        <v>142</v>
      </c>
      <c r="C4" s="846" t="s">
        <v>205</v>
      </c>
      <c r="D4" s="846"/>
      <c r="E4" s="846"/>
      <c r="F4" s="846"/>
      <c r="G4" s="846"/>
      <c r="H4" s="846"/>
      <c r="I4" s="846"/>
      <c r="J4" s="846"/>
    </row>
    <row r="5" spans="2:24" ht="15" customHeight="1" x14ac:dyDescent="0.3">
      <c r="B5" s="846"/>
      <c r="C5" s="293">
        <v>0.995</v>
      </c>
      <c r="D5" s="293">
        <v>0.99</v>
      </c>
      <c r="E5" s="293">
        <v>0.97499999999999998</v>
      </c>
      <c r="F5" s="293">
        <v>0.95</v>
      </c>
      <c r="G5" s="790">
        <v>0.05</v>
      </c>
      <c r="H5" s="293">
        <v>2.5000000000000001E-2</v>
      </c>
      <c r="I5" s="293">
        <v>0.01</v>
      </c>
      <c r="J5" s="293">
        <v>5.0000000000000001E-3</v>
      </c>
      <c r="M5" s="792"/>
      <c r="N5" s="292" t="s">
        <v>4814</v>
      </c>
    </row>
    <row r="6" spans="2:24" ht="15" customHeight="1" x14ac:dyDescent="0.3">
      <c r="B6" s="293">
        <v>1</v>
      </c>
      <c r="C6" s="293">
        <v>2</v>
      </c>
      <c r="D6" s="293">
        <v>3</v>
      </c>
      <c r="E6" s="293">
        <v>4</v>
      </c>
      <c r="F6" s="293">
        <v>5</v>
      </c>
      <c r="G6" s="293">
        <v>6</v>
      </c>
      <c r="H6" s="293">
        <v>7</v>
      </c>
      <c r="I6" s="293">
        <v>8</v>
      </c>
      <c r="J6" s="293">
        <v>9</v>
      </c>
      <c r="L6" s="294"/>
      <c r="M6" s="794"/>
      <c r="N6" s="795" t="s">
        <v>4815</v>
      </c>
      <c r="O6" s="294"/>
      <c r="P6" s="294"/>
      <c r="Q6" s="294"/>
      <c r="R6" s="294"/>
      <c r="S6" s="294"/>
      <c r="T6" s="294"/>
      <c r="U6" s="294"/>
      <c r="V6" s="294"/>
      <c r="W6" s="294"/>
      <c r="X6" s="294"/>
    </row>
    <row r="7" spans="2:24" ht="15" customHeight="1" x14ac:dyDescent="0.3">
      <c r="B7" s="793">
        <v>1</v>
      </c>
      <c r="C7" s="296">
        <v>0</v>
      </c>
      <c r="D7" s="296">
        <v>0</v>
      </c>
      <c r="E7" s="296">
        <v>1E-3</v>
      </c>
      <c r="F7" s="297">
        <v>4.0000000000000001E-3</v>
      </c>
      <c r="G7" s="297">
        <v>3.8410000000000002</v>
      </c>
      <c r="H7" s="297">
        <v>5.024</v>
      </c>
      <c r="I7" s="297">
        <v>6.6349999999999998</v>
      </c>
      <c r="J7" s="297">
        <v>7.8789999999999996</v>
      </c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</row>
    <row r="8" spans="2:24" ht="15" customHeight="1" x14ac:dyDescent="0.3">
      <c r="B8" s="791">
        <f t="shared" ref="B8:B36" si="0">B7+1</f>
        <v>2</v>
      </c>
      <c r="C8" s="296">
        <v>0.01</v>
      </c>
      <c r="D8" s="296">
        <v>0.02</v>
      </c>
      <c r="E8" s="296">
        <v>5.0999999999999997E-2</v>
      </c>
      <c r="F8" s="297">
        <v>0.10299999999999999</v>
      </c>
      <c r="G8" s="297">
        <v>5.9909999999999997</v>
      </c>
      <c r="H8" s="297">
        <v>7.3780000000000001</v>
      </c>
      <c r="I8" s="297">
        <v>9.2100000000000009</v>
      </c>
      <c r="J8" s="297">
        <v>10.597</v>
      </c>
      <c r="L8" s="294"/>
      <c r="M8" s="294"/>
      <c r="N8" s="294"/>
      <c r="O8" s="294"/>
      <c r="P8" s="294"/>
      <c r="Q8" s="294"/>
      <c r="R8" s="294"/>
      <c r="S8" s="294"/>
      <c r="T8" s="294"/>
      <c r="U8" s="294"/>
      <c r="V8" s="294"/>
      <c r="W8" s="294"/>
      <c r="X8" s="294"/>
    </row>
    <row r="9" spans="2:24" ht="15" customHeight="1" x14ac:dyDescent="0.3">
      <c r="B9" s="295">
        <f t="shared" si="0"/>
        <v>3</v>
      </c>
      <c r="C9" s="296">
        <v>7.1999999999999995E-2</v>
      </c>
      <c r="D9" s="296">
        <v>0.115</v>
      </c>
      <c r="E9" s="296">
        <v>0.216</v>
      </c>
      <c r="F9" s="297">
        <v>0.35199999999999998</v>
      </c>
      <c r="G9" s="297">
        <v>7.8150000000000004</v>
      </c>
      <c r="H9" s="297">
        <v>9.3480000000000008</v>
      </c>
      <c r="I9" s="297">
        <v>11.345000000000001</v>
      </c>
      <c r="J9" s="297">
        <v>12.837999999999999</v>
      </c>
    </row>
    <row r="10" spans="2:24" ht="15" customHeight="1" x14ac:dyDescent="0.3">
      <c r="B10" s="295">
        <f t="shared" si="0"/>
        <v>4</v>
      </c>
      <c r="C10" s="296">
        <v>0.20699999999999999</v>
      </c>
      <c r="D10" s="296">
        <v>0.29699999999999999</v>
      </c>
      <c r="E10" s="296">
        <v>0.48399999999999999</v>
      </c>
      <c r="F10" s="297">
        <v>0.71099999999999997</v>
      </c>
      <c r="G10" s="297">
        <v>9.4879999999999995</v>
      </c>
      <c r="H10" s="297">
        <v>11.143000000000001</v>
      </c>
      <c r="I10" s="297">
        <v>13.276999999999999</v>
      </c>
      <c r="J10" s="297">
        <v>14.86</v>
      </c>
    </row>
    <row r="11" spans="2:24" ht="15" customHeight="1" x14ac:dyDescent="0.3">
      <c r="B11" s="295">
        <f t="shared" si="0"/>
        <v>5</v>
      </c>
      <c r="C11" s="296">
        <v>0.41199999999999998</v>
      </c>
      <c r="D11" s="296">
        <v>0.55400000000000005</v>
      </c>
      <c r="E11" s="296">
        <v>0.83099999999999996</v>
      </c>
      <c r="F11" s="297">
        <v>1.145</v>
      </c>
      <c r="G11" s="297">
        <v>11.07</v>
      </c>
      <c r="H11" s="297">
        <v>12.832000000000001</v>
      </c>
      <c r="I11" s="297">
        <v>15.086</v>
      </c>
      <c r="J11" s="297">
        <v>16.75</v>
      </c>
    </row>
    <row r="12" spans="2:24" ht="15" customHeight="1" x14ac:dyDescent="0.3">
      <c r="B12" s="295">
        <f t="shared" si="0"/>
        <v>6</v>
      </c>
      <c r="C12" s="296">
        <v>0.67600000000000005</v>
      </c>
      <c r="D12" s="296">
        <v>0.872</v>
      </c>
      <c r="E12" s="296">
        <v>1.2370000000000001</v>
      </c>
      <c r="F12" s="297">
        <v>1.635</v>
      </c>
      <c r="G12" s="297">
        <v>12.592000000000001</v>
      </c>
      <c r="H12" s="297">
        <v>14.449</v>
      </c>
      <c r="I12" s="297">
        <v>16.812000000000001</v>
      </c>
      <c r="J12" s="297">
        <v>18.547999999999998</v>
      </c>
    </row>
    <row r="13" spans="2:24" ht="15" customHeight="1" x14ac:dyDescent="0.3">
      <c r="B13" s="295">
        <f t="shared" si="0"/>
        <v>7</v>
      </c>
      <c r="C13" s="296">
        <v>0.98899999999999999</v>
      </c>
      <c r="D13" s="296">
        <v>1.2390000000000001</v>
      </c>
      <c r="E13" s="296">
        <v>1.69</v>
      </c>
      <c r="F13" s="297">
        <v>2.1669999999999998</v>
      </c>
      <c r="G13" s="297">
        <v>14.067</v>
      </c>
      <c r="H13" s="297">
        <v>16.013000000000002</v>
      </c>
      <c r="I13" s="297">
        <v>18.475000000000001</v>
      </c>
      <c r="J13" s="297">
        <v>20.277999999999999</v>
      </c>
    </row>
    <row r="14" spans="2:24" ht="15" customHeight="1" x14ac:dyDescent="0.3">
      <c r="B14" s="295">
        <f t="shared" si="0"/>
        <v>8</v>
      </c>
      <c r="C14" s="296">
        <v>1.3440000000000001</v>
      </c>
      <c r="D14" s="296">
        <v>1.6459999999999999</v>
      </c>
      <c r="E14" s="296">
        <v>2.1800000000000002</v>
      </c>
      <c r="F14" s="297">
        <v>2.7330000000000001</v>
      </c>
      <c r="G14" s="297">
        <v>15.507</v>
      </c>
      <c r="H14" s="297">
        <v>17.535</v>
      </c>
      <c r="I14" s="297">
        <v>20.09</v>
      </c>
      <c r="J14" s="297">
        <v>21.954999999999998</v>
      </c>
    </row>
    <row r="15" spans="2:24" ht="15" customHeight="1" x14ac:dyDescent="0.3">
      <c r="B15" s="295">
        <f t="shared" si="0"/>
        <v>9</v>
      </c>
      <c r="C15" s="296">
        <v>1.7350000000000001</v>
      </c>
      <c r="D15" s="296">
        <v>2.0880000000000001</v>
      </c>
      <c r="E15" s="296">
        <v>2.7</v>
      </c>
      <c r="F15" s="297">
        <v>3.3250000000000002</v>
      </c>
      <c r="G15" s="297">
        <v>16.919</v>
      </c>
      <c r="H15" s="297">
        <v>19.023</v>
      </c>
      <c r="I15" s="297">
        <v>21.666</v>
      </c>
      <c r="J15" s="297">
        <v>23.588999999999999</v>
      </c>
    </row>
    <row r="16" spans="2:24" ht="15" customHeight="1" x14ac:dyDescent="0.3">
      <c r="B16" s="295">
        <f t="shared" si="0"/>
        <v>10</v>
      </c>
      <c r="C16" s="296">
        <v>2.1560000000000001</v>
      </c>
      <c r="D16" s="296">
        <v>2.5579999999999998</v>
      </c>
      <c r="E16" s="296">
        <v>3.2469999999999999</v>
      </c>
      <c r="F16" s="297">
        <v>3.94</v>
      </c>
      <c r="G16" s="297">
        <v>18.306999999999999</v>
      </c>
      <c r="H16" s="297">
        <v>20.483000000000001</v>
      </c>
      <c r="I16" s="297">
        <v>23.209</v>
      </c>
      <c r="J16" s="297">
        <v>25.187999999999999</v>
      </c>
    </row>
    <row r="17" spans="2:10" ht="15" customHeight="1" x14ac:dyDescent="0.3">
      <c r="B17" s="295">
        <f t="shared" si="0"/>
        <v>11</v>
      </c>
      <c r="C17" s="296">
        <v>2.6030000000000002</v>
      </c>
      <c r="D17" s="296">
        <v>3.0529999999999999</v>
      </c>
      <c r="E17" s="296">
        <v>3.8159999999999998</v>
      </c>
      <c r="F17" s="297">
        <v>4.5750000000000002</v>
      </c>
      <c r="G17" s="297">
        <v>19.675000000000001</v>
      </c>
      <c r="H17" s="297">
        <v>21.92</v>
      </c>
      <c r="I17" s="297">
        <v>24.725000000000001</v>
      </c>
      <c r="J17" s="297">
        <v>26.757000000000001</v>
      </c>
    </row>
    <row r="18" spans="2:10" ht="15" customHeight="1" x14ac:dyDescent="0.3">
      <c r="B18" s="295">
        <f t="shared" si="0"/>
        <v>12</v>
      </c>
      <c r="C18" s="296">
        <v>3.0739999999999998</v>
      </c>
      <c r="D18" s="296">
        <v>3.5710000000000002</v>
      </c>
      <c r="E18" s="296">
        <v>4.4039999999999999</v>
      </c>
      <c r="F18" s="297">
        <v>5.226</v>
      </c>
      <c r="G18" s="297">
        <v>21.026</v>
      </c>
      <c r="H18" s="297">
        <v>23.337</v>
      </c>
      <c r="I18" s="297">
        <v>26.216999999999999</v>
      </c>
      <c r="J18" s="297">
        <v>28.3</v>
      </c>
    </row>
    <row r="19" spans="2:10" ht="15" customHeight="1" x14ac:dyDescent="0.3">
      <c r="B19" s="295">
        <f t="shared" si="0"/>
        <v>13</v>
      </c>
      <c r="C19" s="296">
        <v>3.5649999999999999</v>
      </c>
      <c r="D19" s="296">
        <v>4.1070000000000002</v>
      </c>
      <c r="E19" s="296">
        <v>5.0090000000000003</v>
      </c>
      <c r="F19" s="297">
        <v>5.8920000000000003</v>
      </c>
      <c r="G19" s="297">
        <v>22.361999999999998</v>
      </c>
      <c r="H19" s="297">
        <v>24.736000000000001</v>
      </c>
      <c r="I19" s="297">
        <v>27.687999999999999</v>
      </c>
      <c r="J19" s="297">
        <v>28.818999999999999</v>
      </c>
    </row>
    <row r="20" spans="2:10" ht="15" customHeight="1" x14ac:dyDescent="0.3">
      <c r="B20" s="295">
        <f t="shared" si="0"/>
        <v>14</v>
      </c>
      <c r="C20" s="296">
        <v>4.0750000000000002</v>
      </c>
      <c r="D20" s="296">
        <v>4.66</v>
      </c>
      <c r="E20" s="296">
        <v>5.6289999999999996</v>
      </c>
      <c r="F20" s="297">
        <v>6.5709999999999997</v>
      </c>
      <c r="G20" s="297">
        <v>23.684999999999999</v>
      </c>
      <c r="H20" s="297">
        <v>26.119</v>
      </c>
      <c r="I20" s="297">
        <v>29.140999999999998</v>
      </c>
      <c r="J20" s="297">
        <v>31.318999999999999</v>
      </c>
    </row>
    <row r="21" spans="2:10" ht="15" customHeight="1" x14ac:dyDescent="0.3">
      <c r="B21" s="295">
        <f t="shared" si="0"/>
        <v>15</v>
      </c>
      <c r="C21" s="296">
        <v>4.601</v>
      </c>
      <c r="D21" s="296">
        <v>5.2290000000000001</v>
      </c>
      <c r="E21" s="296">
        <v>6.2619999999999996</v>
      </c>
      <c r="F21" s="297">
        <v>7.2610000000000001</v>
      </c>
      <c r="G21" s="297">
        <v>24.995999999999999</v>
      </c>
      <c r="H21" s="297">
        <v>27.488</v>
      </c>
      <c r="I21" s="297">
        <v>30.577999999999999</v>
      </c>
      <c r="J21" s="297">
        <v>32.801000000000002</v>
      </c>
    </row>
    <row r="22" spans="2:10" ht="15" customHeight="1" x14ac:dyDescent="0.3">
      <c r="B22" s="295">
        <f t="shared" si="0"/>
        <v>16</v>
      </c>
      <c r="C22" s="296">
        <v>5.1420000000000003</v>
      </c>
      <c r="D22" s="296">
        <v>5.8120000000000003</v>
      </c>
      <c r="E22" s="296">
        <v>6.9080000000000004</v>
      </c>
      <c r="F22" s="297">
        <v>7.9619999999999997</v>
      </c>
      <c r="G22" s="297">
        <v>26.295999999999999</v>
      </c>
      <c r="H22" s="297">
        <v>28.844999999999999</v>
      </c>
      <c r="I22" s="297">
        <v>32</v>
      </c>
      <c r="J22" s="297">
        <v>34.267000000000003</v>
      </c>
    </row>
    <row r="23" spans="2:10" ht="15" customHeight="1" x14ac:dyDescent="0.3">
      <c r="B23" s="295">
        <f t="shared" si="0"/>
        <v>17</v>
      </c>
      <c r="C23" s="296">
        <v>5.6970000000000001</v>
      </c>
      <c r="D23" s="296">
        <v>6.4080000000000004</v>
      </c>
      <c r="E23" s="296">
        <v>7.5640000000000001</v>
      </c>
      <c r="F23" s="297">
        <v>8.6720000000000006</v>
      </c>
      <c r="G23" s="297">
        <v>27.587</v>
      </c>
      <c r="H23" s="297">
        <v>30.190999999999999</v>
      </c>
      <c r="I23" s="297">
        <v>33.408999999999999</v>
      </c>
      <c r="J23" s="297">
        <v>35.718000000000004</v>
      </c>
    </row>
    <row r="24" spans="2:10" ht="15" customHeight="1" x14ac:dyDescent="0.3">
      <c r="B24" s="295">
        <f t="shared" si="0"/>
        <v>18</v>
      </c>
      <c r="C24" s="296">
        <v>6.2649999999999997</v>
      </c>
      <c r="D24" s="296">
        <v>7.0149999999999997</v>
      </c>
      <c r="E24" s="296">
        <v>8.2309999999999999</v>
      </c>
      <c r="F24" s="297">
        <v>9.39</v>
      </c>
      <c r="G24" s="297">
        <v>28.869</v>
      </c>
      <c r="H24" s="297">
        <v>31.526</v>
      </c>
      <c r="I24" s="297">
        <v>34.805</v>
      </c>
      <c r="J24" s="297">
        <v>37.155999999999999</v>
      </c>
    </row>
    <row r="25" spans="2:10" ht="15" customHeight="1" x14ac:dyDescent="0.3">
      <c r="B25" s="295">
        <f t="shared" si="0"/>
        <v>19</v>
      </c>
      <c r="C25" s="296">
        <v>6.8440000000000003</v>
      </c>
      <c r="D25" s="296">
        <v>7.633</v>
      </c>
      <c r="E25" s="296">
        <v>8.907</v>
      </c>
      <c r="F25" s="297">
        <v>10.117000000000001</v>
      </c>
      <c r="G25" s="297">
        <v>30.143999999999998</v>
      </c>
      <c r="H25" s="297">
        <v>32.851999999999997</v>
      </c>
      <c r="I25" s="297">
        <v>36.191000000000003</v>
      </c>
      <c r="J25" s="297">
        <v>38.582000000000001</v>
      </c>
    </row>
    <row r="26" spans="2:10" ht="15" customHeight="1" x14ac:dyDescent="0.3">
      <c r="B26" s="295">
        <f t="shared" si="0"/>
        <v>20</v>
      </c>
      <c r="C26" s="296">
        <v>7.4340000000000002</v>
      </c>
      <c r="D26" s="296">
        <v>8.26</v>
      </c>
      <c r="E26" s="296">
        <v>9.5909999999999993</v>
      </c>
      <c r="F26" s="297">
        <v>10.851000000000001</v>
      </c>
      <c r="G26" s="297">
        <v>31.41</v>
      </c>
      <c r="H26" s="297">
        <v>34.17</v>
      </c>
      <c r="I26" s="297">
        <v>37.566000000000003</v>
      </c>
      <c r="J26" s="297">
        <v>39.997</v>
      </c>
    </row>
    <row r="27" spans="2:10" ht="15" customHeight="1" x14ac:dyDescent="0.3">
      <c r="B27" s="295">
        <f t="shared" si="0"/>
        <v>21</v>
      </c>
      <c r="C27" s="296">
        <v>8.0340000000000007</v>
      </c>
      <c r="D27" s="296">
        <v>8.8970000000000002</v>
      </c>
      <c r="E27" s="296">
        <v>10.282999999999999</v>
      </c>
      <c r="F27" s="297">
        <v>11.590999999999999</v>
      </c>
      <c r="G27" s="297">
        <v>32.670999999999999</v>
      </c>
      <c r="H27" s="297">
        <v>35.478999999999999</v>
      </c>
      <c r="I27" s="297">
        <v>38.932000000000002</v>
      </c>
      <c r="J27" s="297">
        <v>41.401000000000003</v>
      </c>
    </row>
    <row r="28" spans="2:10" ht="15" customHeight="1" x14ac:dyDescent="0.3">
      <c r="B28" s="295">
        <f t="shared" si="0"/>
        <v>22</v>
      </c>
      <c r="C28" s="296">
        <v>8.6430000000000007</v>
      </c>
      <c r="D28" s="296">
        <v>9.5419999999999998</v>
      </c>
      <c r="E28" s="296">
        <v>10.981999999999999</v>
      </c>
      <c r="F28" s="297">
        <v>12.337999999999999</v>
      </c>
      <c r="G28" s="297">
        <v>33.923999999999999</v>
      </c>
      <c r="H28" s="297">
        <v>36.780999999999999</v>
      </c>
      <c r="I28" s="297">
        <v>40.289000000000001</v>
      </c>
      <c r="J28" s="297">
        <v>42.975999999999999</v>
      </c>
    </row>
    <row r="29" spans="2:10" ht="15" customHeight="1" x14ac:dyDescent="0.3">
      <c r="B29" s="295">
        <f t="shared" si="0"/>
        <v>23</v>
      </c>
      <c r="C29" s="296">
        <v>9.26</v>
      </c>
      <c r="D29" s="296">
        <v>10.196</v>
      </c>
      <c r="E29" s="296">
        <v>11.689</v>
      </c>
      <c r="F29" s="297">
        <v>13.090999999999999</v>
      </c>
      <c r="G29" s="297">
        <v>36.171999999999997</v>
      </c>
      <c r="H29" s="297">
        <v>38.076000000000001</v>
      </c>
      <c r="I29" s="297">
        <v>41.637999999999998</v>
      </c>
      <c r="J29" s="297">
        <v>44.180999999999997</v>
      </c>
    </row>
    <row r="30" spans="2:10" ht="15" customHeight="1" x14ac:dyDescent="0.3">
      <c r="B30" s="295">
        <f t="shared" si="0"/>
        <v>24</v>
      </c>
      <c r="C30" s="296">
        <v>9.8859999999999992</v>
      </c>
      <c r="D30" s="296">
        <v>10.856</v>
      </c>
      <c r="E30" s="296">
        <v>12.401</v>
      </c>
      <c r="F30" s="297">
        <v>13.848000000000001</v>
      </c>
      <c r="G30" s="297">
        <v>36.414999999999999</v>
      </c>
      <c r="H30" s="297">
        <v>39.363999999999997</v>
      </c>
      <c r="I30" s="297">
        <v>42.98</v>
      </c>
      <c r="J30" s="297">
        <v>45.558</v>
      </c>
    </row>
    <row r="31" spans="2:10" ht="15" customHeight="1" x14ac:dyDescent="0.3">
      <c r="B31" s="295">
        <f t="shared" si="0"/>
        <v>25</v>
      </c>
      <c r="C31" s="296">
        <v>10.52</v>
      </c>
      <c r="D31" s="296">
        <v>11.523999999999999</v>
      </c>
      <c r="E31" s="296">
        <v>13.12</v>
      </c>
      <c r="F31" s="297">
        <v>14.611000000000001</v>
      </c>
      <c r="G31" s="297">
        <v>37.652000000000001</v>
      </c>
      <c r="H31" s="297">
        <v>40.646000000000001</v>
      </c>
      <c r="I31" s="297">
        <v>44.314</v>
      </c>
      <c r="J31" s="297">
        <v>46.927999999999997</v>
      </c>
    </row>
    <row r="32" spans="2:10" ht="15" customHeight="1" x14ac:dyDescent="0.3">
      <c r="B32" s="295">
        <f t="shared" si="0"/>
        <v>26</v>
      </c>
      <c r="C32" s="296">
        <v>11.16</v>
      </c>
      <c r="D32" s="296">
        <v>12.198</v>
      </c>
      <c r="E32" s="296">
        <v>13.843999999999999</v>
      </c>
      <c r="F32" s="297">
        <v>15.379</v>
      </c>
      <c r="G32" s="297">
        <v>38.884999999999998</v>
      </c>
      <c r="H32" s="297">
        <v>41.923000000000002</v>
      </c>
      <c r="I32" s="297">
        <v>45.642000000000003</v>
      </c>
      <c r="J32" s="297">
        <v>48.29</v>
      </c>
    </row>
    <row r="33" spans="2:10" ht="15" customHeight="1" x14ac:dyDescent="0.3">
      <c r="B33" s="295">
        <f t="shared" si="0"/>
        <v>27</v>
      </c>
      <c r="C33" s="296">
        <v>11.808</v>
      </c>
      <c r="D33" s="296">
        <v>12.879</v>
      </c>
      <c r="E33" s="296">
        <v>14.573</v>
      </c>
      <c r="F33" s="297">
        <v>16.151</v>
      </c>
      <c r="G33" s="297">
        <v>40.113</v>
      </c>
      <c r="H33" s="297">
        <v>43.194000000000003</v>
      </c>
      <c r="I33" s="297">
        <v>46.963000000000001</v>
      </c>
      <c r="J33" s="297">
        <v>49.645000000000003</v>
      </c>
    </row>
    <row r="34" spans="2:10" ht="15" customHeight="1" x14ac:dyDescent="0.3">
      <c r="B34" s="295">
        <f t="shared" si="0"/>
        <v>28</v>
      </c>
      <c r="C34" s="296">
        <v>12.461</v>
      </c>
      <c r="D34" s="296">
        <v>13.565</v>
      </c>
      <c r="E34" s="296">
        <v>15.308</v>
      </c>
      <c r="F34" s="297">
        <v>16.928000000000001</v>
      </c>
      <c r="G34" s="297">
        <v>41.337000000000003</v>
      </c>
      <c r="H34" s="297">
        <v>44.460999999999999</v>
      </c>
      <c r="I34" s="292">
        <v>48.277999999999999</v>
      </c>
      <c r="J34" s="297">
        <v>50.993000000000002</v>
      </c>
    </row>
    <row r="35" spans="2:10" ht="15" customHeight="1" x14ac:dyDescent="0.3">
      <c r="B35" s="295">
        <f t="shared" si="0"/>
        <v>29</v>
      </c>
      <c r="C35" s="296">
        <v>13.121</v>
      </c>
      <c r="D35" s="296">
        <v>14.256</v>
      </c>
      <c r="E35" s="296">
        <v>16.407</v>
      </c>
      <c r="F35" s="297">
        <v>17.707999999999998</v>
      </c>
      <c r="G35" s="297">
        <v>42.557000000000002</v>
      </c>
      <c r="H35" s="297">
        <v>45.722000000000001</v>
      </c>
      <c r="I35" s="297">
        <v>49.588000000000001</v>
      </c>
      <c r="J35" s="297">
        <v>52.335999999999999</v>
      </c>
    </row>
    <row r="36" spans="2:10" ht="15" customHeight="1" x14ac:dyDescent="0.3">
      <c r="B36" s="298">
        <f t="shared" si="0"/>
        <v>30</v>
      </c>
      <c r="C36" s="299">
        <v>13.787000000000001</v>
      </c>
      <c r="D36" s="299">
        <v>14.952999999999999</v>
      </c>
      <c r="E36" s="299">
        <v>16.791</v>
      </c>
      <c r="F36" s="300">
        <v>18.492999999999999</v>
      </c>
      <c r="G36" s="300">
        <v>43.773000000000003</v>
      </c>
      <c r="H36" s="300">
        <v>46.978999999999999</v>
      </c>
      <c r="I36" s="300">
        <v>50.892000000000003</v>
      </c>
      <c r="J36" s="300">
        <v>53.671999999999997</v>
      </c>
    </row>
    <row r="37" spans="2:10" ht="15" customHeight="1" x14ac:dyDescent="0.3">
      <c r="C37" s="301"/>
      <c r="D37" s="302"/>
      <c r="E37" s="302"/>
    </row>
    <row r="38" spans="2:10" ht="15" customHeight="1" x14ac:dyDescent="0.3">
      <c r="C38" s="1027" t="s">
        <v>4822</v>
      </c>
      <c r="D38" s="1027"/>
      <c r="E38" s="1027"/>
      <c r="F38" s="1027"/>
      <c r="G38" s="1027"/>
    </row>
    <row r="39" spans="2:10" ht="15" customHeight="1" x14ac:dyDescent="0.3">
      <c r="C39" s="1022" t="s">
        <v>4562</v>
      </c>
      <c r="D39" s="1022"/>
      <c r="E39" s="1022"/>
      <c r="F39" s="1022"/>
      <c r="G39" s="1022"/>
    </row>
    <row r="40" spans="2:10" ht="15" customHeight="1" x14ac:dyDescent="0.3">
      <c r="B40" s="1026" t="s">
        <v>191</v>
      </c>
      <c r="C40" s="1023">
        <v>0.2</v>
      </c>
      <c r="D40" s="1023">
        <v>0.1</v>
      </c>
      <c r="E40" s="1023">
        <v>0.05</v>
      </c>
      <c r="F40" s="1023">
        <v>0.02</v>
      </c>
      <c r="G40" s="1023">
        <v>0.01</v>
      </c>
    </row>
    <row r="41" spans="2:10" ht="15" customHeight="1" x14ac:dyDescent="0.3">
      <c r="B41" s="1024">
        <v>1</v>
      </c>
      <c r="C41" s="1025">
        <v>0.9</v>
      </c>
      <c r="D41" s="1025">
        <v>0.95</v>
      </c>
      <c r="E41" s="1025">
        <v>0.97499999999999998</v>
      </c>
      <c r="F41" s="1025">
        <v>0.99</v>
      </c>
      <c r="G41" s="1025">
        <v>0.995</v>
      </c>
    </row>
    <row r="42" spans="2:10" ht="15" customHeight="1" x14ac:dyDescent="0.3">
      <c r="B42" s="1024">
        <v>2</v>
      </c>
      <c r="C42" s="1025">
        <v>0.68400000000000005</v>
      </c>
      <c r="D42" s="1025">
        <v>0.77600000000000002</v>
      </c>
      <c r="E42" s="1025">
        <v>0.84199999999999997</v>
      </c>
      <c r="F42" s="1025">
        <v>0.9</v>
      </c>
      <c r="G42" s="1025">
        <v>0.92900000000000005</v>
      </c>
      <c r="J42" s="1028"/>
    </row>
    <row r="43" spans="2:10" ht="15" customHeight="1" x14ac:dyDescent="0.3">
      <c r="B43" s="1024">
        <v>3</v>
      </c>
      <c r="C43" s="1025">
        <v>0.56499999999999995</v>
      </c>
      <c r="D43" s="1025">
        <v>0.63600000000000001</v>
      </c>
      <c r="E43" s="1025">
        <v>0.70799999999999996</v>
      </c>
      <c r="F43" s="1025">
        <v>0.78500000000000003</v>
      </c>
      <c r="G43" s="1025">
        <v>0.82899999999999996</v>
      </c>
    </row>
    <row r="44" spans="2:10" ht="15" customHeight="1" x14ac:dyDescent="0.3">
      <c r="B44" s="1024">
        <v>4</v>
      </c>
      <c r="C44" s="1025">
        <v>0.49299999999999999</v>
      </c>
      <c r="D44" s="1025">
        <v>0.56499999999999995</v>
      </c>
      <c r="E44" s="1025">
        <v>0.624</v>
      </c>
      <c r="F44" s="1025">
        <v>0.68899999999999995</v>
      </c>
      <c r="G44" s="1025">
        <v>0.73399999999999999</v>
      </c>
    </row>
    <row r="45" spans="2:10" ht="15" customHeight="1" x14ac:dyDescent="0.3">
      <c r="B45" s="1024">
        <v>5</v>
      </c>
      <c r="C45" s="1025">
        <v>0.44700000000000001</v>
      </c>
      <c r="D45" s="1025">
        <v>0.50900000000000001</v>
      </c>
      <c r="E45" s="1025">
        <v>0.56299999999999994</v>
      </c>
      <c r="F45" s="1025">
        <v>0.627</v>
      </c>
      <c r="G45" s="1025">
        <v>0.66900000000000004</v>
      </c>
    </row>
    <row r="46" spans="2:10" ht="15" customHeight="1" x14ac:dyDescent="0.3">
      <c r="B46" s="1024">
        <v>6</v>
      </c>
      <c r="C46" s="1025">
        <v>0.41</v>
      </c>
      <c r="D46" s="1025">
        <v>0.46800000000000003</v>
      </c>
      <c r="E46" s="1025">
        <v>0.51900000000000002</v>
      </c>
      <c r="F46" s="1025">
        <v>0.57699999999999996</v>
      </c>
      <c r="G46" s="1025">
        <v>0.61699999999999999</v>
      </c>
    </row>
    <row r="47" spans="2:10" ht="15" customHeight="1" x14ac:dyDescent="0.3">
      <c r="B47" s="1024">
        <v>7</v>
      </c>
      <c r="C47" s="1025">
        <v>0.38100000000000001</v>
      </c>
      <c r="D47" s="1025">
        <v>0.436</v>
      </c>
      <c r="E47" s="1025">
        <v>0.48299999999999998</v>
      </c>
      <c r="F47" s="1025">
        <v>0.53800000000000003</v>
      </c>
      <c r="G47" s="1025">
        <v>0.57599999999999996</v>
      </c>
    </row>
    <row r="48" spans="2:10" ht="15" customHeight="1" x14ac:dyDescent="0.3">
      <c r="B48" s="1024">
        <v>8</v>
      </c>
      <c r="C48" s="1025">
        <v>0.35899999999999999</v>
      </c>
      <c r="D48" s="1025">
        <v>0.41</v>
      </c>
      <c r="E48" s="1025">
        <v>0.45400000000000001</v>
      </c>
      <c r="F48" s="1025">
        <v>0.50700000000000001</v>
      </c>
      <c r="G48" s="1025">
        <v>0.54200000000000004</v>
      </c>
    </row>
    <row r="49" spans="2:7" ht="15" customHeight="1" x14ac:dyDescent="0.3">
      <c r="B49" s="1024">
        <v>9</v>
      </c>
      <c r="C49" s="1025">
        <v>0.33900000000000002</v>
      </c>
      <c r="D49" s="1025">
        <v>0.38700000000000001</v>
      </c>
      <c r="E49" s="1025">
        <v>0.43</v>
      </c>
      <c r="F49" s="1025">
        <v>0.48</v>
      </c>
      <c r="G49" s="1025">
        <v>0.51300000000000001</v>
      </c>
    </row>
    <row r="50" spans="2:7" ht="15" customHeight="1" x14ac:dyDescent="0.3">
      <c r="B50" s="1024">
        <v>10</v>
      </c>
      <c r="C50" s="1025">
        <v>0.32300000000000001</v>
      </c>
      <c r="D50" s="1025">
        <v>0.36899999999999999</v>
      </c>
      <c r="E50" s="1025">
        <v>0.40899999999999997</v>
      </c>
      <c r="F50" s="1025">
        <v>0.45700000000000002</v>
      </c>
      <c r="G50" s="1025">
        <v>0.48599999999999999</v>
      </c>
    </row>
    <row r="51" spans="2:7" ht="15" customHeight="1" x14ac:dyDescent="0.3">
      <c r="B51" s="1024">
        <v>11</v>
      </c>
      <c r="C51" s="1025">
        <v>0.308</v>
      </c>
      <c r="D51" s="1025">
        <v>0.35199999999999998</v>
      </c>
      <c r="E51" s="1025">
        <v>0.39100000000000001</v>
      </c>
      <c r="F51" s="1025">
        <v>0.437</v>
      </c>
      <c r="G51" s="1025">
        <v>0.46800000000000003</v>
      </c>
    </row>
    <row r="52" spans="2:7" ht="15" customHeight="1" x14ac:dyDescent="0.3">
      <c r="B52" s="1024">
        <v>12</v>
      </c>
      <c r="C52" s="1025">
        <v>0.29599999999999999</v>
      </c>
      <c r="D52" s="1025">
        <v>0.33800000000000002</v>
      </c>
      <c r="E52" s="1025">
        <v>0.375</v>
      </c>
      <c r="F52" s="1025">
        <v>0.41899999999999998</v>
      </c>
      <c r="G52" s="1025">
        <v>0.44900000000000001</v>
      </c>
    </row>
    <row r="53" spans="2:7" ht="15" customHeight="1" x14ac:dyDescent="0.3">
      <c r="B53" s="1024">
        <v>13</v>
      </c>
      <c r="C53" s="1025">
        <v>0.28499999999999998</v>
      </c>
      <c r="D53" s="1025">
        <v>0.32500000000000001</v>
      </c>
      <c r="E53" s="1025">
        <v>0.36099999999999999</v>
      </c>
      <c r="F53" s="1025">
        <v>0.40400000000000003</v>
      </c>
      <c r="G53" s="1025">
        <v>0.432</v>
      </c>
    </row>
    <row r="54" spans="2:7" ht="15" customHeight="1" x14ac:dyDescent="0.3">
      <c r="B54" s="1024">
        <v>14</v>
      </c>
      <c r="C54" s="1025">
        <v>0.27500000000000002</v>
      </c>
      <c r="D54" s="1025">
        <v>0.314</v>
      </c>
      <c r="E54" s="1025">
        <v>0.34899999999999998</v>
      </c>
      <c r="F54" s="1025">
        <v>0.39</v>
      </c>
      <c r="G54" s="1025">
        <v>0.41799999999999998</v>
      </c>
    </row>
    <row r="55" spans="2:7" ht="15" customHeight="1" x14ac:dyDescent="0.3">
      <c r="B55" s="1024">
        <v>15</v>
      </c>
      <c r="C55" s="1025">
        <v>0.26600000000000001</v>
      </c>
      <c r="D55" s="1025">
        <v>0.30399999999999999</v>
      </c>
      <c r="E55" s="1025">
        <v>0.33800000000000002</v>
      </c>
      <c r="F55" s="1025">
        <v>0.377</v>
      </c>
      <c r="G55" s="1025">
        <v>0.40400000000000003</v>
      </c>
    </row>
    <row r="56" spans="2:7" ht="15" customHeight="1" x14ac:dyDescent="0.3">
      <c r="B56" s="1024">
        <v>16</v>
      </c>
      <c r="C56" s="1025">
        <v>0.25800000000000001</v>
      </c>
      <c r="D56" s="1025">
        <v>0.29499999999999998</v>
      </c>
      <c r="E56" s="1025">
        <v>0.32700000000000001</v>
      </c>
      <c r="F56" s="1025">
        <v>0.36599999999999999</v>
      </c>
      <c r="G56" s="1025">
        <v>0.39200000000000002</v>
      </c>
    </row>
    <row r="57" spans="2:7" ht="15" customHeight="1" x14ac:dyDescent="0.3">
      <c r="B57" s="1024">
        <v>17</v>
      </c>
      <c r="C57" s="1025">
        <v>0.25</v>
      </c>
      <c r="D57" s="1025">
        <v>0.28599999999999998</v>
      </c>
      <c r="E57" s="1025">
        <v>0.318</v>
      </c>
      <c r="F57" s="1025">
        <v>0.35499999999999998</v>
      </c>
      <c r="G57" s="1025">
        <v>0.38100000000000001</v>
      </c>
    </row>
    <row r="58" spans="2:7" ht="15" customHeight="1" x14ac:dyDescent="0.3">
      <c r="B58" s="1024">
        <v>18</v>
      </c>
      <c r="C58" s="1025">
        <v>0.24399999999999999</v>
      </c>
      <c r="D58" s="1025">
        <v>0.27900000000000003</v>
      </c>
      <c r="E58" s="1025">
        <v>0.309</v>
      </c>
      <c r="F58" s="1025">
        <v>0.34599999999999997</v>
      </c>
      <c r="G58" s="1025">
        <v>0.371</v>
      </c>
    </row>
    <row r="59" spans="2:7" ht="15" customHeight="1" x14ac:dyDescent="0.3">
      <c r="B59" s="1024">
        <v>19</v>
      </c>
      <c r="C59" s="1025">
        <v>0.23699999999999999</v>
      </c>
      <c r="D59" s="1025">
        <v>0.27100000000000002</v>
      </c>
      <c r="E59" s="1025">
        <v>0.30099999999999999</v>
      </c>
      <c r="F59" s="1025">
        <v>0.33700000000000002</v>
      </c>
      <c r="G59" s="1025">
        <v>0.36099999999999999</v>
      </c>
    </row>
    <row r="60" spans="2:7" ht="15" customHeight="1" x14ac:dyDescent="0.3">
      <c r="B60" s="1024">
        <v>20</v>
      </c>
      <c r="C60" s="1025">
        <v>0.23200000000000001</v>
      </c>
      <c r="D60" s="1025">
        <v>0.26500000000000001</v>
      </c>
      <c r="E60" s="1025">
        <v>0.29399999999999998</v>
      </c>
      <c r="F60" s="1025">
        <v>0.32900000000000001</v>
      </c>
      <c r="G60" s="1025">
        <v>0.35199999999999998</v>
      </c>
    </row>
    <row r="61" spans="2:7" ht="15" customHeight="1" x14ac:dyDescent="0.3">
      <c r="B61" s="1024">
        <v>21</v>
      </c>
      <c r="C61" s="1025">
        <v>0.22600000000000001</v>
      </c>
      <c r="D61" s="1025">
        <v>0.25900000000000001</v>
      </c>
      <c r="E61" s="1025">
        <v>0.28699999999999998</v>
      </c>
      <c r="F61" s="1025">
        <v>0.32100000000000001</v>
      </c>
      <c r="G61" s="1025">
        <v>0.34399999999999997</v>
      </c>
    </row>
    <row r="62" spans="2:7" ht="15" customHeight="1" x14ac:dyDescent="0.3">
      <c r="B62" s="1024">
        <v>22</v>
      </c>
      <c r="C62" s="1025">
        <v>0.221</v>
      </c>
      <c r="D62" s="1025">
        <v>0.253</v>
      </c>
      <c r="E62" s="1025">
        <v>0.28100000000000003</v>
      </c>
      <c r="F62" s="1025">
        <v>0.314</v>
      </c>
      <c r="G62" s="1025">
        <v>0.33700000000000002</v>
      </c>
    </row>
    <row r="63" spans="2:7" ht="15" customHeight="1" x14ac:dyDescent="0.3">
      <c r="B63" s="1024">
        <v>23</v>
      </c>
      <c r="C63" s="1025">
        <v>0.216</v>
      </c>
      <c r="D63" s="1025">
        <v>0.247</v>
      </c>
      <c r="E63" s="1025">
        <v>0.27500000000000002</v>
      </c>
      <c r="F63" s="1025">
        <v>0.307</v>
      </c>
      <c r="G63" s="1025">
        <v>0.33</v>
      </c>
    </row>
    <row r="64" spans="2:7" ht="15" customHeight="1" x14ac:dyDescent="0.3">
      <c r="B64" s="1024">
        <v>24</v>
      </c>
      <c r="C64" s="1025">
        <v>0.21199999999999999</v>
      </c>
      <c r="D64" s="1025">
        <v>0.24199999999999999</v>
      </c>
      <c r="E64" s="1025">
        <v>0.26900000000000002</v>
      </c>
      <c r="F64" s="1025">
        <v>0.30099999999999999</v>
      </c>
      <c r="G64" s="1025">
        <v>0.32300000000000001</v>
      </c>
    </row>
    <row r="65" spans="2:7" ht="15" customHeight="1" x14ac:dyDescent="0.3">
      <c r="B65" s="1024">
        <v>25</v>
      </c>
      <c r="C65" s="1025">
        <v>0.20799999999999999</v>
      </c>
      <c r="D65" s="1025">
        <v>0.23799999999999999</v>
      </c>
      <c r="E65" s="1025">
        <v>0.26400000000000001</v>
      </c>
      <c r="F65" s="1025">
        <v>0.29499999999999998</v>
      </c>
      <c r="G65" s="1025">
        <v>0.317</v>
      </c>
    </row>
    <row r="66" spans="2:7" ht="15" customHeight="1" x14ac:dyDescent="0.3">
      <c r="B66" s="1024">
        <v>26</v>
      </c>
      <c r="C66" s="1025">
        <v>0.20399999999999999</v>
      </c>
      <c r="D66" s="1025">
        <v>0.23300000000000001</v>
      </c>
      <c r="E66" s="1025">
        <v>0.25900000000000001</v>
      </c>
      <c r="F66" s="1025">
        <v>0.28999999999999998</v>
      </c>
      <c r="G66" s="1025">
        <v>0.311</v>
      </c>
    </row>
    <row r="67" spans="2:7" ht="15" customHeight="1" x14ac:dyDescent="0.3">
      <c r="B67" s="1024">
        <v>27</v>
      </c>
      <c r="C67" s="1025">
        <v>0.2</v>
      </c>
      <c r="D67" s="1025">
        <v>0.22900000000000001</v>
      </c>
      <c r="E67" s="1025">
        <v>0.254</v>
      </c>
      <c r="F67" s="1025">
        <v>0.28399999999999997</v>
      </c>
      <c r="G67" s="1025">
        <v>0.30499999999999999</v>
      </c>
    </row>
    <row r="68" spans="2:7" ht="15" customHeight="1" x14ac:dyDescent="0.3">
      <c r="B68" s="1024">
        <v>28</v>
      </c>
      <c r="C68" s="1025">
        <v>0.19700000000000001</v>
      </c>
      <c r="D68" s="1025">
        <v>0.22500000000000001</v>
      </c>
      <c r="E68" s="1025">
        <v>0.25</v>
      </c>
      <c r="F68" s="1025">
        <v>0.27900000000000003</v>
      </c>
      <c r="G68" s="1025">
        <v>0.3</v>
      </c>
    </row>
    <row r="69" spans="2:7" ht="15" customHeight="1" x14ac:dyDescent="0.3">
      <c r="B69" s="1024">
        <v>29</v>
      </c>
      <c r="C69" s="1025">
        <v>0.193</v>
      </c>
      <c r="D69" s="1025">
        <v>0.221</v>
      </c>
      <c r="E69" s="1025">
        <v>0.246</v>
      </c>
      <c r="F69" s="1025">
        <v>0.27500000000000002</v>
      </c>
      <c r="G69" s="1025">
        <v>0.29499999999999998</v>
      </c>
    </row>
    <row r="70" spans="2:7" ht="15" customHeight="1" x14ac:dyDescent="0.3">
      <c r="B70" s="1024">
        <v>30</v>
      </c>
      <c r="C70" s="1025">
        <v>0.19</v>
      </c>
      <c r="D70" s="1025">
        <v>0.218</v>
      </c>
      <c r="E70" s="1025">
        <v>0.24199999999999999</v>
      </c>
      <c r="F70" s="1025">
        <v>0.27</v>
      </c>
      <c r="G70" s="1025">
        <v>0.28999999999999998</v>
      </c>
    </row>
    <row r="71" spans="2:7" ht="15" customHeight="1" x14ac:dyDescent="0.3">
      <c r="B71" s="1024">
        <v>35</v>
      </c>
      <c r="C71" s="1025">
        <v>0.17699999999999999</v>
      </c>
      <c r="D71" s="1025">
        <v>0.20200000000000001</v>
      </c>
      <c r="E71" s="1025">
        <v>0.224</v>
      </c>
      <c r="F71" s="1025">
        <v>0.251</v>
      </c>
      <c r="G71" s="1025">
        <v>0.26900000000000002</v>
      </c>
    </row>
    <row r="72" spans="2:7" ht="15" customHeight="1" x14ac:dyDescent="0.3">
      <c r="B72" s="1024">
        <v>40</v>
      </c>
      <c r="C72" s="1025">
        <v>0.16500000000000001</v>
      </c>
      <c r="D72" s="1025">
        <v>0.189</v>
      </c>
      <c r="E72" s="1025">
        <v>0.21</v>
      </c>
      <c r="F72" s="1025">
        <v>0.23499999999999999</v>
      </c>
      <c r="G72" s="1025">
        <v>0.252</v>
      </c>
    </row>
    <row r="73" spans="2:7" ht="15" customHeight="1" x14ac:dyDescent="0.3">
      <c r="B73" s="1024">
        <v>45</v>
      </c>
      <c r="C73" s="1025">
        <v>0.156</v>
      </c>
      <c r="D73" s="1025">
        <v>0.17899999999999999</v>
      </c>
      <c r="E73" s="1025">
        <v>0.19800000000000001</v>
      </c>
      <c r="F73" s="1025">
        <v>0.222</v>
      </c>
      <c r="G73" s="1025">
        <v>0.23799999999999999</v>
      </c>
    </row>
    <row r="74" spans="2:7" ht="15" customHeight="1" x14ac:dyDescent="0.3">
      <c r="B74" s="1024">
        <v>50</v>
      </c>
      <c r="C74" s="1025">
        <v>0.14799999999999999</v>
      </c>
      <c r="D74" s="1025">
        <v>0.17</v>
      </c>
      <c r="E74" s="1025">
        <v>0.188</v>
      </c>
      <c r="F74" s="1025">
        <v>0.21099999999999999</v>
      </c>
      <c r="G74" s="1025">
        <v>0.22600000000000001</v>
      </c>
    </row>
    <row r="75" spans="2:7" ht="15" customHeight="1" x14ac:dyDescent="0.3">
      <c r="B75" s="1024">
        <v>55</v>
      </c>
      <c r="C75" s="1025">
        <v>0.14199999999999999</v>
      </c>
      <c r="D75" s="1025">
        <v>0.16200000000000001</v>
      </c>
      <c r="E75" s="1025">
        <v>0.18</v>
      </c>
      <c r="F75" s="1025">
        <v>0.20100000000000001</v>
      </c>
      <c r="G75" s="1025">
        <v>0.216</v>
      </c>
    </row>
    <row r="76" spans="2:7" ht="15" customHeight="1" x14ac:dyDescent="0.3">
      <c r="B76" s="1024">
        <v>60</v>
      </c>
      <c r="C76" s="1025">
        <v>0.13600000000000001</v>
      </c>
      <c r="D76" s="1025">
        <v>0.155</v>
      </c>
      <c r="E76" s="1025">
        <v>0.17199999999999999</v>
      </c>
      <c r="F76" s="1025">
        <v>0.193</v>
      </c>
      <c r="G76" s="1025">
        <v>0.20699999999999999</v>
      </c>
    </row>
    <row r="77" spans="2:7" ht="15" customHeight="1" x14ac:dyDescent="0.3">
      <c r="B77" s="1024">
        <v>65</v>
      </c>
      <c r="C77" s="1025">
        <v>0.13100000000000001</v>
      </c>
      <c r="D77" s="1025">
        <v>0.14899999999999999</v>
      </c>
      <c r="E77" s="1025">
        <v>0.16600000000000001</v>
      </c>
      <c r="F77" s="1025">
        <v>0.185</v>
      </c>
      <c r="G77" s="1025">
        <v>0.19900000000000001</v>
      </c>
    </row>
    <row r="78" spans="2:7" ht="15" customHeight="1" x14ac:dyDescent="0.3">
      <c r="B78" s="1024">
        <v>70</v>
      </c>
      <c r="C78" s="1025">
        <v>0.126</v>
      </c>
      <c r="D78" s="1025">
        <v>0.14399999999999999</v>
      </c>
      <c r="E78" s="1025">
        <v>0.16</v>
      </c>
      <c r="F78" s="1025">
        <v>0.17899999999999999</v>
      </c>
      <c r="G78" s="1025">
        <v>0.192</v>
      </c>
    </row>
    <row r="79" spans="2:7" ht="15" customHeight="1" x14ac:dyDescent="0.3">
      <c r="B79" s="1024">
        <v>75</v>
      </c>
      <c r="C79" s="1025">
        <v>0.122</v>
      </c>
      <c r="D79" s="1025">
        <v>0.13900000000000001</v>
      </c>
      <c r="E79" s="1025">
        <v>0.154</v>
      </c>
      <c r="F79" s="1025">
        <v>0.17299999999999999</v>
      </c>
      <c r="G79" s="1025">
        <v>0.185</v>
      </c>
    </row>
    <row r="80" spans="2:7" ht="15" customHeight="1" x14ac:dyDescent="0.3">
      <c r="B80" s="1024">
        <v>80</v>
      </c>
      <c r="C80" s="1025">
        <v>0.11799999999999999</v>
      </c>
      <c r="D80" s="1025">
        <v>0.13500000000000001</v>
      </c>
      <c r="E80" s="1025">
        <v>0.15</v>
      </c>
      <c r="F80" s="1025">
        <v>0.16700000000000001</v>
      </c>
      <c r="G80" s="1025">
        <v>0.17899999999999999</v>
      </c>
    </row>
    <row r="81" spans="2:7" ht="15" customHeight="1" x14ac:dyDescent="0.3">
      <c r="B81" s="1024">
        <v>85</v>
      </c>
      <c r="C81" s="1025">
        <v>0.114</v>
      </c>
      <c r="D81" s="1025">
        <v>0.13100000000000001</v>
      </c>
      <c r="E81" s="1025">
        <v>0.14499999999999999</v>
      </c>
      <c r="F81" s="1025">
        <v>0.16200000000000001</v>
      </c>
      <c r="G81" s="1025">
        <v>0.17399999999999999</v>
      </c>
    </row>
    <row r="82" spans="2:7" ht="15" customHeight="1" x14ac:dyDescent="0.3">
      <c r="B82" s="1024">
        <v>90</v>
      </c>
      <c r="C82" s="1025">
        <v>0.111</v>
      </c>
      <c r="D82" s="1025">
        <v>0.127</v>
      </c>
      <c r="E82" s="1025">
        <v>0.14099999999999999</v>
      </c>
      <c r="F82" s="1025">
        <v>0.158</v>
      </c>
      <c r="G82" s="1025">
        <v>0.16900000000000001</v>
      </c>
    </row>
    <row r="83" spans="2:7" ht="15" customHeight="1" x14ac:dyDescent="0.3">
      <c r="B83" s="1024">
        <v>95</v>
      </c>
      <c r="C83" s="1025">
        <v>0.108</v>
      </c>
      <c r="D83" s="1025">
        <v>0.124</v>
      </c>
      <c r="E83" s="1025">
        <v>0.13700000000000001</v>
      </c>
      <c r="F83" s="1025">
        <v>0.154</v>
      </c>
      <c r="G83" s="1025">
        <v>0.16500000000000001</v>
      </c>
    </row>
    <row r="84" spans="2:7" ht="15" customHeight="1" x14ac:dyDescent="0.3">
      <c r="B84" s="1024">
        <v>100</v>
      </c>
      <c r="C84" s="1025">
        <v>0.106</v>
      </c>
      <c r="D84" s="1025">
        <v>0.121</v>
      </c>
      <c r="E84" s="1025">
        <v>0.13400000000000001</v>
      </c>
      <c r="F84" s="1025">
        <v>0.15</v>
      </c>
      <c r="G84" s="1025">
        <v>0.161</v>
      </c>
    </row>
    <row r="85" spans="2:7" ht="15" customHeight="1" x14ac:dyDescent="0.3">
      <c r="C85" s="302"/>
      <c r="D85" s="302"/>
      <c r="E85" s="302"/>
    </row>
    <row r="86" spans="2:7" ht="15" customHeight="1" x14ac:dyDescent="0.3">
      <c r="C86" s="302"/>
      <c r="D86" s="302"/>
      <c r="E86" s="302"/>
    </row>
    <row r="87" spans="2:7" ht="15" customHeight="1" x14ac:dyDescent="0.3">
      <c r="C87" s="302"/>
      <c r="D87" s="302"/>
      <c r="E87" s="302"/>
    </row>
    <row r="88" spans="2:7" ht="15" customHeight="1" x14ac:dyDescent="0.3">
      <c r="C88" s="302"/>
      <c r="D88" s="302"/>
      <c r="E88" s="302"/>
    </row>
    <row r="89" spans="2:7" ht="15" customHeight="1" x14ac:dyDescent="0.3">
      <c r="C89" s="302"/>
      <c r="D89" s="302"/>
      <c r="E89" s="302"/>
    </row>
    <row r="90" spans="2:7" ht="15" customHeight="1" x14ac:dyDescent="0.3">
      <c r="C90" s="302"/>
      <c r="D90" s="302"/>
      <c r="E90" s="302"/>
    </row>
    <row r="91" spans="2:7" ht="15" customHeight="1" x14ac:dyDescent="0.3">
      <c r="C91" s="302"/>
      <c r="D91" s="302"/>
      <c r="E91" s="302"/>
    </row>
    <row r="92" spans="2:7" ht="15" customHeight="1" x14ac:dyDescent="0.3">
      <c r="C92" s="302"/>
      <c r="D92" s="302"/>
      <c r="E92" s="302"/>
    </row>
    <row r="93" spans="2:7" ht="15" customHeight="1" x14ac:dyDescent="0.3">
      <c r="C93" s="302"/>
      <c r="D93" s="302"/>
      <c r="E93" s="302"/>
    </row>
    <row r="94" spans="2:7" ht="15" customHeight="1" x14ac:dyDescent="0.3">
      <c r="C94" s="302"/>
      <c r="D94" s="302"/>
      <c r="E94" s="302"/>
    </row>
    <row r="95" spans="2:7" ht="15" customHeight="1" x14ac:dyDescent="0.3">
      <c r="C95" s="302"/>
      <c r="D95" s="302"/>
      <c r="E95" s="302"/>
    </row>
    <row r="96" spans="2:7" ht="15" customHeight="1" x14ac:dyDescent="0.3">
      <c r="C96" s="302"/>
      <c r="D96" s="302"/>
      <c r="E96" s="302"/>
    </row>
    <row r="97" spans="3:5" ht="15" customHeight="1" x14ac:dyDescent="0.3">
      <c r="C97" s="302"/>
      <c r="D97" s="302"/>
      <c r="E97" s="302"/>
    </row>
    <row r="98" spans="3:5" ht="15" customHeight="1" x14ac:dyDescent="0.3">
      <c r="C98" s="302"/>
      <c r="D98" s="302"/>
      <c r="E98" s="302"/>
    </row>
    <row r="99" spans="3:5" ht="15" customHeight="1" x14ac:dyDescent="0.3">
      <c r="C99" s="302"/>
      <c r="D99" s="302"/>
      <c r="E99" s="302"/>
    </row>
    <row r="100" spans="3:5" ht="15" customHeight="1" x14ac:dyDescent="0.3">
      <c r="C100" s="302"/>
      <c r="D100" s="302"/>
      <c r="E100" s="302"/>
    </row>
    <row r="101" spans="3:5" ht="15" customHeight="1" x14ac:dyDescent="0.3">
      <c r="C101" s="302"/>
      <c r="D101" s="302"/>
      <c r="E101" s="302"/>
    </row>
    <row r="102" spans="3:5" ht="15" customHeight="1" x14ac:dyDescent="0.3">
      <c r="C102" s="302"/>
      <c r="D102" s="302"/>
      <c r="E102" s="302"/>
    </row>
    <row r="103" spans="3:5" ht="15" customHeight="1" x14ac:dyDescent="0.3">
      <c r="C103" s="302"/>
      <c r="D103" s="302"/>
      <c r="E103" s="302"/>
    </row>
    <row r="104" spans="3:5" ht="15" customHeight="1" x14ac:dyDescent="0.3">
      <c r="C104" s="302"/>
      <c r="D104" s="302"/>
      <c r="E104" s="302"/>
    </row>
    <row r="105" spans="3:5" ht="15" customHeight="1" x14ac:dyDescent="0.3">
      <c r="C105" s="302"/>
      <c r="D105" s="302"/>
      <c r="E105" s="302"/>
    </row>
    <row r="106" spans="3:5" ht="15" customHeight="1" x14ac:dyDescent="0.3">
      <c r="C106" s="302"/>
      <c r="D106" s="302"/>
      <c r="E106" s="302"/>
    </row>
    <row r="107" spans="3:5" ht="15" customHeight="1" x14ac:dyDescent="0.3">
      <c r="C107" s="302"/>
      <c r="D107" s="302"/>
      <c r="E107" s="302"/>
    </row>
    <row r="108" spans="3:5" ht="15" customHeight="1" x14ac:dyDescent="0.3">
      <c r="C108" s="302"/>
      <c r="D108" s="302"/>
      <c r="E108" s="302"/>
    </row>
    <row r="109" spans="3:5" ht="15" customHeight="1" x14ac:dyDescent="0.3">
      <c r="C109" s="302"/>
      <c r="D109" s="302"/>
      <c r="E109" s="302"/>
    </row>
    <row r="110" spans="3:5" ht="15" customHeight="1" x14ac:dyDescent="0.3">
      <c r="C110" s="302"/>
      <c r="D110" s="302"/>
      <c r="E110" s="302"/>
    </row>
    <row r="111" spans="3:5" ht="15" customHeight="1" x14ac:dyDescent="0.3">
      <c r="C111" s="302"/>
      <c r="D111" s="302"/>
      <c r="E111" s="302"/>
    </row>
    <row r="112" spans="3:5" ht="15" customHeight="1" x14ac:dyDescent="0.3">
      <c r="C112" s="302"/>
      <c r="D112" s="302"/>
      <c r="E112" s="302"/>
    </row>
    <row r="113" spans="3:5" ht="15" customHeight="1" x14ac:dyDescent="0.3">
      <c r="C113" s="302"/>
      <c r="D113" s="302"/>
      <c r="E113" s="302"/>
    </row>
    <row r="114" spans="3:5" ht="15" customHeight="1" x14ac:dyDescent="0.3">
      <c r="C114" s="302"/>
      <c r="D114" s="302"/>
      <c r="E114" s="302"/>
    </row>
    <row r="115" spans="3:5" ht="15" customHeight="1" x14ac:dyDescent="0.3">
      <c r="C115" s="302"/>
      <c r="D115" s="302"/>
      <c r="E115" s="302"/>
    </row>
    <row r="116" spans="3:5" ht="15" customHeight="1" x14ac:dyDescent="0.3">
      <c r="C116" s="302"/>
      <c r="D116" s="302"/>
      <c r="E116" s="302"/>
    </row>
    <row r="117" spans="3:5" ht="15" customHeight="1" x14ac:dyDescent="0.3">
      <c r="C117" s="302"/>
      <c r="D117" s="302"/>
      <c r="E117" s="302"/>
    </row>
    <row r="118" spans="3:5" ht="15" customHeight="1" x14ac:dyDescent="0.3">
      <c r="C118" s="302"/>
      <c r="D118" s="302"/>
      <c r="E118" s="302"/>
    </row>
    <row r="119" spans="3:5" ht="15" customHeight="1" x14ac:dyDescent="0.3">
      <c r="C119" s="302"/>
      <c r="D119" s="302"/>
      <c r="E119" s="302"/>
    </row>
    <row r="120" spans="3:5" ht="15" customHeight="1" x14ac:dyDescent="0.3">
      <c r="C120" s="302"/>
      <c r="D120" s="302"/>
      <c r="E120" s="302"/>
    </row>
    <row r="121" spans="3:5" ht="15" customHeight="1" x14ac:dyDescent="0.3">
      <c r="C121" s="302"/>
      <c r="D121" s="302"/>
      <c r="E121" s="302"/>
    </row>
    <row r="122" spans="3:5" ht="15" customHeight="1" x14ac:dyDescent="0.3">
      <c r="C122" s="302"/>
      <c r="D122" s="302"/>
      <c r="E122" s="302"/>
    </row>
    <row r="123" spans="3:5" ht="15" customHeight="1" x14ac:dyDescent="0.3">
      <c r="C123" s="302"/>
      <c r="D123" s="302"/>
      <c r="E123" s="302"/>
    </row>
    <row r="124" spans="3:5" ht="15" customHeight="1" x14ac:dyDescent="0.3">
      <c r="C124" s="302"/>
      <c r="D124" s="302"/>
      <c r="E124" s="302"/>
    </row>
    <row r="125" spans="3:5" ht="15" customHeight="1" x14ac:dyDescent="0.3">
      <c r="C125" s="302"/>
      <c r="D125" s="302"/>
      <c r="E125" s="302"/>
    </row>
    <row r="126" spans="3:5" ht="15" customHeight="1" x14ac:dyDescent="0.3">
      <c r="C126" s="302"/>
      <c r="D126" s="302"/>
      <c r="E126" s="302"/>
    </row>
    <row r="127" spans="3:5" ht="15" customHeight="1" x14ac:dyDescent="0.3">
      <c r="C127" s="302"/>
      <c r="D127" s="302"/>
      <c r="E127" s="302"/>
    </row>
    <row r="128" spans="3:5" ht="15" customHeight="1" x14ac:dyDescent="0.3">
      <c r="C128" s="302"/>
      <c r="D128" s="302"/>
      <c r="E128" s="302"/>
    </row>
    <row r="129" spans="3:5" ht="15" customHeight="1" x14ac:dyDescent="0.3">
      <c r="C129" s="302"/>
      <c r="D129" s="302"/>
      <c r="E129" s="302"/>
    </row>
    <row r="130" spans="3:5" ht="15" customHeight="1" x14ac:dyDescent="0.3">
      <c r="C130" s="302"/>
      <c r="D130" s="302"/>
      <c r="E130" s="302"/>
    </row>
    <row r="131" spans="3:5" ht="15" customHeight="1" x14ac:dyDescent="0.3">
      <c r="C131" s="302"/>
      <c r="D131" s="302"/>
      <c r="E131" s="302"/>
    </row>
    <row r="132" spans="3:5" ht="15" customHeight="1" x14ac:dyDescent="0.3">
      <c r="C132" s="302"/>
      <c r="D132" s="302"/>
      <c r="E132" s="302"/>
    </row>
    <row r="133" spans="3:5" ht="15" customHeight="1" x14ac:dyDescent="0.3">
      <c r="C133" s="302"/>
      <c r="D133" s="302"/>
      <c r="E133" s="302"/>
    </row>
    <row r="134" spans="3:5" ht="15" customHeight="1" x14ac:dyDescent="0.3">
      <c r="C134" s="302"/>
      <c r="D134" s="302"/>
      <c r="E134" s="302"/>
    </row>
    <row r="135" spans="3:5" ht="15" customHeight="1" x14ac:dyDescent="0.3">
      <c r="C135" s="302"/>
      <c r="D135" s="302"/>
      <c r="E135" s="302"/>
    </row>
    <row r="136" spans="3:5" ht="15" customHeight="1" x14ac:dyDescent="0.3">
      <c r="C136" s="302"/>
      <c r="D136" s="302"/>
      <c r="E136" s="302"/>
    </row>
  </sheetData>
  <mergeCells count="5">
    <mergeCell ref="C4:J4"/>
    <mergeCell ref="B4:B5"/>
    <mergeCell ref="B2:J2"/>
    <mergeCell ref="C39:G39"/>
    <mergeCell ref="C38:G38"/>
  </mergeCells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F50"/>
  <sheetViews>
    <sheetView workbookViewId="0">
      <selection activeCell="G21" sqref="G21"/>
    </sheetView>
  </sheetViews>
  <sheetFormatPr defaultRowHeight="14.4" x14ac:dyDescent="0.3"/>
  <cols>
    <col min="1" max="1" width="2.6640625" customWidth="1"/>
    <col min="2" max="2" width="6.109375" customWidth="1"/>
    <col min="3" max="6" width="13.109375" bestFit="1" customWidth="1"/>
  </cols>
  <sheetData>
    <row r="2" spans="2:6" ht="15" thickBot="1" x14ac:dyDescent="0.35">
      <c r="B2" t="s">
        <v>192</v>
      </c>
    </row>
    <row r="3" spans="2:6" x14ac:dyDescent="0.3">
      <c r="B3" s="851" t="s">
        <v>191</v>
      </c>
      <c r="C3" s="848" t="s">
        <v>112</v>
      </c>
      <c r="D3" s="849"/>
      <c r="E3" s="849"/>
      <c r="F3" s="850"/>
    </row>
    <row r="4" spans="2:6" x14ac:dyDescent="0.3">
      <c r="B4" s="852"/>
      <c r="C4" s="315">
        <f xml:space="preserve"> 0.2</f>
        <v>0.2</v>
      </c>
      <c r="D4" s="315">
        <v>0.1</v>
      </c>
      <c r="E4" s="1019">
        <v>0.05</v>
      </c>
      <c r="F4" s="316">
        <v>0.01</v>
      </c>
    </row>
    <row r="5" spans="2:6" ht="15" thickBot="1" x14ac:dyDescent="0.35">
      <c r="B5" s="324">
        <v>1</v>
      </c>
      <c r="C5" s="325">
        <v>2</v>
      </c>
      <c r="D5" s="325">
        <v>3</v>
      </c>
      <c r="E5" s="325">
        <v>4</v>
      </c>
      <c r="F5" s="326">
        <v>5</v>
      </c>
    </row>
    <row r="6" spans="2:6" ht="15" thickTop="1" x14ac:dyDescent="0.3">
      <c r="B6" s="218">
        <v>1</v>
      </c>
      <c r="C6" s="322">
        <v>0.9</v>
      </c>
      <c r="D6" s="322">
        <v>0.95</v>
      </c>
      <c r="E6" s="322">
        <v>0.97499999999999998</v>
      </c>
      <c r="F6" s="323">
        <v>0.995</v>
      </c>
    </row>
    <row r="7" spans="2:6" x14ac:dyDescent="0.3">
      <c r="B7" s="220">
        <v>2</v>
      </c>
      <c r="C7" s="317">
        <v>0.68400000000000005</v>
      </c>
      <c r="D7" s="317">
        <v>0.77600000000000002</v>
      </c>
      <c r="E7" s="317">
        <v>0.84199999999999997</v>
      </c>
      <c r="F7" s="318">
        <v>0.92900000000000005</v>
      </c>
    </row>
    <row r="8" spans="2:6" x14ac:dyDescent="0.3">
      <c r="B8" s="220">
        <v>3</v>
      </c>
      <c r="C8" s="317">
        <v>0.56499999999999995</v>
      </c>
      <c r="D8" s="317">
        <v>0.63600000000000001</v>
      </c>
      <c r="E8" s="317">
        <v>0.70799999999999996</v>
      </c>
      <c r="F8" s="318">
        <v>0.82899999999999996</v>
      </c>
    </row>
    <row r="9" spans="2:6" x14ac:dyDescent="0.3">
      <c r="B9" s="220">
        <v>4</v>
      </c>
      <c r="C9" s="317">
        <v>0.49299999999999999</v>
      </c>
      <c r="D9" s="317">
        <v>0.56499999999999995</v>
      </c>
      <c r="E9" s="317">
        <v>0.624</v>
      </c>
      <c r="F9" s="318">
        <v>0.73399999999999999</v>
      </c>
    </row>
    <row r="10" spans="2:6" x14ac:dyDescent="0.3">
      <c r="B10" s="220">
        <v>5</v>
      </c>
      <c r="C10" s="317">
        <v>0.44700000000000001</v>
      </c>
      <c r="D10" s="317">
        <v>0.50900000000000001</v>
      </c>
      <c r="E10" s="317">
        <v>0.56299999999999994</v>
      </c>
      <c r="F10" s="318">
        <v>0.66900000000000004</v>
      </c>
    </row>
    <row r="11" spans="2:6" x14ac:dyDescent="0.3">
      <c r="B11" s="220">
        <v>6</v>
      </c>
      <c r="C11" s="317">
        <v>0.41</v>
      </c>
      <c r="D11" s="317">
        <v>0.46800000000000003</v>
      </c>
      <c r="E11" s="317">
        <v>0.51900000000000002</v>
      </c>
      <c r="F11" s="318">
        <v>0.61699999999999999</v>
      </c>
    </row>
    <row r="12" spans="2:6" x14ac:dyDescent="0.3">
      <c r="B12" s="220">
        <v>7</v>
      </c>
      <c r="C12" s="317">
        <v>0.38100000000000001</v>
      </c>
      <c r="D12" s="317">
        <v>0.436</v>
      </c>
      <c r="E12" s="317">
        <v>0.48299999999999998</v>
      </c>
      <c r="F12" s="318">
        <v>0.57599999999999996</v>
      </c>
    </row>
    <row r="13" spans="2:6" x14ac:dyDescent="0.3">
      <c r="B13" s="220">
        <v>8</v>
      </c>
      <c r="C13" s="317">
        <v>0.35899999999999999</v>
      </c>
      <c r="D13" s="317">
        <v>0.41</v>
      </c>
      <c r="E13" s="317">
        <v>0.45400000000000001</v>
      </c>
      <c r="F13" s="318">
        <v>0.54200000000000004</v>
      </c>
    </row>
    <row r="14" spans="2:6" x14ac:dyDescent="0.3">
      <c r="B14" s="220">
        <v>9</v>
      </c>
      <c r="C14" s="317">
        <v>0.33900000000000002</v>
      </c>
      <c r="D14" s="317">
        <v>0.38700000000000001</v>
      </c>
      <c r="E14" s="317">
        <v>0.43</v>
      </c>
      <c r="F14" s="318">
        <v>0.51300000000000001</v>
      </c>
    </row>
    <row r="15" spans="2:6" x14ac:dyDescent="0.3">
      <c r="B15" s="220">
        <v>10</v>
      </c>
      <c r="C15" s="317">
        <v>0.32300000000000001</v>
      </c>
      <c r="D15" s="317">
        <v>0.36899999999999999</v>
      </c>
      <c r="E15" s="317">
        <v>0.40899999999999997</v>
      </c>
      <c r="F15" s="318">
        <v>0.48599999999999999</v>
      </c>
    </row>
    <row r="16" spans="2:6" x14ac:dyDescent="0.3">
      <c r="B16" s="1020">
        <v>11</v>
      </c>
      <c r="C16" s="317">
        <v>0.308</v>
      </c>
      <c r="D16" s="317">
        <v>0.35199999999999998</v>
      </c>
      <c r="E16" s="1021">
        <v>0.39100000000000001</v>
      </c>
      <c r="F16" s="318">
        <v>0.46800000000000003</v>
      </c>
    </row>
    <row r="17" spans="2:6" x14ac:dyDescent="0.3">
      <c r="B17" s="220">
        <v>12</v>
      </c>
      <c r="C17" s="317">
        <v>0.29599999999999999</v>
      </c>
      <c r="D17" s="317">
        <v>0.33800000000000002</v>
      </c>
      <c r="E17" s="317">
        <v>0.375</v>
      </c>
      <c r="F17" s="318">
        <v>0.44900000000000001</v>
      </c>
    </row>
    <row r="18" spans="2:6" x14ac:dyDescent="0.3">
      <c r="B18" s="220">
        <v>13</v>
      </c>
      <c r="C18" s="317">
        <v>0.28499999999999998</v>
      </c>
      <c r="D18" s="317">
        <v>0.32500000000000001</v>
      </c>
      <c r="E18" s="317">
        <v>0.36099999999999999</v>
      </c>
      <c r="F18" s="318">
        <v>0.432</v>
      </c>
    </row>
    <row r="19" spans="2:6" x14ac:dyDescent="0.3">
      <c r="B19" s="220">
        <v>14</v>
      </c>
      <c r="C19" s="317">
        <v>0.27500000000000002</v>
      </c>
      <c r="D19" s="317">
        <v>0.314</v>
      </c>
      <c r="E19" s="317">
        <v>0.34899999999999998</v>
      </c>
      <c r="F19" s="318">
        <v>0.41799999999999998</v>
      </c>
    </row>
    <row r="20" spans="2:6" x14ac:dyDescent="0.3">
      <c r="B20" s="220">
        <v>15</v>
      </c>
      <c r="C20" s="317">
        <v>0.26600000000000001</v>
      </c>
      <c r="D20" s="317">
        <v>0.30399999999999999</v>
      </c>
      <c r="E20" s="317">
        <v>0.33800000000000002</v>
      </c>
      <c r="F20" s="318">
        <v>0.40400000000000003</v>
      </c>
    </row>
    <row r="21" spans="2:6" x14ac:dyDescent="0.3">
      <c r="B21" s="220">
        <v>16</v>
      </c>
      <c r="C21" s="317">
        <v>0.25800000000000001</v>
      </c>
      <c r="D21" s="317">
        <v>0.29499999999999998</v>
      </c>
      <c r="E21" s="317">
        <v>0.32700000000000001</v>
      </c>
      <c r="F21" s="318">
        <v>0.39200000000000002</v>
      </c>
    </row>
    <row r="22" spans="2:6" x14ac:dyDescent="0.3">
      <c r="B22" s="220">
        <v>17</v>
      </c>
      <c r="C22" s="317">
        <v>0.25</v>
      </c>
      <c r="D22" s="317">
        <v>0.28599999999999998</v>
      </c>
      <c r="E22" s="317">
        <v>0.318</v>
      </c>
      <c r="F22" s="318">
        <v>0.38100000000000001</v>
      </c>
    </row>
    <row r="23" spans="2:6" x14ac:dyDescent="0.3">
      <c r="B23" s="220">
        <v>18</v>
      </c>
      <c r="C23" s="317">
        <v>0.24399999999999999</v>
      </c>
      <c r="D23" s="317">
        <v>0.27900000000000003</v>
      </c>
      <c r="E23" s="317">
        <v>0.309</v>
      </c>
      <c r="F23" s="318">
        <v>0.371</v>
      </c>
    </row>
    <row r="24" spans="2:6" x14ac:dyDescent="0.3">
      <c r="B24" s="220">
        <v>19</v>
      </c>
      <c r="C24" s="317">
        <v>0.23699999999999999</v>
      </c>
      <c r="D24" s="317">
        <v>0.27100000000000002</v>
      </c>
      <c r="E24" s="317">
        <v>0.30099999999999999</v>
      </c>
      <c r="F24" s="318">
        <v>0.36099999999999999</v>
      </c>
    </row>
    <row r="25" spans="2:6" x14ac:dyDescent="0.3">
      <c r="B25" s="220">
        <v>20</v>
      </c>
      <c r="C25" s="317">
        <v>0.23200000000000001</v>
      </c>
      <c r="D25" s="317">
        <v>0.26500000000000001</v>
      </c>
      <c r="E25" s="317">
        <v>0.29399999999999998</v>
      </c>
      <c r="F25" s="318">
        <v>0.35199999999999998</v>
      </c>
    </row>
    <row r="26" spans="2:6" x14ac:dyDescent="0.3">
      <c r="B26" s="220">
        <v>21</v>
      </c>
      <c r="C26" s="317">
        <v>0.22600000000000001</v>
      </c>
      <c r="D26" s="317">
        <v>0.25900000000000001</v>
      </c>
      <c r="E26" s="317">
        <v>0.28699999999999998</v>
      </c>
      <c r="F26" s="318">
        <v>0.34399999999999997</v>
      </c>
    </row>
    <row r="27" spans="2:6" x14ac:dyDescent="0.3">
      <c r="B27" s="220">
        <v>22</v>
      </c>
      <c r="C27" s="317">
        <v>0.221</v>
      </c>
      <c r="D27" s="317">
        <v>0.253</v>
      </c>
      <c r="E27" s="317">
        <v>0.28100000000000003</v>
      </c>
      <c r="F27" s="318">
        <v>0.33700000000000002</v>
      </c>
    </row>
    <row r="28" spans="2:6" x14ac:dyDescent="0.3">
      <c r="B28" s="220">
        <v>23</v>
      </c>
      <c r="C28" s="317">
        <v>0.216</v>
      </c>
      <c r="D28" s="317">
        <v>0.247</v>
      </c>
      <c r="E28" s="317">
        <v>0.27500000000000002</v>
      </c>
      <c r="F28" s="318">
        <v>0.33</v>
      </c>
    </row>
    <row r="29" spans="2:6" x14ac:dyDescent="0.3">
      <c r="B29" s="220">
        <v>24</v>
      </c>
      <c r="C29" s="317">
        <v>0.21199999999999999</v>
      </c>
      <c r="D29" s="317">
        <v>0.24199999999999999</v>
      </c>
      <c r="E29" s="317">
        <v>0.26900000000000002</v>
      </c>
      <c r="F29" s="318">
        <v>0.32300000000000001</v>
      </c>
    </row>
    <row r="30" spans="2:6" x14ac:dyDescent="0.3">
      <c r="B30" s="220">
        <v>25</v>
      </c>
      <c r="C30" s="317">
        <v>0.20799999999999999</v>
      </c>
      <c r="D30" s="317">
        <v>0.23799999999999999</v>
      </c>
      <c r="E30" s="317">
        <v>0.26400000000000001</v>
      </c>
      <c r="F30" s="318">
        <v>0.317</v>
      </c>
    </row>
    <row r="31" spans="2:6" x14ac:dyDescent="0.3">
      <c r="B31" s="220">
        <v>26</v>
      </c>
      <c r="C31" s="317">
        <v>0.20399999999999999</v>
      </c>
      <c r="D31" s="317">
        <v>0.23300000000000001</v>
      </c>
      <c r="E31" s="317">
        <v>0.25900000000000001</v>
      </c>
      <c r="F31" s="318">
        <v>0.311</v>
      </c>
    </row>
    <row r="32" spans="2:6" x14ac:dyDescent="0.3">
      <c r="B32" s="220">
        <v>27</v>
      </c>
      <c r="C32" s="317">
        <v>0.2</v>
      </c>
      <c r="D32" s="317">
        <v>0.22900000000000001</v>
      </c>
      <c r="E32" s="317">
        <v>0.254</v>
      </c>
      <c r="F32" s="318">
        <v>0.30499999999999999</v>
      </c>
    </row>
    <row r="33" spans="2:6" x14ac:dyDescent="0.3">
      <c r="B33" s="220">
        <v>28</v>
      </c>
      <c r="C33" s="317">
        <v>0.19700000000000001</v>
      </c>
      <c r="D33" s="317">
        <v>0.22500000000000001</v>
      </c>
      <c r="E33" s="317">
        <v>0.25</v>
      </c>
      <c r="F33" s="318">
        <v>0.3</v>
      </c>
    </row>
    <row r="34" spans="2:6" x14ac:dyDescent="0.3">
      <c r="B34" s="220">
        <v>29</v>
      </c>
      <c r="C34" s="317">
        <v>0.193</v>
      </c>
      <c r="D34" s="317">
        <v>0.221</v>
      </c>
      <c r="E34" s="317">
        <v>0.246</v>
      </c>
      <c r="F34" s="318">
        <v>0.29499999999999998</v>
      </c>
    </row>
    <row r="35" spans="2:6" x14ac:dyDescent="0.3">
      <c r="B35" s="220">
        <v>30</v>
      </c>
      <c r="C35" s="317">
        <v>0.19</v>
      </c>
      <c r="D35" s="317">
        <v>0.218</v>
      </c>
      <c r="E35" s="317">
        <v>0.24199999999999999</v>
      </c>
      <c r="F35" s="318">
        <v>0.28999999999999998</v>
      </c>
    </row>
    <row r="36" spans="2:6" x14ac:dyDescent="0.3">
      <c r="B36" s="220">
        <v>35</v>
      </c>
      <c r="C36" s="317">
        <v>0.17699999999999999</v>
      </c>
      <c r="D36" s="317">
        <v>0.20200000000000001</v>
      </c>
      <c r="E36" s="317">
        <v>0.224</v>
      </c>
      <c r="F36" s="318">
        <v>0.26900000000000002</v>
      </c>
    </row>
    <row r="37" spans="2:6" x14ac:dyDescent="0.3">
      <c r="B37" s="220">
        <v>40</v>
      </c>
      <c r="C37" s="317">
        <v>0.16500000000000001</v>
      </c>
      <c r="D37" s="317">
        <v>0.189</v>
      </c>
      <c r="E37" s="317">
        <v>0.21</v>
      </c>
      <c r="F37" s="318">
        <v>0.252</v>
      </c>
    </row>
    <row r="38" spans="2:6" x14ac:dyDescent="0.3">
      <c r="B38" s="220">
        <v>45</v>
      </c>
      <c r="C38" s="317">
        <v>0.156</v>
      </c>
      <c r="D38" s="317">
        <v>0.17899999999999999</v>
      </c>
      <c r="E38" s="317">
        <v>0.19800000000000001</v>
      </c>
      <c r="F38" s="318">
        <v>0.23799999999999999</v>
      </c>
    </row>
    <row r="39" spans="2:6" x14ac:dyDescent="0.3">
      <c r="B39" s="220">
        <v>50</v>
      </c>
      <c r="C39" s="317">
        <v>0.14799999999999999</v>
      </c>
      <c r="D39" s="317">
        <v>0.17</v>
      </c>
      <c r="E39" s="317">
        <v>0.188</v>
      </c>
      <c r="F39" s="318">
        <v>0.22600000000000001</v>
      </c>
    </row>
    <row r="40" spans="2:6" x14ac:dyDescent="0.3">
      <c r="B40" s="220">
        <v>55</v>
      </c>
      <c r="C40" s="317">
        <v>0.14199999999999999</v>
      </c>
      <c r="D40" s="317">
        <v>0.16200000000000001</v>
      </c>
      <c r="E40" s="317">
        <v>0.18</v>
      </c>
      <c r="F40" s="318">
        <v>0.216</v>
      </c>
    </row>
    <row r="41" spans="2:6" x14ac:dyDescent="0.3">
      <c r="B41" s="220">
        <v>60</v>
      </c>
      <c r="C41" s="317">
        <v>0.13600000000000001</v>
      </c>
      <c r="D41" s="317">
        <v>0.155</v>
      </c>
      <c r="E41" s="317">
        <v>0.17199999999999999</v>
      </c>
      <c r="F41" s="318">
        <v>0.20699999999999999</v>
      </c>
    </row>
    <row r="42" spans="2:6" x14ac:dyDescent="0.3">
      <c r="B42" s="220">
        <v>65</v>
      </c>
      <c r="C42" s="317">
        <v>0.13100000000000001</v>
      </c>
      <c r="D42" s="317">
        <v>0.14899999999999999</v>
      </c>
      <c r="E42" s="317">
        <v>0.16600000000000001</v>
      </c>
      <c r="F42" s="318">
        <v>0.19900000000000001</v>
      </c>
    </row>
    <row r="43" spans="2:6" x14ac:dyDescent="0.3">
      <c r="B43" s="220">
        <v>70</v>
      </c>
      <c r="C43" s="317">
        <v>0.126</v>
      </c>
      <c r="D43" s="317">
        <v>0.14399999999999999</v>
      </c>
      <c r="E43" s="317">
        <v>0.16</v>
      </c>
      <c r="F43" s="318">
        <v>0.192</v>
      </c>
    </row>
    <row r="44" spans="2:6" x14ac:dyDescent="0.3">
      <c r="B44" s="220">
        <v>75</v>
      </c>
      <c r="C44" s="317">
        <v>0.122</v>
      </c>
      <c r="D44" s="317">
        <v>0.13900000000000001</v>
      </c>
      <c r="E44" s="317">
        <v>0.154</v>
      </c>
      <c r="F44" s="318">
        <v>0.185</v>
      </c>
    </row>
    <row r="45" spans="2:6" x14ac:dyDescent="0.3">
      <c r="B45" s="220">
        <v>80</v>
      </c>
      <c r="C45" s="317">
        <v>0.11799999999999999</v>
      </c>
      <c r="D45" s="317">
        <v>0.13500000000000001</v>
      </c>
      <c r="E45" s="317">
        <v>0.15</v>
      </c>
      <c r="F45" s="318">
        <v>0.17899999999999999</v>
      </c>
    </row>
    <row r="46" spans="2:6" x14ac:dyDescent="0.3">
      <c r="B46" s="220">
        <v>85</v>
      </c>
      <c r="C46" s="317">
        <v>0.114</v>
      </c>
      <c r="D46" s="317">
        <v>0.13100000000000001</v>
      </c>
      <c r="E46" s="317">
        <v>0.14499999999999999</v>
      </c>
      <c r="F46" s="318">
        <v>0.17399999999999999</v>
      </c>
    </row>
    <row r="47" spans="2:6" x14ac:dyDescent="0.3">
      <c r="B47" s="220">
        <v>90</v>
      </c>
      <c r="C47" s="317">
        <v>0.111</v>
      </c>
      <c r="D47" s="317">
        <v>0.127</v>
      </c>
      <c r="E47" s="317">
        <v>0.14099999999999999</v>
      </c>
      <c r="F47" s="318">
        <v>0.16900000000000001</v>
      </c>
    </row>
    <row r="48" spans="2:6" x14ac:dyDescent="0.3">
      <c r="B48" s="220">
        <v>95</v>
      </c>
      <c r="C48" s="317">
        <v>0.108</v>
      </c>
      <c r="D48" s="317">
        <v>0.124</v>
      </c>
      <c r="E48" s="317">
        <v>0.13700000000000001</v>
      </c>
      <c r="F48" s="318">
        <v>0.16500000000000001</v>
      </c>
    </row>
    <row r="49" spans="2:6" x14ac:dyDescent="0.3">
      <c r="B49" s="220">
        <v>100</v>
      </c>
      <c r="C49" s="317">
        <v>0.106</v>
      </c>
      <c r="D49" s="317">
        <v>0.121</v>
      </c>
      <c r="E49" s="317">
        <v>0.13400000000000001</v>
      </c>
      <c r="F49" s="318">
        <v>0.161</v>
      </c>
    </row>
    <row r="50" spans="2:6" ht="15" thickBot="1" x14ac:dyDescent="0.35">
      <c r="B50" s="319" t="s">
        <v>193</v>
      </c>
      <c r="C50" s="320" t="s">
        <v>194</v>
      </c>
      <c r="D50" s="320" t="s">
        <v>195</v>
      </c>
      <c r="E50" s="320" t="s">
        <v>196</v>
      </c>
      <c r="F50" s="321" t="s">
        <v>197</v>
      </c>
    </row>
  </sheetData>
  <mergeCells count="2">
    <mergeCell ref="C3:F3"/>
    <mergeCell ref="B3:B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>
    <tabColor rgb="FFFF0000"/>
  </sheetPr>
  <dimension ref="A1:AD91"/>
  <sheetViews>
    <sheetView tabSelected="1" zoomScale="70" zoomScaleNormal="70" workbookViewId="0">
      <selection activeCell="N11" sqref="N11"/>
    </sheetView>
  </sheetViews>
  <sheetFormatPr defaultColWidth="9.109375" defaultRowHeight="14.4" x14ac:dyDescent="0.3"/>
  <cols>
    <col min="1" max="1" width="2.44140625" style="1" customWidth="1"/>
    <col min="2" max="2" width="9.109375" style="1"/>
    <col min="3" max="3" width="3.6640625" style="1" customWidth="1"/>
    <col min="4" max="4" width="9.6640625" style="1" bestFit="1" customWidth="1"/>
    <col min="5" max="5" width="10.33203125" style="1" customWidth="1"/>
    <col min="6" max="6" width="14.33203125" style="1" bestFit="1" customWidth="1"/>
    <col min="7" max="7" width="17" style="1" bestFit="1" customWidth="1"/>
    <col min="8" max="8" width="4.6640625" style="1" customWidth="1"/>
    <col min="9" max="9" width="1.5546875" style="1" customWidth="1"/>
    <col min="10" max="10" width="3.44140625" style="1" customWidth="1"/>
    <col min="11" max="11" width="5.33203125" style="1" customWidth="1"/>
    <col min="12" max="12" width="9.109375" style="1"/>
    <col min="13" max="13" width="22" style="1" bestFit="1" customWidth="1"/>
    <col min="14" max="14" width="9.109375" style="1"/>
    <col min="15" max="15" width="17.88671875" style="1" bestFit="1" customWidth="1"/>
    <col min="16" max="16" width="18.88671875" style="1" bestFit="1" customWidth="1"/>
    <col min="17" max="17" width="12.88671875" style="1" customWidth="1"/>
    <col min="18" max="18" width="9.109375" style="1"/>
    <col min="19" max="19" width="1.88671875" style="1" customWidth="1"/>
    <col min="20" max="20" width="9.109375" style="1"/>
    <col min="21" max="21" width="12.6640625" style="1" customWidth="1"/>
    <col min="22" max="22" width="13.5546875" style="1" customWidth="1"/>
    <col min="23" max="23" width="17" style="1" bestFit="1" customWidth="1"/>
    <col min="24" max="24" width="25.33203125" style="1" customWidth="1"/>
    <col min="25" max="25" width="21.33203125" style="1" bestFit="1" customWidth="1"/>
    <col min="26" max="26" width="18.88671875" style="1" bestFit="1" customWidth="1"/>
    <col min="27" max="27" width="9.109375" style="1"/>
    <col min="28" max="28" width="11.88671875" style="1" customWidth="1"/>
    <col min="29" max="29" width="4.5546875" style="1" customWidth="1"/>
    <col min="30" max="16384" width="9.109375" style="1"/>
  </cols>
  <sheetData>
    <row r="1" spans="1:30" x14ac:dyDescent="0.3">
      <c r="A1" s="52" t="s">
        <v>109</v>
      </c>
      <c r="B1" s="52"/>
      <c r="C1" s="52"/>
      <c r="D1" s="52"/>
      <c r="E1" s="52"/>
      <c r="F1" s="73"/>
      <c r="G1" s="73"/>
    </row>
    <row r="2" spans="1:30" ht="15" thickBot="1" x14ac:dyDescent="0.35">
      <c r="C2" s="73"/>
    </row>
    <row r="3" spans="1:30" ht="15" thickBot="1" x14ac:dyDescent="0.35">
      <c r="B3" s="65"/>
      <c r="C3" s="66"/>
      <c r="D3" s="66"/>
      <c r="E3" s="66"/>
      <c r="F3" s="66"/>
      <c r="G3" s="66"/>
      <c r="H3" s="67"/>
      <c r="J3" s="65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7"/>
      <c r="AD3" s="68"/>
    </row>
    <row r="4" spans="1:30" x14ac:dyDescent="0.3">
      <c r="B4" s="68"/>
      <c r="C4" s="857" t="s">
        <v>15</v>
      </c>
      <c r="D4" s="857"/>
      <c r="E4" s="857"/>
      <c r="F4" s="857"/>
      <c r="G4" s="857"/>
      <c r="H4" s="69"/>
      <c r="J4" s="68"/>
      <c r="K4" s="859" t="s">
        <v>29</v>
      </c>
      <c r="L4" s="860"/>
      <c r="M4" s="860"/>
      <c r="N4" s="860"/>
      <c r="O4" s="860"/>
      <c r="P4" s="860"/>
      <c r="Q4" s="861"/>
      <c r="R4" s="86"/>
      <c r="S4" s="86"/>
      <c r="U4" s="859" t="s">
        <v>38</v>
      </c>
      <c r="V4" s="860"/>
      <c r="W4" s="860"/>
      <c r="X4" s="860"/>
      <c r="Y4" s="860"/>
      <c r="Z4" s="860"/>
      <c r="AA4" s="861"/>
      <c r="AC4" s="69"/>
      <c r="AD4" s="68"/>
    </row>
    <row r="5" spans="1:30" ht="15" thickBot="1" x14ac:dyDescent="0.35">
      <c r="B5" s="68"/>
      <c r="C5" s="857" t="s">
        <v>16</v>
      </c>
      <c r="D5" s="857"/>
      <c r="E5" s="857"/>
      <c r="F5" s="857"/>
      <c r="G5" s="857"/>
      <c r="H5" s="69"/>
      <c r="J5" s="68"/>
      <c r="K5" s="862" t="s">
        <v>16</v>
      </c>
      <c r="L5" s="856"/>
      <c r="M5" s="856"/>
      <c r="N5" s="856"/>
      <c r="O5" s="856"/>
      <c r="P5" s="856"/>
      <c r="Q5" s="863"/>
      <c r="R5" s="86"/>
      <c r="S5" s="86"/>
      <c r="U5" s="862" t="s">
        <v>16</v>
      </c>
      <c r="V5" s="856"/>
      <c r="W5" s="856"/>
      <c r="X5" s="856"/>
      <c r="Y5" s="856"/>
      <c r="Z5" s="856"/>
      <c r="AA5" s="863"/>
      <c r="AC5" s="69"/>
      <c r="AD5" s="68"/>
    </row>
    <row r="6" spans="1:30" ht="17.399999999999999" thickBot="1" x14ac:dyDescent="0.4">
      <c r="B6" s="68"/>
      <c r="C6" s="61" t="s">
        <v>4</v>
      </c>
      <c r="D6" s="62" t="s">
        <v>5</v>
      </c>
      <c r="E6" s="62" t="s">
        <v>6</v>
      </c>
      <c r="F6" s="62" t="s">
        <v>199</v>
      </c>
      <c r="G6" s="63" t="s">
        <v>200</v>
      </c>
      <c r="H6" s="69"/>
      <c r="J6" s="68"/>
      <c r="K6" s="53" t="s">
        <v>21</v>
      </c>
      <c r="L6" s="54" t="s">
        <v>26</v>
      </c>
      <c r="M6" s="54" t="s">
        <v>27</v>
      </c>
      <c r="N6" s="54" t="s">
        <v>25</v>
      </c>
      <c r="O6" s="54" t="s">
        <v>201</v>
      </c>
      <c r="P6" s="54" t="s">
        <v>202</v>
      </c>
      <c r="Q6" s="55" t="s">
        <v>28</v>
      </c>
      <c r="R6" s="86"/>
      <c r="S6" s="86"/>
      <c r="U6" s="53" t="s">
        <v>21</v>
      </c>
      <c r="V6" s="54" t="s">
        <v>26</v>
      </c>
      <c r="W6" s="54" t="s">
        <v>27</v>
      </c>
      <c r="X6" s="54" t="s">
        <v>24</v>
      </c>
      <c r="Y6" s="54" t="s">
        <v>201</v>
      </c>
      <c r="Z6" s="54" t="s">
        <v>202</v>
      </c>
      <c r="AA6" s="55" t="s">
        <v>42</v>
      </c>
      <c r="AC6" s="69"/>
      <c r="AD6" s="68"/>
    </row>
    <row r="7" spans="1:30" ht="15" thickTop="1" x14ac:dyDescent="0.3">
      <c r="B7" s="68"/>
      <c r="C7" s="40">
        <v>1</v>
      </c>
      <c r="D7" s="35">
        <f>'Rainfall Max'!V4</f>
        <v>2014</v>
      </c>
      <c r="E7" s="38">
        <f>RANK(F7,$F$7:$F$18,0)</f>
        <v>6</v>
      </c>
      <c r="F7" s="203">
        <f>'Rainfall Max'!W4</f>
        <v>121</v>
      </c>
      <c r="G7" s="198">
        <f>VLOOKUP(C7,$E$7:$F$17,2,FALSE)</f>
        <v>172</v>
      </c>
      <c r="H7" s="69"/>
      <c r="J7" s="68"/>
      <c r="K7" s="36">
        <v>1</v>
      </c>
      <c r="L7" s="57">
        <f>K7/($G$20+1)</f>
        <v>8.3333333333333329E-2</v>
      </c>
      <c r="M7" s="57">
        <f>1/L7</f>
        <v>12</v>
      </c>
      <c r="N7" s="57">
        <f>FORECAST(M7,'Tabel Ktr Normal'!D19:D20,'Tabel Ktr Normal'!C19:C20)</f>
        <v>1.3279999999999998</v>
      </c>
      <c r="O7" s="203">
        <f t="shared" ref="O7" si="0">G7</f>
        <v>172</v>
      </c>
      <c r="P7" s="57">
        <f>$G$21+$G$22*N7</f>
        <v>161.26925561637012</v>
      </c>
      <c r="Q7" s="58">
        <f t="shared" ref="Q7" si="1">ABS((P7-O7)/O7)*100</f>
        <v>6.2388048742034208</v>
      </c>
      <c r="R7" s="82"/>
      <c r="S7" s="82"/>
      <c r="U7" s="36">
        <f t="shared" ref="U7" si="2">K7</f>
        <v>1</v>
      </c>
      <c r="V7" s="79">
        <f t="shared" ref="V7" si="3">L7</f>
        <v>8.3333333333333329E-2</v>
      </c>
      <c r="W7" s="79">
        <f t="shared" ref="W7" si="4">M7</f>
        <v>12</v>
      </c>
      <c r="X7" s="79">
        <f t="shared" ref="X7" si="5">N7</f>
        <v>1.3279999999999998</v>
      </c>
      <c r="Y7" s="203">
        <f t="shared" ref="Y7" si="6">O7</f>
        <v>172</v>
      </c>
      <c r="Z7" s="203">
        <f t="shared" ref="Z7" si="7">P7</f>
        <v>161.26925561637012</v>
      </c>
      <c r="AA7" s="58">
        <f t="shared" ref="AA7" si="8">(Z7-Y7)^2</f>
        <v>115.14887502680428</v>
      </c>
      <c r="AC7" s="69"/>
      <c r="AD7" s="68"/>
    </row>
    <row r="8" spans="1:30" x14ac:dyDescent="0.3">
      <c r="B8" s="68"/>
      <c r="C8" s="40">
        <v>2</v>
      </c>
      <c r="D8" s="35">
        <f>'Rainfall Max'!V5</f>
        <v>2015</v>
      </c>
      <c r="E8" s="38">
        <f t="shared" ref="E8:E17" si="9">RANK(F8,$F$7:$F$18,0)</f>
        <v>7</v>
      </c>
      <c r="F8" s="203">
        <f>'Rainfall Max'!W5</f>
        <v>119</v>
      </c>
      <c r="G8" s="198">
        <f t="shared" ref="G8:G17" si="10">VLOOKUP(C8,$E$7:$F$17,2,FALSE)</f>
        <v>155</v>
      </c>
      <c r="H8" s="69"/>
      <c r="J8" s="68"/>
      <c r="K8" s="36">
        <v>2</v>
      </c>
      <c r="L8" s="57">
        <f>K8/($G$20+1)</f>
        <v>0.16666666666666666</v>
      </c>
      <c r="M8" s="57">
        <f>1/L8</f>
        <v>6</v>
      </c>
      <c r="N8" s="57">
        <f>FORECAST(M8,'Tabel Ktr Normal'!D18:D19,'Tabel Ktr Normal'!C18:C19)</f>
        <v>0.92800000000000005</v>
      </c>
      <c r="O8" s="203">
        <f t="shared" ref="O8:O16" si="11">G8</f>
        <v>155</v>
      </c>
      <c r="P8" s="57">
        <f t="shared" ref="P8:P17" si="12">$G$21+$G$22*N8</f>
        <v>149.7697536508698</v>
      </c>
      <c r="Q8" s="58">
        <f t="shared" ref="Q8:Q16" si="13">ABS((P8-O8)/O8)*100</f>
        <v>3.3743524833098051</v>
      </c>
      <c r="R8" s="82"/>
      <c r="S8" s="82"/>
      <c r="U8" s="36">
        <f t="shared" ref="U8:U17" si="14">K8</f>
        <v>2</v>
      </c>
      <c r="V8" s="79">
        <f t="shared" ref="V8:V17" si="15">L8</f>
        <v>0.16666666666666666</v>
      </c>
      <c r="W8" s="79">
        <f t="shared" ref="W8:W17" si="16">M8</f>
        <v>6</v>
      </c>
      <c r="X8" s="79">
        <f t="shared" ref="X8:X17" si="17">N8</f>
        <v>0.92800000000000005</v>
      </c>
      <c r="Y8" s="203">
        <f t="shared" ref="Y8:Y17" si="18">O8</f>
        <v>155</v>
      </c>
      <c r="Z8" s="203">
        <f t="shared" ref="Z8:Z17" si="19">P8</f>
        <v>149.7697536508698</v>
      </c>
      <c r="AA8" s="58">
        <f t="shared" ref="AA8:AA17" si="20">(Z8-Y8)^2</f>
        <v>27.355476872589762</v>
      </c>
      <c r="AC8" s="69"/>
      <c r="AD8" s="68"/>
    </row>
    <row r="9" spans="1:30" x14ac:dyDescent="0.3">
      <c r="B9" s="68"/>
      <c r="C9" s="40">
        <v>3</v>
      </c>
      <c r="D9" s="35">
        <f>'Rainfall Max'!V6</f>
        <v>2016</v>
      </c>
      <c r="E9" s="38">
        <f t="shared" si="9"/>
        <v>11</v>
      </c>
      <c r="F9" s="203">
        <f>'Rainfall Max'!W6</f>
        <v>74</v>
      </c>
      <c r="G9" s="198">
        <f t="shared" si="10"/>
        <v>141</v>
      </c>
      <c r="H9" s="69"/>
      <c r="J9" s="68"/>
      <c r="K9" s="36">
        <v>3</v>
      </c>
      <c r="L9" s="57">
        <f t="shared" ref="L9:L17" si="21">K9/($G$20+1)</f>
        <v>0.25</v>
      </c>
      <c r="M9" s="57">
        <f t="shared" ref="M9:M17" si="22">1/L9</f>
        <v>4</v>
      </c>
      <c r="N9" s="57">
        <f>'Tabel Ktr Normal'!D17</f>
        <v>0.67</v>
      </c>
      <c r="O9" s="203">
        <f t="shared" si="11"/>
        <v>141</v>
      </c>
      <c r="P9" s="57">
        <f t="shared" si="12"/>
        <v>142.35257488312212</v>
      </c>
      <c r="Q9" s="58">
        <f t="shared" si="13"/>
        <v>0.959272966753274</v>
      </c>
      <c r="R9" s="82"/>
      <c r="S9" s="82"/>
      <c r="U9" s="36">
        <f t="shared" si="14"/>
        <v>3</v>
      </c>
      <c r="V9" s="79">
        <f t="shared" si="15"/>
        <v>0.25</v>
      </c>
      <c r="W9" s="79">
        <f t="shared" si="16"/>
        <v>4</v>
      </c>
      <c r="X9" s="79">
        <f t="shared" si="17"/>
        <v>0.67</v>
      </c>
      <c r="Y9" s="203">
        <f t="shared" si="18"/>
        <v>141</v>
      </c>
      <c r="Z9" s="203">
        <f t="shared" si="19"/>
        <v>142.35257488312212</v>
      </c>
      <c r="AA9" s="58">
        <f t="shared" si="20"/>
        <v>1.829458814452807</v>
      </c>
      <c r="AC9" s="69"/>
      <c r="AD9" s="68"/>
    </row>
    <row r="10" spans="1:30" x14ac:dyDescent="0.3">
      <c r="B10" s="68"/>
      <c r="C10" s="40">
        <v>4</v>
      </c>
      <c r="D10" s="35">
        <f>'Rainfall Max'!V7</f>
        <v>2017</v>
      </c>
      <c r="E10" s="38">
        <f t="shared" si="9"/>
        <v>9</v>
      </c>
      <c r="F10" s="203">
        <f>'Rainfall Max'!W7</f>
        <v>100</v>
      </c>
      <c r="G10" s="198">
        <f t="shared" si="10"/>
        <v>139</v>
      </c>
      <c r="H10" s="69"/>
      <c r="J10" s="68"/>
      <c r="K10" s="36">
        <v>4</v>
      </c>
      <c r="L10" s="57">
        <f t="shared" si="21"/>
        <v>0.33333333333333331</v>
      </c>
      <c r="M10" s="57">
        <f t="shared" si="22"/>
        <v>3</v>
      </c>
      <c r="N10" s="57">
        <f>FORECAST(M10,'Tabel Ktr Normal'!D15:D16,'Tabel Ktr Normal'!C15:C16)</f>
        <v>0.41265060240963847</v>
      </c>
      <c r="O10" s="203">
        <f t="shared" si="11"/>
        <v>139</v>
      </c>
      <c r="P10" s="57">
        <f t="shared" si="12"/>
        <v>134.95410012459541</v>
      </c>
      <c r="Q10" s="58">
        <f t="shared" si="13"/>
        <v>2.9107193348234435</v>
      </c>
      <c r="R10" s="82"/>
      <c r="S10" s="82"/>
      <c r="U10" s="36">
        <f t="shared" si="14"/>
        <v>4</v>
      </c>
      <c r="V10" s="79">
        <f t="shared" si="15"/>
        <v>0.33333333333333331</v>
      </c>
      <c r="W10" s="79">
        <f t="shared" si="16"/>
        <v>3</v>
      </c>
      <c r="X10" s="79">
        <f t="shared" si="17"/>
        <v>0.41265060240963847</v>
      </c>
      <c r="Y10" s="203">
        <f t="shared" si="18"/>
        <v>139</v>
      </c>
      <c r="Z10" s="203">
        <f t="shared" si="19"/>
        <v>134.95410012459541</v>
      </c>
      <c r="AA10" s="58">
        <f t="shared" si="20"/>
        <v>16.369305801798848</v>
      </c>
      <c r="AC10" s="69"/>
      <c r="AD10" s="68"/>
    </row>
    <row r="11" spans="1:30" x14ac:dyDescent="0.3">
      <c r="B11" s="68"/>
      <c r="C11" s="40">
        <v>5</v>
      </c>
      <c r="D11" s="35">
        <f>'Rainfall Max'!V8</f>
        <v>2018</v>
      </c>
      <c r="E11" s="38">
        <f t="shared" si="9"/>
        <v>4</v>
      </c>
      <c r="F11" s="203">
        <f>'Rainfall Max'!W8</f>
        <v>139</v>
      </c>
      <c r="G11" s="198">
        <f t="shared" si="10"/>
        <v>134</v>
      </c>
      <c r="H11" s="69"/>
      <c r="J11" s="68"/>
      <c r="K11" s="36">
        <v>5</v>
      </c>
      <c r="L11" s="57">
        <f t="shared" si="21"/>
        <v>0.41666666666666669</v>
      </c>
      <c r="M11" s="57">
        <f t="shared" si="22"/>
        <v>2.4</v>
      </c>
      <c r="N11" s="57">
        <f>FORECAST(M11,'Tabel Ktr Normal'!D15:D16,'Tabel Ktr Normal'!C15:C16)</f>
        <v>0.21746987951807228</v>
      </c>
      <c r="O11" s="203">
        <f t="shared" si="11"/>
        <v>134</v>
      </c>
      <c r="P11" s="57">
        <f t="shared" si="12"/>
        <v>129.34289735829705</v>
      </c>
      <c r="Q11" s="58">
        <f t="shared" si="13"/>
        <v>3.4754497326141407</v>
      </c>
      <c r="R11" s="82"/>
      <c r="S11" s="82"/>
      <c r="U11" s="36">
        <f t="shared" si="14"/>
        <v>5</v>
      </c>
      <c r="V11" s="79">
        <f t="shared" si="15"/>
        <v>0.41666666666666669</v>
      </c>
      <c r="W11" s="79">
        <f t="shared" si="16"/>
        <v>2.4</v>
      </c>
      <c r="X11" s="79">
        <f t="shared" si="17"/>
        <v>0.21746987951807228</v>
      </c>
      <c r="Y11" s="203">
        <f t="shared" si="18"/>
        <v>134</v>
      </c>
      <c r="Z11" s="203">
        <f t="shared" si="19"/>
        <v>129.34289735829705</v>
      </c>
      <c r="AA11" s="58">
        <f t="shared" si="20"/>
        <v>21.688605015356583</v>
      </c>
      <c r="AC11" s="69"/>
      <c r="AD11" s="68"/>
    </row>
    <row r="12" spans="1:30" x14ac:dyDescent="0.3">
      <c r="B12" s="68"/>
      <c r="C12" s="40">
        <v>6</v>
      </c>
      <c r="D12" s="35">
        <f>'Rainfall Max'!V9</f>
        <v>2019</v>
      </c>
      <c r="E12" s="38">
        <f t="shared" si="9"/>
        <v>10</v>
      </c>
      <c r="F12" s="203">
        <f>'Rainfall Max'!W9</f>
        <v>93</v>
      </c>
      <c r="G12" s="198">
        <f t="shared" si="10"/>
        <v>121</v>
      </c>
      <c r="H12" s="69"/>
      <c r="J12" s="68"/>
      <c r="K12" s="36">
        <v>6</v>
      </c>
      <c r="L12" s="57">
        <f t="shared" si="21"/>
        <v>0.5</v>
      </c>
      <c r="M12" s="57">
        <f t="shared" si="22"/>
        <v>2</v>
      </c>
      <c r="N12" s="57">
        <f>'Tabel Ktr Normal'!D14</f>
        <v>0</v>
      </c>
      <c r="O12" s="203">
        <f t="shared" si="11"/>
        <v>121</v>
      </c>
      <c r="P12" s="57">
        <f t="shared" si="12"/>
        <v>123.09090909090909</v>
      </c>
      <c r="Q12" s="58">
        <f t="shared" si="13"/>
        <v>1.7280240420736308</v>
      </c>
      <c r="R12" s="82"/>
      <c r="S12" s="82"/>
      <c r="U12" s="36">
        <f t="shared" si="14"/>
        <v>6</v>
      </c>
      <c r="V12" s="79">
        <f t="shared" si="15"/>
        <v>0.5</v>
      </c>
      <c r="W12" s="79">
        <f t="shared" si="16"/>
        <v>2</v>
      </c>
      <c r="X12" s="79">
        <f t="shared" si="17"/>
        <v>0</v>
      </c>
      <c r="Y12" s="203">
        <f t="shared" si="18"/>
        <v>121</v>
      </c>
      <c r="Z12" s="203">
        <f t="shared" si="19"/>
        <v>123.09090909090909</v>
      </c>
      <c r="AA12" s="58">
        <f t="shared" si="20"/>
        <v>4.371900826446292</v>
      </c>
      <c r="AC12" s="69"/>
      <c r="AD12" s="68"/>
    </row>
    <row r="13" spans="1:30" x14ac:dyDescent="0.3">
      <c r="B13" s="68"/>
      <c r="C13" s="40">
        <v>7</v>
      </c>
      <c r="D13" s="35">
        <f>'Rainfall Max'!V10</f>
        <v>2020</v>
      </c>
      <c r="E13" s="38">
        <f t="shared" si="9"/>
        <v>8</v>
      </c>
      <c r="F13" s="203">
        <f>'Rainfall Max'!W10</f>
        <v>106</v>
      </c>
      <c r="G13" s="198">
        <f t="shared" si="10"/>
        <v>119</v>
      </c>
      <c r="H13" s="69"/>
      <c r="J13" s="68"/>
      <c r="K13" s="36">
        <v>7</v>
      </c>
      <c r="L13" s="57">
        <f t="shared" si="21"/>
        <v>0.58333333333333337</v>
      </c>
      <c r="M13" s="57">
        <f t="shared" si="22"/>
        <v>1.7142857142857142</v>
      </c>
      <c r="N13" s="57">
        <f>FORECAST(M13,'Tabel Ktr Normal'!D13:D14,'Tabel Ktr Normal'!C13:C14)</f>
        <v>-0.21645021645021645</v>
      </c>
      <c r="O13" s="203">
        <f t="shared" si="11"/>
        <v>119</v>
      </c>
      <c r="P13" s="57">
        <f t="shared" si="12"/>
        <v>116.86823486715352</v>
      </c>
      <c r="Q13" s="58">
        <f t="shared" si="13"/>
        <v>1.7913992712995646</v>
      </c>
      <c r="R13" s="82"/>
      <c r="S13" s="82"/>
      <c r="U13" s="36">
        <f t="shared" si="14"/>
        <v>7</v>
      </c>
      <c r="V13" s="79">
        <f t="shared" si="15"/>
        <v>0.58333333333333337</v>
      </c>
      <c r="W13" s="79">
        <f t="shared" si="16"/>
        <v>1.7142857142857142</v>
      </c>
      <c r="X13" s="79">
        <f t="shared" si="17"/>
        <v>-0.21645021645021645</v>
      </c>
      <c r="Y13" s="203">
        <f t="shared" si="18"/>
        <v>119</v>
      </c>
      <c r="Z13" s="203">
        <f t="shared" si="19"/>
        <v>116.86823486715352</v>
      </c>
      <c r="AA13" s="58">
        <f t="shared" si="20"/>
        <v>4.5444225816199788</v>
      </c>
      <c r="AC13" s="69"/>
      <c r="AD13" s="68"/>
    </row>
    <row r="14" spans="1:30" x14ac:dyDescent="0.3">
      <c r="B14" s="68"/>
      <c r="C14" s="40">
        <v>8</v>
      </c>
      <c r="D14" s="35">
        <f>'Rainfall Max'!V11</f>
        <v>2021</v>
      </c>
      <c r="E14" s="38">
        <f t="shared" si="9"/>
        <v>2</v>
      </c>
      <c r="F14" s="203">
        <f>'Rainfall Max'!W11</f>
        <v>155</v>
      </c>
      <c r="G14" s="198">
        <f t="shared" si="10"/>
        <v>106</v>
      </c>
      <c r="H14" s="69"/>
      <c r="J14" s="68"/>
      <c r="K14" s="36">
        <v>8</v>
      </c>
      <c r="L14" s="57">
        <f t="shared" si="21"/>
        <v>0.66666666666666663</v>
      </c>
      <c r="M14" s="57">
        <f t="shared" si="22"/>
        <v>1.5</v>
      </c>
      <c r="N14" s="57">
        <f>FORECAST(M14,'Tabel Ktr Normal'!D12:D13,'Tabel Ktr Normal'!C12:C13)</f>
        <v>-0.44125000000000014</v>
      </c>
      <c r="O14" s="203">
        <f t="shared" si="11"/>
        <v>106</v>
      </c>
      <c r="P14" s="57">
        <f t="shared" si="12"/>
        <v>110.40552098521657</v>
      </c>
      <c r="Q14" s="58">
        <f t="shared" si="13"/>
        <v>4.1561518728458191</v>
      </c>
      <c r="R14" s="82"/>
      <c r="S14" s="82"/>
      <c r="U14" s="36">
        <f t="shared" si="14"/>
        <v>8</v>
      </c>
      <c r="V14" s="79">
        <f t="shared" si="15"/>
        <v>0.66666666666666663</v>
      </c>
      <c r="W14" s="79">
        <f t="shared" si="16"/>
        <v>1.5</v>
      </c>
      <c r="X14" s="79">
        <f t="shared" si="17"/>
        <v>-0.44125000000000014</v>
      </c>
      <c r="Y14" s="203">
        <f t="shared" si="18"/>
        <v>106</v>
      </c>
      <c r="Z14" s="203">
        <f t="shared" si="19"/>
        <v>110.40552098521657</v>
      </c>
      <c r="AA14" s="58">
        <f t="shared" si="20"/>
        <v>19.408615151183568</v>
      </c>
      <c r="AC14" s="69"/>
      <c r="AD14" s="68"/>
    </row>
    <row r="15" spans="1:30" x14ac:dyDescent="0.3">
      <c r="B15" s="68"/>
      <c r="C15" s="40">
        <v>9</v>
      </c>
      <c r="D15" s="35">
        <f>'Rainfall Max'!V12</f>
        <v>2022</v>
      </c>
      <c r="E15" s="38">
        <f t="shared" si="9"/>
        <v>5</v>
      </c>
      <c r="F15" s="203">
        <f>'Rainfall Max'!W12</f>
        <v>134</v>
      </c>
      <c r="G15" s="198">
        <f t="shared" si="10"/>
        <v>100</v>
      </c>
      <c r="H15" s="69"/>
      <c r="J15" s="68"/>
      <c r="K15" s="36">
        <v>9</v>
      </c>
      <c r="L15" s="57">
        <f t="shared" si="21"/>
        <v>0.75</v>
      </c>
      <c r="M15" s="57">
        <f t="shared" si="22"/>
        <v>1.3333333333333333</v>
      </c>
      <c r="N15" s="57">
        <f>'Tabel Ktr Normal'!D11</f>
        <v>-0.67</v>
      </c>
      <c r="O15" s="203">
        <f t="shared" si="11"/>
        <v>100</v>
      </c>
      <c r="P15" s="57">
        <f t="shared" si="12"/>
        <v>103.82924329869607</v>
      </c>
      <c r="Q15" s="58">
        <f t="shared" si="13"/>
        <v>3.8292432986960701</v>
      </c>
      <c r="R15" s="82"/>
      <c r="S15" s="82"/>
      <c r="U15" s="36">
        <f t="shared" si="14"/>
        <v>9</v>
      </c>
      <c r="V15" s="79">
        <f t="shared" si="15"/>
        <v>0.75</v>
      </c>
      <c r="W15" s="79">
        <f t="shared" si="16"/>
        <v>1.3333333333333333</v>
      </c>
      <c r="X15" s="79">
        <f t="shared" si="17"/>
        <v>-0.67</v>
      </c>
      <c r="Y15" s="203">
        <f t="shared" si="18"/>
        <v>100</v>
      </c>
      <c r="Z15" s="203">
        <f t="shared" si="19"/>
        <v>103.82924329869607</v>
      </c>
      <c r="AA15" s="58">
        <f t="shared" si="20"/>
        <v>14.663104240608764</v>
      </c>
      <c r="AC15" s="69"/>
      <c r="AD15" s="68"/>
    </row>
    <row r="16" spans="1:30" x14ac:dyDescent="0.3">
      <c r="B16" s="68"/>
      <c r="C16" s="40">
        <v>10</v>
      </c>
      <c r="D16" s="35">
        <f>'Rainfall Max'!V13</f>
        <v>2023</v>
      </c>
      <c r="E16" s="38">
        <f t="shared" si="9"/>
        <v>3</v>
      </c>
      <c r="F16" s="203">
        <f>'Rainfall Max'!W13</f>
        <v>141</v>
      </c>
      <c r="G16" s="198">
        <f t="shared" si="10"/>
        <v>93</v>
      </c>
      <c r="H16" s="69"/>
      <c r="J16" s="68"/>
      <c r="K16" s="36">
        <v>10</v>
      </c>
      <c r="L16" s="57">
        <f t="shared" si="21"/>
        <v>0.83333333333333337</v>
      </c>
      <c r="M16" s="57">
        <f t="shared" si="22"/>
        <v>1.2</v>
      </c>
      <c r="N16" s="57">
        <f>FORECAST(M16,'Tabel Ktr Normal'!D10:D11,'Tabel Ktr Normal'!C10:C11)</f>
        <v>-0.94625000000000004</v>
      </c>
      <c r="O16" s="203">
        <f t="shared" si="11"/>
        <v>93</v>
      </c>
      <c r="P16" s="57">
        <f t="shared" si="12"/>
        <v>95.887399753772428</v>
      </c>
      <c r="Q16" s="58">
        <f t="shared" si="13"/>
        <v>3.1047309180348686</v>
      </c>
      <c r="R16" s="82"/>
      <c r="S16" s="82"/>
      <c r="U16" s="36">
        <f t="shared" si="14"/>
        <v>10</v>
      </c>
      <c r="V16" s="79">
        <f>L16</f>
        <v>0.83333333333333337</v>
      </c>
      <c r="W16" s="79">
        <f t="shared" si="16"/>
        <v>1.2</v>
      </c>
      <c r="X16" s="79">
        <f t="shared" si="17"/>
        <v>-0.94625000000000004</v>
      </c>
      <c r="Y16" s="203">
        <f t="shared" si="18"/>
        <v>93</v>
      </c>
      <c r="Z16" s="203">
        <f t="shared" si="19"/>
        <v>95.887399753772428</v>
      </c>
      <c r="AA16" s="58">
        <f t="shared" si="20"/>
        <v>8.3370773380850771</v>
      </c>
      <c r="AC16" s="69"/>
      <c r="AD16" s="68"/>
    </row>
    <row r="17" spans="2:30" x14ac:dyDescent="0.3">
      <c r="B17" s="68"/>
      <c r="C17" s="40">
        <v>11</v>
      </c>
      <c r="D17" s="35">
        <f>'Rainfall Max'!V14</f>
        <v>2024</v>
      </c>
      <c r="E17" s="38">
        <f t="shared" si="9"/>
        <v>1</v>
      </c>
      <c r="F17" s="203">
        <f>'Rainfall Max'!W14</f>
        <v>172</v>
      </c>
      <c r="G17" s="198">
        <f t="shared" si="10"/>
        <v>74</v>
      </c>
      <c r="H17" s="69"/>
      <c r="J17" s="68"/>
      <c r="K17" s="36">
        <v>11</v>
      </c>
      <c r="L17" s="57">
        <f t="shared" si="21"/>
        <v>0.91666666666666663</v>
      </c>
      <c r="M17" s="57">
        <f t="shared" si="22"/>
        <v>1.0909090909090911</v>
      </c>
      <c r="N17" s="57">
        <f>FORECAST(M17,'Tabel Ktr Normal'!D8:D9,'Tabel Ktr Normal'!C8:C9)</f>
        <v>-1.3945454545454536</v>
      </c>
      <c r="O17" s="203">
        <f>G17</f>
        <v>74</v>
      </c>
      <c r="P17" s="57">
        <f t="shared" si="12"/>
        <v>82.999463602096682</v>
      </c>
      <c r="Q17" s="58">
        <f>ABS((P17-O17)/O17)*100</f>
        <v>12.161437300130652</v>
      </c>
      <c r="R17" s="82"/>
      <c r="S17" s="82"/>
      <c r="U17" s="36">
        <f t="shared" si="14"/>
        <v>11</v>
      </c>
      <c r="V17" s="79">
        <f t="shared" si="15"/>
        <v>0.91666666666666663</v>
      </c>
      <c r="W17" s="79">
        <f t="shared" si="16"/>
        <v>1.0909090909090911</v>
      </c>
      <c r="X17" s="79">
        <f t="shared" si="17"/>
        <v>-1.3945454545454536</v>
      </c>
      <c r="Y17" s="203">
        <f t="shared" si="18"/>
        <v>74</v>
      </c>
      <c r="Z17" s="203">
        <f t="shared" si="19"/>
        <v>82.999463602096682</v>
      </c>
      <c r="AA17" s="58">
        <f t="shared" si="20"/>
        <v>80.990345125462994</v>
      </c>
      <c r="AC17" s="69"/>
      <c r="AD17" s="68"/>
    </row>
    <row r="18" spans="2:30" ht="15" thickBot="1" x14ac:dyDescent="0.35">
      <c r="B18" s="68"/>
      <c r="C18" s="42"/>
      <c r="D18" s="35"/>
      <c r="E18" s="43"/>
      <c r="F18" s="43"/>
      <c r="G18" s="44"/>
      <c r="H18" s="69"/>
      <c r="J18" s="68"/>
      <c r="K18" s="42"/>
      <c r="L18" s="78"/>
      <c r="M18" s="78"/>
      <c r="N18" s="78"/>
      <c r="O18" s="43"/>
      <c r="P18" s="78"/>
      <c r="Q18" s="59"/>
      <c r="R18" s="82"/>
      <c r="S18" s="82"/>
      <c r="U18" s="42"/>
      <c r="V18" s="78"/>
      <c r="W18" s="78"/>
      <c r="X18" s="78"/>
      <c r="Y18" s="43"/>
      <c r="Z18" s="78"/>
      <c r="AA18" s="59"/>
      <c r="AC18" s="69"/>
      <c r="AD18" s="68"/>
    </row>
    <row r="19" spans="2:30" x14ac:dyDescent="0.3">
      <c r="B19" s="68"/>
      <c r="H19" s="69"/>
      <c r="J19" s="68"/>
      <c r="AC19" s="69"/>
      <c r="AD19" s="68"/>
    </row>
    <row r="20" spans="2:30" x14ac:dyDescent="0.3">
      <c r="B20" s="68"/>
      <c r="C20" s="858" t="s">
        <v>17</v>
      </c>
      <c r="D20" s="858"/>
      <c r="E20" s="858"/>
      <c r="F20" s="56" t="s">
        <v>20</v>
      </c>
      <c r="G20" s="38">
        <f>COUNT(D7:D18)</f>
        <v>11</v>
      </c>
      <c r="H20" s="69"/>
      <c r="J20" s="68"/>
      <c r="L20" s="855" t="s">
        <v>37</v>
      </c>
      <c r="M20" s="855"/>
      <c r="N20" s="855"/>
      <c r="O20" s="855"/>
      <c r="P20" s="855"/>
      <c r="Q20" s="80">
        <f>SUM(Q7:Q18)</f>
        <v>43.729586094784686</v>
      </c>
      <c r="R20" s="85"/>
      <c r="S20" s="85"/>
      <c r="U20" s="856" t="s">
        <v>39</v>
      </c>
      <c r="V20" s="856"/>
      <c r="W20" s="856"/>
      <c r="X20" s="856"/>
      <c r="Y20" s="856"/>
      <c r="Z20" s="856"/>
      <c r="AA20" s="83">
        <f>SUM(AA7:AA18)</f>
        <v>314.70718679440893</v>
      </c>
      <c r="AC20" s="69"/>
      <c r="AD20" s="68"/>
    </row>
    <row r="21" spans="2:30" x14ac:dyDescent="0.3">
      <c r="B21" s="68"/>
      <c r="C21" s="858" t="s">
        <v>18</v>
      </c>
      <c r="D21" s="858"/>
      <c r="E21" s="858"/>
      <c r="F21" s="64" t="s">
        <v>21</v>
      </c>
      <c r="G21" s="57">
        <f>AVERAGE(F7:F18)</f>
        <v>123.09090909090909</v>
      </c>
      <c r="H21" s="69"/>
      <c r="J21" s="68"/>
      <c r="L21" s="855" t="s">
        <v>17</v>
      </c>
      <c r="M21" s="855"/>
      <c r="N21" s="855"/>
      <c r="O21" s="855"/>
      <c r="P21" s="855"/>
      <c r="Q21" s="81">
        <f>COUNT(O7:O18)</f>
        <v>11</v>
      </c>
      <c r="R21" s="86"/>
      <c r="S21" s="86"/>
      <c r="U21" s="856" t="s">
        <v>17</v>
      </c>
      <c r="V21" s="856"/>
      <c r="W21" s="856"/>
      <c r="X21" s="856"/>
      <c r="Y21" s="856"/>
      <c r="Z21" s="856"/>
      <c r="AA21" s="84">
        <f>COUNT(Y7:Y18)</f>
        <v>11</v>
      </c>
      <c r="AC21" s="69"/>
      <c r="AD21" s="68"/>
    </row>
    <row r="22" spans="2:30" x14ac:dyDescent="0.3">
      <c r="B22" s="68"/>
      <c r="C22" s="858" t="s">
        <v>19</v>
      </c>
      <c r="D22" s="858"/>
      <c r="E22" s="858"/>
      <c r="F22" s="64" t="s">
        <v>22</v>
      </c>
      <c r="G22" s="57">
        <f>_xlfn.STDEV.S(F7:F18)</f>
        <v>28.748754913750766</v>
      </c>
      <c r="H22" s="69"/>
      <c r="J22" s="68"/>
      <c r="L22" s="855" t="s">
        <v>40</v>
      </c>
      <c r="M22" s="855"/>
      <c r="N22" s="855"/>
      <c r="O22" s="855"/>
      <c r="P22" s="855"/>
      <c r="Q22" s="80">
        <f>Q20/Q21</f>
        <v>3.9754169177076988</v>
      </c>
      <c r="R22" s="86"/>
      <c r="S22" s="86"/>
      <c r="U22" s="856" t="s">
        <v>41</v>
      </c>
      <c r="V22" s="856"/>
      <c r="W22" s="856"/>
      <c r="X22" s="856"/>
      <c r="Y22" s="856"/>
      <c r="Z22" s="856"/>
      <c r="AA22" s="83">
        <f>((AA20)/(AA21-1))^0.5</f>
        <v>5.6098768862998138</v>
      </c>
      <c r="AC22" s="69"/>
      <c r="AD22" s="68"/>
    </row>
    <row r="23" spans="2:30" ht="15.6" x14ac:dyDescent="0.35">
      <c r="B23" s="68"/>
      <c r="C23" s="858" t="s">
        <v>124</v>
      </c>
      <c r="D23" s="858"/>
      <c r="E23" s="858"/>
      <c r="F23" s="56" t="s">
        <v>128</v>
      </c>
      <c r="G23" s="203">
        <f>MAX(G7:G18)</f>
        <v>172</v>
      </c>
      <c r="H23" s="69"/>
      <c r="J23" s="68"/>
      <c r="AA23" s="83">
        <f>((AA20)/(AA21))^0.5</f>
        <v>5.3488077413604218</v>
      </c>
      <c r="AC23" s="69"/>
      <c r="AD23" s="68"/>
    </row>
    <row r="24" spans="2:30" ht="15.6" x14ac:dyDescent="0.35">
      <c r="B24" s="68"/>
      <c r="C24" s="858" t="s">
        <v>127</v>
      </c>
      <c r="D24" s="858"/>
      <c r="E24" s="858"/>
      <c r="F24" s="56" t="s">
        <v>129</v>
      </c>
      <c r="G24" s="203">
        <f>MIN(G7:G18)</f>
        <v>74</v>
      </c>
      <c r="H24" s="69"/>
      <c r="J24" s="68"/>
      <c r="AC24" s="69"/>
      <c r="AD24" s="68"/>
    </row>
    <row r="25" spans="2:30" ht="15" thickBot="1" x14ac:dyDescent="0.35">
      <c r="B25" s="68"/>
      <c r="H25" s="69"/>
      <c r="J25" s="68"/>
      <c r="AC25" s="69"/>
    </row>
    <row r="26" spans="2:30" ht="16.2" thickBot="1" x14ac:dyDescent="0.4">
      <c r="B26" s="68"/>
      <c r="D26" s="61" t="s">
        <v>23</v>
      </c>
      <c r="E26" s="62" t="s">
        <v>25</v>
      </c>
      <c r="F26" s="63" t="s">
        <v>203</v>
      </c>
      <c r="H26" s="69"/>
      <c r="J26" s="68"/>
      <c r="K26" s="859" t="s">
        <v>188</v>
      </c>
      <c r="L26" s="860"/>
      <c r="M26" s="860"/>
      <c r="N26" s="860"/>
      <c r="O26" s="860"/>
      <c r="P26" s="860"/>
      <c r="Q26" s="860"/>
      <c r="R26" s="861"/>
      <c r="U26" s="864" t="s">
        <v>113</v>
      </c>
      <c r="V26" s="865"/>
      <c r="W26" s="865"/>
      <c r="X26" s="865"/>
      <c r="Y26" s="865"/>
      <c r="Z26" s="865"/>
      <c r="AA26" s="865"/>
      <c r="AB26" s="866"/>
      <c r="AC26" s="69"/>
    </row>
    <row r="27" spans="2:30" ht="15" thickTop="1" x14ac:dyDescent="0.3">
      <c r="B27" s="68"/>
      <c r="D27" s="36">
        <v>2</v>
      </c>
      <c r="E27" s="35">
        <f>VLOOKUP(D27,'Tabel Ktr Normal'!$C$5:$D$25,2,FALSE)</f>
        <v>0</v>
      </c>
      <c r="F27" s="60">
        <f>$G$21+$G$22*E27</f>
        <v>123.09090909090909</v>
      </c>
      <c r="H27" s="69"/>
      <c r="J27" s="68"/>
      <c r="K27" s="862" t="s">
        <v>16</v>
      </c>
      <c r="L27" s="856"/>
      <c r="M27" s="856"/>
      <c r="N27" s="856"/>
      <c r="O27" s="856"/>
      <c r="P27" s="856"/>
      <c r="Q27" s="856"/>
      <c r="R27" s="863"/>
      <c r="S27" s="74"/>
      <c r="T27" s="74"/>
      <c r="U27" s="867" t="s">
        <v>16</v>
      </c>
      <c r="V27" s="868"/>
      <c r="W27" s="868"/>
      <c r="X27" s="868"/>
      <c r="Y27" s="868"/>
      <c r="Z27" s="868"/>
      <c r="AA27" s="868"/>
      <c r="AB27" s="869"/>
      <c r="AC27" s="69"/>
    </row>
    <row r="28" spans="2:30" ht="16.2" thickBot="1" x14ac:dyDescent="0.4">
      <c r="B28" s="68"/>
      <c r="D28" s="40">
        <v>5</v>
      </c>
      <c r="E28" s="35">
        <f>VLOOKUP(D28,'Tabel Ktr Normal'!$C$5:$D$25,2,FALSE)</f>
        <v>0.84</v>
      </c>
      <c r="F28" s="58">
        <f t="shared" ref="F28:F34" si="23">$G$21+$G$22*E28</f>
        <v>147.23986321845973</v>
      </c>
      <c r="H28" s="69"/>
      <c r="J28" s="68"/>
      <c r="K28" s="53" t="s">
        <v>21</v>
      </c>
      <c r="L28" s="54" t="s">
        <v>4838</v>
      </c>
      <c r="M28" s="54" t="s">
        <v>201</v>
      </c>
      <c r="N28" s="54" t="s">
        <v>4839</v>
      </c>
      <c r="O28" s="54" t="s">
        <v>183</v>
      </c>
      <c r="P28" s="54" t="s">
        <v>4837</v>
      </c>
      <c r="Q28" s="54" t="s">
        <v>4836</v>
      </c>
      <c r="R28" s="55" t="s">
        <v>186</v>
      </c>
      <c r="S28" s="74"/>
      <c r="T28" s="74"/>
      <c r="U28" s="215"/>
      <c r="AB28" s="69"/>
      <c r="AC28" s="69"/>
    </row>
    <row r="29" spans="2:30" ht="15" thickTop="1" x14ac:dyDescent="0.3">
      <c r="B29" s="68"/>
      <c r="D29" s="40">
        <v>10</v>
      </c>
      <c r="E29" s="35">
        <f>VLOOKUP(D29,'Tabel Ktr Normal'!$C$5:$D$25,2,FALSE)</f>
        <v>1.28</v>
      </c>
      <c r="F29" s="58">
        <f t="shared" si="23"/>
        <v>159.88931538051008</v>
      </c>
      <c r="H29" s="69"/>
      <c r="J29" s="68"/>
      <c r="K29" s="36">
        <v>1</v>
      </c>
      <c r="L29" s="169">
        <f t="shared" ref="L29:L32" si="24">K29/($G$20+1)</f>
        <v>8.3333333333333329E-2</v>
      </c>
      <c r="M29" s="203">
        <f>G7</f>
        <v>172</v>
      </c>
      <c r="N29" s="169">
        <f>$K$29-L29</f>
        <v>0.91666666666666663</v>
      </c>
      <c r="O29" s="169">
        <f t="shared" ref="O29:O39" si="25">(M29-$G$21)/$G$22</f>
        <v>1.7012594477855905</v>
      </c>
      <c r="P29" s="169">
        <f>1-FORECAST(O29,Z_SCORE!G55:G56,Z_SCORE!A55:A56)</f>
        <v>3.9959478435982687E-2</v>
      </c>
      <c r="Q29" s="169">
        <f t="shared" ref="Q29:Q32" si="26">$K$29-P29</f>
        <v>0.96004052156401731</v>
      </c>
      <c r="R29" s="306">
        <f>ABS(L29-P29)</f>
        <v>4.3373854897350642E-2</v>
      </c>
      <c r="S29" s="74"/>
      <c r="T29" s="1046"/>
      <c r="U29" s="870" t="s">
        <v>135</v>
      </c>
      <c r="V29" s="871"/>
      <c r="W29" s="208" t="s">
        <v>130</v>
      </c>
      <c r="X29" s="290">
        <f>ROUNDUP(1+1.33*LN(G20),0)</f>
        <v>5</v>
      </c>
      <c r="Y29" s="872" t="s">
        <v>133</v>
      </c>
      <c r="Z29" s="871"/>
      <c r="AA29" s="208" t="s">
        <v>118</v>
      </c>
      <c r="AB29" s="231">
        <f>G20/X29</f>
        <v>2.2000000000000002</v>
      </c>
      <c r="AC29" s="69"/>
    </row>
    <row r="30" spans="2:30" x14ac:dyDescent="0.3">
      <c r="B30" s="68"/>
      <c r="D30" s="40">
        <v>25</v>
      </c>
      <c r="E30" s="35">
        <f>VLOOKUP(D30,'Tabel Ktr Normal'!$C$5:$D$25,2,FALSE)</f>
        <v>1.64</v>
      </c>
      <c r="F30" s="58">
        <f t="shared" si="23"/>
        <v>170.23886714946036</v>
      </c>
      <c r="H30" s="69"/>
      <c r="J30" s="68"/>
      <c r="K30" s="36">
        <v>2</v>
      </c>
      <c r="L30" s="169">
        <f t="shared" si="24"/>
        <v>0.16666666666666666</v>
      </c>
      <c r="M30" s="203">
        <f t="shared" ref="M30:M39" si="27">G8</f>
        <v>155</v>
      </c>
      <c r="N30" s="169">
        <f t="shared" ref="N30:N39" si="28">$K$29-L30</f>
        <v>0.83333333333333337</v>
      </c>
      <c r="O30" s="169">
        <f t="shared" si="25"/>
        <v>1.1099294910274018</v>
      </c>
      <c r="P30" s="169">
        <f>1-FORECAST(O30,Z_SCORE!G49:G50,Z_SCORE!A49:A50)</f>
        <v>0.12314349425265803</v>
      </c>
      <c r="Q30" s="169">
        <f t="shared" si="26"/>
        <v>0.87685650574734197</v>
      </c>
      <c r="R30" s="306">
        <f t="shared" ref="R30:R39" si="29">ABS(L30-P30)</f>
        <v>4.3523172414008632E-2</v>
      </c>
      <c r="S30" s="74"/>
      <c r="T30" s="1046"/>
      <c r="U30" s="870" t="s">
        <v>134</v>
      </c>
      <c r="V30" s="871"/>
      <c r="W30" s="208" t="s">
        <v>131</v>
      </c>
      <c r="X30" s="38">
        <f>X29-(2+1)</f>
        <v>2</v>
      </c>
      <c r="Y30" s="229" t="s">
        <v>138</v>
      </c>
      <c r="Z30" s="230"/>
      <c r="AA30" s="208" t="s">
        <v>137</v>
      </c>
      <c r="AB30" s="41">
        <f>ROUND((G23-G24)/(X29-1),0)</f>
        <v>25</v>
      </c>
      <c r="AC30" s="69"/>
    </row>
    <row r="31" spans="2:30" ht="15.6" x14ac:dyDescent="0.35">
      <c r="B31" s="68"/>
      <c r="D31" s="40">
        <v>50</v>
      </c>
      <c r="E31" s="35">
        <f>VLOOKUP(D31,'Tabel Ktr Normal'!$C$5:$D$25,2,FALSE)</f>
        <v>2.0499999999999998</v>
      </c>
      <c r="F31" s="58">
        <f t="shared" si="23"/>
        <v>182.02585666409817</v>
      </c>
      <c r="H31" s="69"/>
      <c r="J31" s="68"/>
      <c r="K31" s="36">
        <v>3</v>
      </c>
      <c r="L31" s="169">
        <f t="shared" si="24"/>
        <v>0.25</v>
      </c>
      <c r="M31" s="203">
        <f t="shared" si="27"/>
        <v>141</v>
      </c>
      <c r="N31" s="169">
        <f t="shared" si="28"/>
        <v>0.75</v>
      </c>
      <c r="O31" s="169">
        <f t="shared" si="25"/>
        <v>0.62295187957948195</v>
      </c>
      <c r="P31" s="169">
        <f>1-FORECAST(O31,Z_SCORE!G44:G45,Z_SCORE!A44:A45)</f>
        <v>0.25068065271408146</v>
      </c>
      <c r="Q31" s="169">
        <f t="shared" si="26"/>
        <v>0.74931934728591854</v>
      </c>
      <c r="R31" s="306">
        <f t="shared" si="29"/>
        <v>6.8065271408146444E-4</v>
      </c>
      <c r="S31" s="74"/>
      <c r="T31" s="1046"/>
      <c r="U31" s="873" t="s">
        <v>144</v>
      </c>
      <c r="V31" s="874"/>
      <c r="W31" s="289">
        <v>0.05</v>
      </c>
      <c r="X31" s="232">
        <f>IF(W31='Tabel Alfa Chi Square'!C5,2,IF(W31='Tabel Alfa Chi Square'!D5,3,IF(W31='Tabel Alfa Chi Square'!E5,4,IF(W31='Tabel Alfa Chi Square'!F5,5,IF(W31='Tabel Alfa Chi Square'!G5,6,IF(W31='Tabel Alfa Chi Square'!H5,7,IF(W31='Tabel Alfa Chi Square'!I5,8,IF(W31='Tabel Alfa Chi Square'!J5,9))))))))</f>
        <v>6</v>
      </c>
      <c r="Y31" s="229" t="s">
        <v>139</v>
      </c>
      <c r="Z31" s="230"/>
      <c r="AA31" s="208" t="s">
        <v>125</v>
      </c>
      <c r="AB31" s="41">
        <f>ROUND(G24-0.5*AB30,0)</f>
        <v>62</v>
      </c>
      <c r="AC31" s="69"/>
    </row>
    <row r="32" spans="2:30" ht="15.6" x14ac:dyDescent="0.35">
      <c r="B32" s="68"/>
      <c r="D32" s="40">
        <v>100</v>
      </c>
      <c r="E32" s="35">
        <f>VLOOKUP(D32,'Tabel Ktr Normal'!$C$5:$D$25,2,FALSE)</f>
        <v>2.33</v>
      </c>
      <c r="F32" s="58">
        <f t="shared" si="23"/>
        <v>190.07550803994837</v>
      </c>
      <c r="H32" s="69"/>
      <c r="J32" s="68"/>
      <c r="K32" s="36">
        <v>4</v>
      </c>
      <c r="L32" s="169">
        <f t="shared" si="24"/>
        <v>0.33333333333333331</v>
      </c>
      <c r="M32" s="203">
        <f t="shared" si="27"/>
        <v>139</v>
      </c>
      <c r="N32" s="169">
        <f t="shared" si="28"/>
        <v>0.66666666666666674</v>
      </c>
      <c r="O32" s="169">
        <f t="shared" si="25"/>
        <v>0.55338364937263618</v>
      </c>
      <c r="P32" s="169">
        <f>1-FORECAST(O32,Z_SCORE!G43:G44,Z_SCORE!A43:A44)</f>
        <v>0.27337577104799993</v>
      </c>
      <c r="Q32" s="169">
        <f t="shared" si="26"/>
        <v>0.72662422895200007</v>
      </c>
      <c r="R32" s="306">
        <f t="shared" si="29"/>
        <v>5.9957562285333388E-2</v>
      </c>
      <c r="S32" s="74"/>
      <c r="T32" s="1046"/>
      <c r="U32" s="870" t="s">
        <v>132</v>
      </c>
      <c r="V32" s="871"/>
      <c r="W32" s="204" t="s">
        <v>112</v>
      </c>
      <c r="X32" s="38">
        <f>VLOOKUP(X30,'Tabel Alfa Chi Square'!$B$7:$J$36,'RTr Normal'!X31,FALSE)</f>
        <v>5.9909999999999997</v>
      </c>
      <c r="Y32" s="229" t="s">
        <v>140</v>
      </c>
      <c r="Z32" s="230"/>
      <c r="AA32" s="208" t="s">
        <v>126</v>
      </c>
      <c r="AB32" s="41">
        <f>ROUND(G23+0.5*AB30,0)</f>
        <v>185</v>
      </c>
      <c r="AC32" s="69"/>
    </row>
    <row r="33" spans="2:29" x14ac:dyDescent="0.3">
      <c r="B33" s="68"/>
      <c r="D33" s="40">
        <v>200</v>
      </c>
      <c r="E33" s="35">
        <f>VLOOKUP(D33,'Tabel Ktr Normal'!$C$5:$D$25,2,FALSE)</f>
        <v>2.58</v>
      </c>
      <c r="F33" s="58">
        <f t="shared" si="23"/>
        <v>197.26269676838606</v>
      </c>
      <c r="H33" s="69"/>
      <c r="J33" s="68"/>
      <c r="K33" s="36">
        <v>5</v>
      </c>
      <c r="L33" s="169">
        <f t="shared" ref="L33:L39" si="30">K33/($G$20+1)</f>
        <v>0.41666666666666669</v>
      </c>
      <c r="M33" s="203">
        <f t="shared" si="27"/>
        <v>134</v>
      </c>
      <c r="N33" s="169">
        <f t="shared" si="28"/>
        <v>0.58333333333333326</v>
      </c>
      <c r="O33" s="169">
        <f t="shared" si="25"/>
        <v>0.37946307385552197</v>
      </c>
      <c r="P33" s="169">
        <f>1-FORECAST(O33,Z_SCORE!G41:G42,Z_SCORE!B41:B42)</f>
        <v>0.59718627368192867</v>
      </c>
      <c r="Q33" s="169">
        <f t="shared" ref="Q33:Q39" si="31">$K$29-P33</f>
        <v>0.40281372631807133</v>
      </c>
      <c r="R33" s="306">
        <f t="shared" si="29"/>
        <v>0.18051960701526198</v>
      </c>
      <c r="S33" s="74"/>
      <c r="T33" s="1046"/>
      <c r="U33" s="68"/>
      <c r="AB33" s="69"/>
      <c r="AC33" s="69"/>
    </row>
    <row r="34" spans="2:29" ht="16.8" thickBot="1" x14ac:dyDescent="0.35">
      <c r="B34" s="68"/>
      <c r="D34" s="42">
        <v>1000</v>
      </c>
      <c r="E34" s="35">
        <f>VLOOKUP(D34,'Tabel Ktr Normal'!$C$5:$D$25,2,FALSE)</f>
        <v>3.09</v>
      </c>
      <c r="F34" s="59">
        <f t="shared" si="23"/>
        <v>211.92456177439897</v>
      </c>
      <c r="H34" s="69"/>
      <c r="J34" s="68"/>
      <c r="K34" s="36">
        <v>6</v>
      </c>
      <c r="L34" s="169">
        <f t="shared" si="30"/>
        <v>0.5</v>
      </c>
      <c r="M34" s="203">
        <f t="shared" si="27"/>
        <v>121</v>
      </c>
      <c r="N34" s="169">
        <f t="shared" si="28"/>
        <v>0.5</v>
      </c>
      <c r="O34" s="169">
        <f t="shared" si="25"/>
        <v>-7.2730422488975155E-2</v>
      </c>
      <c r="P34" s="169">
        <f>1-FORECAST(O34,Z_SCORE!G29:G30,Z_SCORE!A29:A30)</f>
        <v>0.5921190920993139</v>
      </c>
      <c r="Q34" s="169">
        <f t="shared" si="31"/>
        <v>0.4078809079006861</v>
      </c>
      <c r="R34" s="306">
        <f t="shared" si="29"/>
        <v>9.2119092099313904E-2</v>
      </c>
      <c r="S34" s="74"/>
      <c r="T34" s="1046"/>
      <c r="U34" s="216" t="s">
        <v>114</v>
      </c>
      <c r="V34" s="214" t="s">
        <v>115</v>
      </c>
      <c r="W34" s="214" t="s">
        <v>116</v>
      </c>
      <c r="X34" s="214" t="s">
        <v>117</v>
      </c>
      <c r="Y34" s="214" t="s">
        <v>118</v>
      </c>
      <c r="Z34" s="214" t="s">
        <v>119</v>
      </c>
      <c r="AA34" s="214" t="s">
        <v>120</v>
      </c>
      <c r="AB34" s="217" t="s">
        <v>143</v>
      </c>
      <c r="AC34" s="69"/>
    </row>
    <row r="35" spans="2:29" ht="15" thickBot="1" x14ac:dyDescent="0.35">
      <c r="B35" s="70"/>
      <c r="C35" s="71"/>
      <c r="D35" s="71"/>
      <c r="E35" s="71"/>
      <c r="F35" s="71"/>
      <c r="G35" s="71"/>
      <c r="H35" s="72"/>
      <c r="J35" s="68"/>
      <c r="K35" s="36">
        <v>7</v>
      </c>
      <c r="L35" s="169">
        <f t="shared" si="30"/>
        <v>0.58333333333333337</v>
      </c>
      <c r="M35" s="203">
        <f t="shared" si="27"/>
        <v>119</v>
      </c>
      <c r="N35" s="169">
        <f t="shared" si="28"/>
        <v>0.41666666666666663</v>
      </c>
      <c r="O35" s="169">
        <f t="shared" si="25"/>
        <v>-0.14229865269582084</v>
      </c>
      <c r="P35" s="169">
        <f>1-FORECAST(O35,Z_SCORE!G35:G36,Z_SCORE!A35:A36)</f>
        <v>0.57613877320406592</v>
      </c>
      <c r="Q35" s="169">
        <f t="shared" si="31"/>
        <v>0.42386122679593408</v>
      </c>
      <c r="R35" s="306">
        <f t="shared" si="29"/>
        <v>7.1945601292674466E-3</v>
      </c>
      <c r="S35" s="74"/>
      <c r="T35" s="1046"/>
      <c r="U35" s="218">
        <v>1</v>
      </c>
      <c r="V35" s="211">
        <f>AB31</f>
        <v>62</v>
      </c>
      <c r="W35" s="211">
        <f>V35+AB30</f>
        <v>87</v>
      </c>
      <c r="X35" s="211" t="str">
        <f>ROUND(V35,0)&amp;" &lt;= P &lt;= " &amp; ROUND(W35,0)</f>
        <v>62 &lt;= P &lt;= 87</v>
      </c>
      <c r="Y35" s="212">
        <f>$AB$29</f>
        <v>2.2000000000000002</v>
      </c>
      <c r="Z35" s="35">
        <f>COUNTIFS($F$7:$F$17,"&gt;=" &amp;V35,$F$7:$F$17,"&lt;=" &amp;W35)</f>
        <v>1</v>
      </c>
      <c r="AA35" s="213">
        <f>Y35-Z35</f>
        <v>1.2000000000000002</v>
      </c>
      <c r="AB35" s="219">
        <f>AA35^2/Y35</f>
        <v>0.65454545454545465</v>
      </c>
      <c r="AC35" s="69"/>
    </row>
    <row r="36" spans="2:29" x14ac:dyDescent="0.3">
      <c r="J36" s="68"/>
      <c r="K36" s="36">
        <v>8</v>
      </c>
      <c r="L36" s="169">
        <f t="shared" si="30"/>
        <v>0.66666666666666663</v>
      </c>
      <c r="M36" s="203">
        <f t="shared" si="27"/>
        <v>106</v>
      </c>
      <c r="N36" s="169">
        <f t="shared" si="28"/>
        <v>0.33333333333333337</v>
      </c>
      <c r="O36" s="169">
        <f t="shared" si="25"/>
        <v>-0.594492149040318</v>
      </c>
      <c r="P36" s="169">
        <f>1-FORECAST(O36,Z_SCORE!G31:G32,Z_SCORE!A31:A32)</f>
        <v>0.74036037777946628</v>
      </c>
      <c r="Q36" s="169">
        <f t="shared" si="31"/>
        <v>0.25963962222053372</v>
      </c>
      <c r="R36" s="306">
        <f t="shared" si="29"/>
        <v>7.3693711112799654E-2</v>
      </c>
      <c r="S36" s="74"/>
      <c r="T36" s="1046"/>
      <c r="U36" s="220">
        <v>2</v>
      </c>
      <c r="V36" s="210">
        <f>W35</f>
        <v>87</v>
      </c>
      <c r="W36" s="210">
        <f>V36+$AB$30</f>
        <v>112</v>
      </c>
      <c r="X36" s="210" t="str">
        <f>ROUND(V36,0)&amp;" &lt; P &lt;= " &amp; ROUND(W36,0)</f>
        <v>87 &lt; P &lt;= 112</v>
      </c>
      <c r="Y36" s="212">
        <f t="shared" ref="Y36:Y39" si="32">$AB$29</f>
        <v>2.2000000000000002</v>
      </c>
      <c r="Z36" s="38">
        <f>COUNTIFS($F$7:$F$17,"&gt;" &amp;V36,$F$7:$F$17,"&lt;=" &amp;W36)</f>
        <v>3</v>
      </c>
      <c r="AA36" s="123">
        <f t="shared" ref="AA36:AA39" si="33">Y36-Z36</f>
        <v>-0.79999999999999982</v>
      </c>
      <c r="AB36" s="221">
        <f t="shared" ref="AB36:AB39" si="34">AA36^2/Y36</f>
        <v>0.29090909090909073</v>
      </c>
      <c r="AC36" s="69"/>
    </row>
    <row r="37" spans="2:29" x14ac:dyDescent="0.3">
      <c r="J37" s="68"/>
      <c r="K37" s="36">
        <v>9</v>
      </c>
      <c r="L37" s="169">
        <f t="shared" si="30"/>
        <v>0.75</v>
      </c>
      <c r="M37" s="203">
        <f t="shared" si="27"/>
        <v>100</v>
      </c>
      <c r="N37" s="169">
        <f t="shared" si="28"/>
        <v>0.25</v>
      </c>
      <c r="O37" s="169">
        <f t="shared" si="25"/>
        <v>-0.80319683966085509</v>
      </c>
      <c r="P37" s="169">
        <f>1-FORECAST(O37,Z_SCORE!G28:G29,Z_SCORE!A28:A29)</f>
        <v>0.8031503593497874</v>
      </c>
      <c r="Q37" s="169">
        <f t="shared" si="31"/>
        <v>0.1968496406502126</v>
      </c>
      <c r="R37" s="306">
        <f t="shared" si="29"/>
        <v>5.3150359349787402E-2</v>
      </c>
      <c r="S37" s="74"/>
      <c r="T37" s="1046"/>
      <c r="U37" s="220">
        <v>3</v>
      </c>
      <c r="V37" s="210">
        <f t="shared" ref="V37:V39" si="35">W36</f>
        <v>112</v>
      </c>
      <c r="W37" s="210">
        <f t="shared" ref="W37:W39" si="36">V37+$AB$30</f>
        <v>137</v>
      </c>
      <c r="X37" s="210" t="str">
        <f>ROUND(V37,0)&amp;" &lt; P &lt;= " &amp; ROUND(W37,0)</f>
        <v>112 &lt; P &lt;= 137</v>
      </c>
      <c r="Y37" s="212">
        <f t="shared" si="32"/>
        <v>2.2000000000000002</v>
      </c>
      <c r="Z37" s="38">
        <f>COUNTIFS($F$7:$F$17,"&gt;" &amp;V37,$F$7:$F$17,"&lt;=" &amp;W37)</f>
        <v>3</v>
      </c>
      <c r="AA37" s="123">
        <f t="shared" si="33"/>
        <v>-0.79999999999999982</v>
      </c>
      <c r="AB37" s="221">
        <f t="shared" si="34"/>
        <v>0.29090909090909073</v>
      </c>
      <c r="AC37" s="69"/>
    </row>
    <row r="38" spans="2:29" x14ac:dyDescent="0.3">
      <c r="J38" s="68"/>
      <c r="K38" s="36">
        <v>10</v>
      </c>
      <c r="L38" s="308">
        <f t="shared" si="30"/>
        <v>0.83333333333333337</v>
      </c>
      <c r="M38" s="203">
        <f t="shared" si="27"/>
        <v>93</v>
      </c>
      <c r="N38" s="169">
        <f t="shared" si="28"/>
        <v>0.16666666666666663</v>
      </c>
      <c r="O38" s="169">
        <f t="shared" si="25"/>
        <v>-1.046685645384815</v>
      </c>
      <c r="P38" s="169">
        <f>1-FORECAST(O38,Z_SCORE!G26:G27,Z_SCORE!A26:A27)</f>
        <v>0.86327747069388971</v>
      </c>
      <c r="Q38" s="308">
        <f t="shared" si="31"/>
        <v>0.13672252930611029</v>
      </c>
      <c r="R38" s="306">
        <f t="shared" si="29"/>
        <v>2.9944137360556344E-2</v>
      </c>
      <c r="S38" s="74"/>
      <c r="T38" s="1046"/>
      <c r="U38" s="220">
        <v>4</v>
      </c>
      <c r="V38" s="210">
        <f t="shared" si="35"/>
        <v>137</v>
      </c>
      <c r="W38" s="210">
        <f t="shared" si="36"/>
        <v>162</v>
      </c>
      <c r="X38" s="210" t="str">
        <f>ROUND(V38,0)&amp;" &lt; P &lt;= " &amp; ROUND(W38,0)</f>
        <v>137 &lt; P &lt;= 162</v>
      </c>
      <c r="Y38" s="212">
        <f t="shared" si="32"/>
        <v>2.2000000000000002</v>
      </c>
      <c r="Z38" s="38">
        <f>COUNTIFS($F$7:$F$17,"&gt;" &amp;V38,$F$7:$F$17,"&lt;=" &amp;W38)</f>
        <v>3</v>
      </c>
      <c r="AA38" s="123">
        <f t="shared" si="33"/>
        <v>-0.79999999999999982</v>
      </c>
      <c r="AB38" s="221">
        <f t="shared" si="34"/>
        <v>0.29090909090909073</v>
      </c>
      <c r="AC38" s="69"/>
    </row>
    <row r="39" spans="2:29" ht="15" thickBot="1" x14ac:dyDescent="0.35">
      <c r="J39" s="68"/>
      <c r="K39" s="310">
        <v>11</v>
      </c>
      <c r="L39" s="311">
        <f t="shared" si="30"/>
        <v>0.91666666666666663</v>
      </c>
      <c r="M39" s="203">
        <f t="shared" si="27"/>
        <v>74</v>
      </c>
      <c r="N39" s="169">
        <f t="shared" si="28"/>
        <v>8.333333333333337E-2</v>
      </c>
      <c r="O39" s="169">
        <f t="shared" si="25"/>
        <v>-1.7075838323498493</v>
      </c>
      <c r="P39" s="169">
        <f>1-FORECAST(O39,Z_SCORE!G19:G20,Z_SCORE!A19:A20)</f>
        <v>0.96049912275563809</v>
      </c>
      <c r="Q39" s="169">
        <f t="shared" si="31"/>
        <v>3.9500877244361909E-2</v>
      </c>
      <c r="R39" s="306">
        <f t="shared" si="29"/>
        <v>4.3832456088971461E-2</v>
      </c>
      <c r="S39" s="74"/>
      <c r="T39" s="1046"/>
      <c r="U39" s="220">
        <v>5</v>
      </c>
      <c r="V39" s="210">
        <f t="shared" si="35"/>
        <v>162</v>
      </c>
      <c r="W39" s="210">
        <f t="shared" si="36"/>
        <v>187</v>
      </c>
      <c r="X39" s="210" t="str">
        <f>ROUND(V39,0)&amp;" &lt; P &lt;= " &amp; ROUND(W39,0)</f>
        <v>162 &lt; P &lt;= 187</v>
      </c>
      <c r="Y39" s="212">
        <f t="shared" si="32"/>
        <v>2.2000000000000002</v>
      </c>
      <c r="Z39" s="38">
        <f>COUNTIFS($F$7:$F$17,"&gt;" &amp;V39,$F$7:$F$17,"&lt;=" &amp;W39)</f>
        <v>1</v>
      </c>
      <c r="AA39" s="123">
        <f t="shared" si="33"/>
        <v>1.2000000000000002</v>
      </c>
      <c r="AB39" s="221">
        <f t="shared" si="34"/>
        <v>0.65454545454545465</v>
      </c>
      <c r="AC39" s="69"/>
    </row>
    <row r="40" spans="2:29" ht="15" thickBot="1" x14ac:dyDescent="0.35">
      <c r="J40" s="68"/>
      <c r="K40" s="74"/>
      <c r="L40" s="74"/>
      <c r="M40" s="74"/>
      <c r="N40" s="74"/>
      <c r="O40" s="74"/>
      <c r="P40" s="74"/>
      <c r="Q40" s="312" t="s">
        <v>187</v>
      </c>
      <c r="R40" s="313">
        <f>ROUND(MAX(R29:R38),3)</f>
        <v>0.18099999999999999</v>
      </c>
      <c r="S40" s="74"/>
      <c r="T40" s="74"/>
      <c r="U40" s="220"/>
      <c r="V40" s="210"/>
      <c r="W40" s="210"/>
      <c r="X40" s="210"/>
      <c r="Y40" s="210"/>
      <c r="Z40" s="210"/>
      <c r="AA40" s="210"/>
      <c r="AB40" s="222"/>
      <c r="AC40" s="69"/>
    </row>
    <row r="41" spans="2:29" ht="15" thickBot="1" x14ac:dyDescent="0.35">
      <c r="J41" s="68"/>
      <c r="K41" s="74" t="s">
        <v>189</v>
      </c>
      <c r="L41" s="74"/>
      <c r="M41" s="74"/>
      <c r="N41" s="314">
        <v>0.05</v>
      </c>
      <c r="O41" s="327">
        <f>IF(N41=0.2,2,IF(N41=0.1,3,IF(N41=0.05,4,IF(N41=0.01,5))))</f>
        <v>4</v>
      </c>
      <c r="P41" s="74"/>
      <c r="Q41" s="74"/>
      <c r="R41" s="74"/>
      <c r="S41" s="74"/>
      <c r="T41" s="74"/>
      <c r="U41" s="223"/>
      <c r="V41" s="224"/>
      <c r="W41" s="224"/>
      <c r="X41" s="224"/>
      <c r="Y41" s="224"/>
      <c r="Z41" s="224"/>
      <c r="AA41" s="224"/>
      <c r="AB41" s="225"/>
      <c r="AC41" s="69"/>
    </row>
    <row r="42" spans="2:29" ht="17.399999999999999" thickTop="1" thickBot="1" x14ac:dyDescent="0.35">
      <c r="J42" s="68"/>
      <c r="K42" s="74" t="s">
        <v>190</v>
      </c>
      <c r="L42" s="74"/>
      <c r="M42" s="74"/>
      <c r="N42" s="74">
        <f>VLOOKUP(G20,'Tabel Do Smirnov-Kolmogorov'!$B$6:$F$49,'RTr Normal'!O41,FALSE)</f>
        <v>0.39100000000000001</v>
      </c>
      <c r="O42" s="74"/>
      <c r="P42" s="74"/>
      <c r="Q42" s="74"/>
      <c r="R42" s="74"/>
      <c r="S42" s="74"/>
      <c r="T42" s="74"/>
      <c r="U42" s="853" t="s">
        <v>122</v>
      </c>
      <c r="V42" s="854"/>
      <c r="W42" s="226"/>
      <c r="X42" s="226"/>
      <c r="Y42" s="269">
        <f>SUM(Y35:Y41)</f>
        <v>11</v>
      </c>
      <c r="Z42" s="269">
        <f>SUM(Z35:Z41)</f>
        <v>11</v>
      </c>
      <c r="AA42" s="227" t="s">
        <v>123</v>
      </c>
      <c r="AB42" s="228">
        <f>SUM(AB35:AB41)</f>
        <v>2.1818181818181817</v>
      </c>
      <c r="AC42" s="69"/>
    </row>
    <row r="43" spans="2:29" x14ac:dyDescent="0.3">
      <c r="J43" s="68"/>
      <c r="K43" s="74" t="str">
        <f>"Nilai D max = " &amp;R40 &amp; ", maka uji ini:"</f>
        <v>Nilai D max = 0.181, maka uji ini:</v>
      </c>
      <c r="L43" s="74"/>
      <c r="M43" s="74"/>
      <c r="N43" s="328" t="str">
        <f>IF(R40&lt;N42,"MEMENUHI SYARAT","TIDAKMEMENUHISYARAT")</f>
        <v>MEMENUHI SYARAT</v>
      </c>
      <c r="O43" s="74"/>
      <c r="P43" s="74"/>
      <c r="Q43" s="74"/>
      <c r="R43" s="74"/>
      <c r="S43" s="74"/>
      <c r="T43" s="74"/>
      <c r="AC43" s="69"/>
    </row>
    <row r="44" spans="2:29" ht="16.2" x14ac:dyDescent="0.3">
      <c r="J44" s="68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t="s">
        <v>136</v>
      </c>
      <c r="V44" s="82">
        <f>AB42</f>
        <v>2.1818181818181817</v>
      </c>
      <c r="W44" t="s">
        <v>121</v>
      </c>
      <c r="X44" s="209" t="str">
        <f>IF(V44&lt;X32,"MEMENUHI SYARAT","TIDAK MEMENUHI SYARAT")</f>
        <v>MEMENUHI SYARAT</v>
      </c>
      <c r="Z44"/>
      <c r="AC44" s="69"/>
    </row>
    <row r="45" spans="2:29" ht="15" thickBot="1" x14ac:dyDescent="0.35">
      <c r="J45" s="70"/>
      <c r="K45" s="329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71"/>
      <c r="W45" s="71"/>
      <c r="X45" s="71"/>
      <c r="Y45" s="71"/>
      <c r="Z45" s="71"/>
      <c r="AA45" s="71"/>
      <c r="AB45" s="71"/>
      <c r="AC45" s="72"/>
    </row>
    <row r="46" spans="2:29" x14ac:dyDescent="0.3"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</row>
    <row r="47" spans="2:29" x14ac:dyDescent="0.3">
      <c r="U47" s="1" t="s">
        <v>4817</v>
      </c>
      <c r="V47" s="1" t="s">
        <v>4610</v>
      </c>
      <c r="W47" s="1" t="s">
        <v>27</v>
      </c>
      <c r="X47" s="1" t="s">
        <v>24</v>
      </c>
      <c r="Y47" s="1" t="s">
        <v>4818</v>
      </c>
    </row>
    <row r="48" spans="2:29" ht="15.6" x14ac:dyDescent="0.35">
      <c r="K48" s="74" t="s">
        <v>30</v>
      </c>
      <c r="U48" s="1">
        <v>1</v>
      </c>
      <c r="V48" s="1">
        <f ca="1">U48/COUNT($V$48:$V$52)</f>
        <v>0.2</v>
      </c>
      <c r="W48" s="1">
        <f ca="1">1/V48</f>
        <v>5</v>
      </c>
      <c r="X48" s="796">
        <f>'Tabel Ktr Normal'!D18</f>
        <v>0.84</v>
      </c>
      <c r="Y48" s="82">
        <f>(X48*$G$22)+$G$21</f>
        <v>147.23986321845973</v>
      </c>
      <c r="AA48" s="1" t="s">
        <v>4816</v>
      </c>
      <c r="AB48" s="82">
        <f>Y48</f>
        <v>147.23986321845973</v>
      </c>
    </row>
    <row r="49" spans="10:28" ht="15.6" x14ac:dyDescent="0.35">
      <c r="J49" s="1" t="s">
        <v>36</v>
      </c>
      <c r="K49" s="75">
        <v>25</v>
      </c>
      <c r="L49" s="75">
        <f>VLOOKUP(K49,'Tabel Ktr Normal'!$C$5:$D$25,2,FALSE)</f>
        <v>1.64</v>
      </c>
      <c r="M49" s="1" t="s">
        <v>34</v>
      </c>
      <c r="P49" s="1">
        <v>4.3999999999999997E-2</v>
      </c>
      <c r="U49" s="1">
        <v>2</v>
      </c>
      <c r="V49" s="1">
        <f t="shared" ref="V49:V52" ca="1" si="37">U49/COUNT($V$48:$V$52)</f>
        <v>0.4</v>
      </c>
      <c r="W49" s="1">
        <f t="shared" ref="W49:W52" ca="1" si="38">1/V49</f>
        <v>2.5</v>
      </c>
      <c r="X49" s="796">
        <f>'Tabel Ktr Normal'!D15</f>
        <v>0.25</v>
      </c>
      <c r="Y49" s="82">
        <f t="shared" ref="Y49:Y51" si="39">$G$21+(X49*$G$22)</f>
        <v>130.27809781934678</v>
      </c>
      <c r="Z49" s="82">
        <f>Y49</f>
        <v>130.27809781934678</v>
      </c>
      <c r="AA49" s="1" t="s">
        <v>165</v>
      </c>
      <c r="AB49" s="82">
        <f>Y48</f>
        <v>147.23986321845973</v>
      </c>
    </row>
    <row r="50" spans="10:28" x14ac:dyDescent="0.3">
      <c r="J50" s="1" t="s">
        <v>32</v>
      </c>
      <c r="K50" s="76">
        <f>M7</f>
        <v>12</v>
      </c>
      <c r="L50" s="77">
        <f>L49-((K49-K50)*((L49-L51)/(K49-K51)))</f>
        <v>1.3280000000000001</v>
      </c>
      <c r="M50" s="1" t="s">
        <v>31</v>
      </c>
      <c r="U50" s="1">
        <v>3</v>
      </c>
      <c r="V50" s="1">
        <f t="shared" ca="1" si="37"/>
        <v>0.6</v>
      </c>
      <c r="W50" s="82">
        <f t="shared" ca="1" si="38"/>
        <v>1.6666666666666667</v>
      </c>
      <c r="X50" s="796">
        <f>'Tabel Ktr Normal'!D13</f>
        <v>-0.25</v>
      </c>
      <c r="Y50" s="82">
        <v>115.9</v>
      </c>
      <c r="Z50" s="82">
        <f t="shared" ref="Z50:Z51" si="40">Y50</f>
        <v>115.9</v>
      </c>
      <c r="AA50" s="1" t="s">
        <v>165</v>
      </c>
      <c r="AB50" s="82">
        <f t="shared" ref="AB50:AB52" si="41">Y49</f>
        <v>130.27809781934678</v>
      </c>
    </row>
    <row r="51" spans="10:28" ht="15.6" x14ac:dyDescent="0.35">
      <c r="J51" s="1" t="s">
        <v>35</v>
      </c>
      <c r="K51" s="75">
        <v>10</v>
      </c>
      <c r="L51" s="75">
        <f>VLOOKUP(K51,'Tabel Ktr Normal'!$C$5:$D$25,2,FALSE)</f>
        <v>1.28</v>
      </c>
      <c r="M51" s="1" t="s">
        <v>33</v>
      </c>
      <c r="U51" s="1">
        <v>4</v>
      </c>
      <c r="V51" s="1">
        <f t="shared" ca="1" si="37"/>
        <v>0.8</v>
      </c>
      <c r="W51" s="1">
        <f t="shared" ca="1" si="38"/>
        <v>1.25</v>
      </c>
      <c r="X51" s="796">
        <f>'Tabel Ktr Normal'!D10</f>
        <v>-0.84</v>
      </c>
      <c r="Y51" s="82">
        <f t="shared" si="39"/>
        <v>98.941954963358455</v>
      </c>
      <c r="Z51" s="82">
        <f t="shared" si="40"/>
        <v>98.941954963358455</v>
      </c>
      <c r="AA51" s="1" t="s">
        <v>165</v>
      </c>
      <c r="AB51" s="82">
        <f t="shared" si="41"/>
        <v>115.9</v>
      </c>
    </row>
    <row r="52" spans="10:28" x14ac:dyDescent="0.3">
      <c r="U52" s="1">
        <v>5</v>
      </c>
      <c r="V52" s="1">
        <f t="shared" ca="1" si="37"/>
        <v>1</v>
      </c>
      <c r="W52" s="1">
        <f t="shared" ca="1" si="38"/>
        <v>1</v>
      </c>
      <c r="X52" s="796"/>
      <c r="AA52" s="1" t="s">
        <v>4819</v>
      </c>
      <c r="AB52" s="82">
        <f t="shared" si="41"/>
        <v>98.941954963358455</v>
      </c>
    </row>
    <row r="53" spans="10:28" x14ac:dyDescent="0.3">
      <c r="K53" s="75">
        <v>10</v>
      </c>
      <c r="L53" s="75">
        <f>VLOOKUP(K53,'Tabel Ktr Normal'!$C$5:$D$25,2,FALSE)</f>
        <v>1.28</v>
      </c>
    </row>
    <row r="54" spans="10:28" x14ac:dyDescent="0.3">
      <c r="K54" s="76">
        <f>M9</f>
        <v>4</v>
      </c>
      <c r="L54" s="77">
        <f>L53-((K53-K54)*((L53-L55)/(K53-K55)))</f>
        <v>0.752</v>
      </c>
    </row>
    <row r="55" spans="10:28" x14ac:dyDescent="0.3">
      <c r="K55" s="75">
        <v>5</v>
      </c>
      <c r="L55" s="75">
        <f>VLOOKUP(K55,'Tabel Ktr Normal'!$C$5:$D$25,2,FALSE)</f>
        <v>0.84</v>
      </c>
      <c r="X55" s="82"/>
    </row>
    <row r="56" spans="10:28" x14ac:dyDescent="0.3">
      <c r="Y56" s="82"/>
    </row>
    <row r="57" spans="10:28" x14ac:dyDescent="0.3">
      <c r="K57" s="75">
        <v>4</v>
      </c>
      <c r="L57" s="75">
        <f>VLOOKUP(K57,'Tabel Ktr Normal'!$C$5:$D$25,2,FALSE)</f>
        <v>0.67</v>
      </c>
    </row>
    <row r="58" spans="10:28" x14ac:dyDescent="0.3">
      <c r="K58" s="76">
        <f>M10</f>
        <v>3</v>
      </c>
      <c r="L58" s="77">
        <f>L57-((K57-K58)*((L57-L59)/(K57-K59)))</f>
        <v>0.44611940298507458</v>
      </c>
    </row>
    <row r="59" spans="10:28" x14ac:dyDescent="0.3">
      <c r="K59" s="75">
        <v>3.33</v>
      </c>
      <c r="L59" s="75">
        <f>VLOOKUP(K59,'Tabel Ktr Normal'!$C$5:$D$25,2,FALSE)</f>
        <v>0.52</v>
      </c>
    </row>
    <row r="61" spans="10:28" x14ac:dyDescent="0.3">
      <c r="K61" s="75">
        <v>3.33</v>
      </c>
      <c r="L61" s="75">
        <f>VLOOKUP(K61,'Tabel Ktr Normal'!$C$5:$D$25,2,FALSE)</f>
        <v>0.52</v>
      </c>
    </row>
    <row r="62" spans="10:28" x14ac:dyDescent="0.3">
      <c r="K62" s="76">
        <f>M11</f>
        <v>2.4</v>
      </c>
      <c r="L62" s="77">
        <f>L61-((K61-K62)*((L61-L63)/(K61-K63)))</f>
        <v>0.21746987951807228</v>
      </c>
    </row>
    <row r="63" spans="10:28" ht="16.8" thickBot="1" x14ac:dyDescent="0.35">
      <c r="K63" s="75">
        <v>2.5</v>
      </c>
      <c r="L63" s="75">
        <f>VLOOKUP(K63,'Tabel Ktr Normal'!$C$5:$D$25,2,FALSE)</f>
        <v>0.25</v>
      </c>
      <c r="U63" s="216" t="s">
        <v>114</v>
      </c>
      <c r="V63" s="214" t="s">
        <v>115</v>
      </c>
      <c r="W63" s="214" t="s">
        <v>116</v>
      </c>
      <c r="X63" s="214" t="s">
        <v>117</v>
      </c>
      <c r="Y63" s="214" t="s">
        <v>118</v>
      </c>
      <c r="Z63" s="214" t="s">
        <v>119</v>
      </c>
      <c r="AA63" s="214" t="s">
        <v>120</v>
      </c>
      <c r="AB63" s="217" t="s">
        <v>143</v>
      </c>
    </row>
    <row r="64" spans="10:28" ht="15" thickTop="1" x14ac:dyDescent="0.3">
      <c r="U64" s="218">
        <v>1</v>
      </c>
      <c r="V64" s="213">
        <f>Y48</f>
        <v>147.23986321845973</v>
      </c>
      <c r="W64" s="213"/>
      <c r="X64" s="211" t="str">
        <f>" P &gt; "&amp;ROUND(V64,2)</f>
        <v xml:space="preserve"> P &gt; 147.24</v>
      </c>
      <c r="Y64" s="212">
        <f>Y35</f>
        <v>2.2000000000000002</v>
      </c>
      <c r="Z64" s="35">
        <f>COUNTIFS($F$7:$F$17,"&gt;=" &amp;V64)</f>
        <v>2</v>
      </c>
      <c r="AA64" s="213">
        <f>Y64-Z64</f>
        <v>0.20000000000000018</v>
      </c>
      <c r="AB64" s="219">
        <f>AA64^2/Y64</f>
        <v>1.8181818181818212E-2</v>
      </c>
    </row>
    <row r="65" spans="11:28" x14ac:dyDescent="0.3">
      <c r="K65" s="75">
        <v>2.5</v>
      </c>
      <c r="L65" s="75">
        <f>VLOOKUP(K65,'Tabel Ktr Normal'!$C$5:$D$25,2,FALSE)</f>
        <v>0.25</v>
      </c>
      <c r="U65" s="220">
        <v>2</v>
      </c>
      <c r="V65" s="213">
        <f t="shared" ref="V65:V67" si="42">Y49</f>
        <v>130.27809781934678</v>
      </c>
      <c r="W65" s="123">
        <f>V64</f>
        <v>147.23986321845973</v>
      </c>
      <c r="X65" s="210" t="str">
        <f>ROUND(V65,2)&amp;" &lt; P &lt;= " &amp; ROUND(W65,2)</f>
        <v>130.28 &lt; P &lt;= 147.24</v>
      </c>
      <c r="Y65" s="212">
        <f t="shared" ref="Y65:Y68" si="43">Y36</f>
        <v>2.2000000000000002</v>
      </c>
      <c r="Z65" s="38">
        <f>COUNTIFS($F$7:$F$17,"&gt;" &amp;V65,$F$7:$F$17,"&lt;=" &amp;W65)</f>
        <v>3</v>
      </c>
      <c r="AA65" s="123">
        <f t="shared" ref="AA65:AA68" si="44">Y65-Z65</f>
        <v>-0.79999999999999982</v>
      </c>
      <c r="AB65" s="221">
        <f t="shared" ref="AB65:AB68" si="45">AA65^2/Y65</f>
        <v>0.29090909090909073</v>
      </c>
    </row>
    <row r="66" spans="11:28" x14ac:dyDescent="0.3">
      <c r="K66" s="77">
        <f>M12</f>
        <v>2</v>
      </c>
      <c r="L66" s="77">
        <f>L65-((K65-K66)*((L65-L67)/(K65-K67)))</f>
        <v>0</v>
      </c>
      <c r="U66" s="220">
        <v>3</v>
      </c>
      <c r="V66" s="213">
        <f t="shared" si="42"/>
        <v>115.9</v>
      </c>
      <c r="W66" s="123">
        <f t="shared" ref="W66:W68" si="46">V65</f>
        <v>130.27809781934678</v>
      </c>
      <c r="X66" s="210" t="str">
        <f>ROUND(V66,2)&amp;" &lt; P &lt;= " &amp; ROUND(W66,2)</f>
        <v>115.9 &lt; P &lt;= 130.28</v>
      </c>
      <c r="Y66" s="212">
        <f t="shared" si="43"/>
        <v>2.2000000000000002</v>
      </c>
      <c r="Z66" s="38">
        <f>COUNTIFS($F$7:$F$17,"&gt;" &amp;V66,$F$7:$F$17,"&lt;=" &amp;W66)</f>
        <v>2</v>
      </c>
      <c r="AA66" s="123">
        <f t="shared" si="44"/>
        <v>0.20000000000000018</v>
      </c>
      <c r="AB66" s="221">
        <f t="shared" si="45"/>
        <v>1.8181818181818212E-2</v>
      </c>
    </row>
    <row r="67" spans="11:28" x14ac:dyDescent="0.3">
      <c r="K67" s="75">
        <v>2</v>
      </c>
      <c r="L67" s="75">
        <f>VLOOKUP(K67,'Tabel Ktr Normal'!$C$5:$D$25,2,FALSE)</f>
        <v>0</v>
      </c>
      <c r="U67" s="220">
        <v>4</v>
      </c>
      <c r="V67" s="213">
        <f t="shared" si="42"/>
        <v>98.941954963358455</v>
      </c>
      <c r="W67" s="123">
        <f t="shared" si="46"/>
        <v>115.9</v>
      </c>
      <c r="X67" s="210" t="str">
        <f>ROUND(V67,2)&amp;" &lt; P &lt;= " &amp; ROUND(W67,2)</f>
        <v>98.94 &lt; P &lt;= 115.9</v>
      </c>
      <c r="Y67" s="212">
        <f t="shared" si="43"/>
        <v>2.2000000000000002</v>
      </c>
      <c r="Z67" s="38">
        <f>COUNTIFS($F$7:$F$17,"&gt;" &amp;V67,$F$7:$F$17,"&lt;=" &amp;W67)</f>
        <v>2</v>
      </c>
      <c r="AA67" s="123">
        <f t="shared" si="44"/>
        <v>0.20000000000000018</v>
      </c>
      <c r="AB67" s="221">
        <f t="shared" si="45"/>
        <v>1.8181818181818212E-2</v>
      </c>
    </row>
    <row r="68" spans="11:28" x14ac:dyDescent="0.3">
      <c r="U68" s="220">
        <v>5</v>
      </c>
      <c r="V68" s="123"/>
      <c r="W68" s="123">
        <f t="shared" si="46"/>
        <v>98.941954963358455</v>
      </c>
      <c r="X68" s="210" t="str">
        <f>" P &lt;= " &amp; ROUND(W68,2)</f>
        <v xml:space="preserve"> P &lt;= 98.94</v>
      </c>
      <c r="Y68" s="212">
        <f t="shared" si="43"/>
        <v>2.2000000000000002</v>
      </c>
      <c r="Z68" s="38">
        <f>COUNTIFS($F$7:$F$17,"&lt;=" &amp;W68)</f>
        <v>2</v>
      </c>
      <c r="AA68" s="123">
        <f t="shared" si="44"/>
        <v>0.20000000000000018</v>
      </c>
      <c r="AB68" s="221">
        <f t="shared" si="45"/>
        <v>1.8181818181818212E-2</v>
      </c>
    </row>
    <row r="69" spans="11:28" x14ac:dyDescent="0.3">
      <c r="K69" s="75">
        <v>2</v>
      </c>
      <c r="L69" s="75">
        <f>VLOOKUP(K69,'Tabel Ktr Normal'!$C$5:$D$25,2,FALSE)</f>
        <v>0</v>
      </c>
      <c r="U69" s="220"/>
      <c r="V69" s="210"/>
      <c r="W69" s="210"/>
      <c r="X69" s="210"/>
      <c r="Y69" s="210"/>
      <c r="Z69" s="210"/>
      <c r="AA69" s="210"/>
      <c r="AB69" s="222"/>
    </row>
    <row r="70" spans="11:28" ht="15" thickBot="1" x14ac:dyDescent="0.35">
      <c r="K70" s="76">
        <f>M13</f>
        <v>1.7142857142857142</v>
      </c>
      <c r="L70" s="77">
        <f>L69-((K69-K70)*((L69-L71)/(K69-K71)))</f>
        <v>-0.21645021645021648</v>
      </c>
      <c r="U70" s="223"/>
      <c r="V70" s="224"/>
      <c r="W70" s="224"/>
      <c r="X70" s="224"/>
      <c r="Y70" s="224"/>
      <c r="Z70" s="224"/>
      <c r="AA70" s="224"/>
      <c r="AB70" s="225"/>
    </row>
    <row r="71" spans="11:28" ht="17.399999999999999" thickTop="1" thickBot="1" x14ac:dyDescent="0.35">
      <c r="K71" s="75">
        <v>1.67</v>
      </c>
      <c r="L71" s="75">
        <f>VLOOKUP(K71,'Tabel Ktr Normal'!$C$5:$D$25,2,FALSE)</f>
        <v>-0.25</v>
      </c>
      <c r="U71" s="853" t="s">
        <v>122</v>
      </c>
      <c r="V71" s="854"/>
      <c r="W71" s="226"/>
      <c r="X71" s="226"/>
      <c r="Y71" s="269">
        <f>SUM(Y64:Y70)</f>
        <v>11</v>
      </c>
      <c r="Z71" s="269">
        <f>SUM(Z64:Z70)</f>
        <v>11</v>
      </c>
      <c r="AA71" s="227" t="s">
        <v>123</v>
      </c>
      <c r="AB71" s="1012">
        <f>SUM(AB64:AB70)</f>
        <v>0.36363636363636348</v>
      </c>
    </row>
    <row r="73" spans="11:28" x14ac:dyDescent="0.3">
      <c r="K73" s="75">
        <v>1.67</v>
      </c>
      <c r="L73" s="75">
        <f>VLOOKUP(K73,'Tabel Ktr Normal'!$C$5:$D$25,2,FALSE)</f>
        <v>-0.25</v>
      </c>
    </row>
    <row r="74" spans="11:28" x14ac:dyDescent="0.3">
      <c r="K74" s="77">
        <f>M14</f>
        <v>1.5</v>
      </c>
      <c r="L74" s="77">
        <f>L73-((K73-K74)*((L73-L75)/(K73-K75)))</f>
        <v>-0.44124999999999992</v>
      </c>
    </row>
    <row r="75" spans="11:28" ht="15" thickBot="1" x14ac:dyDescent="0.35">
      <c r="K75" s="75">
        <v>1.43</v>
      </c>
      <c r="L75" s="75">
        <f>VLOOKUP(K75,'Tabel Ktr Normal'!$C$5:$D$25,2,FALSE)</f>
        <v>-0.52</v>
      </c>
      <c r="O75" s="53" t="s">
        <v>21</v>
      </c>
      <c r="P75" s="54" t="s">
        <v>4838</v>
      </c>
      <c r="Q75" s="54" t="s">
        <v>4837</v>
      </c>
      <c r="R75" s="55" t="s">
        <v>186</v>
      </c>
    </row>
    <row r="76" spans="11:28" ht="15" thickTop="1" x14ac:dyDescent="0.3">
      <c r="O76" s="36">
        <v>1</v>
      </c>
      <c r="P76" s="169">
        <v>8.3333333333333329E-2</v>
      </c>
      <c r="Q76" s="169">
        <v>3.9959478435982687E-2</v>
      </c>
      <c r="R76" s="306">
        <v>4.3373854897350642E-2</v>
      </c>
    </row>
    <row r="77" spans="11:28" x14ac:dyDescent="0.3">
      <c r="K77" s="75">
        <v>1.43</v>
      </c>
      <c r="L77" s="75">
        <f>VLOOKUP(K77,'Tabel Ktr Normal'!$C$5:$D$25,2,FALSE)</f>
        <v>-0.52</v>
      </c>
      <c r="O77" s="36">
        <v>2</v>
      </c>
      <c r="P77" s="169">
        <v>0.16666666666666666</v>
      </c>
      <c r="Q77" s="169">
        <v>0.12314349425265803</v>
      </c>
      <c r="R77" s="306">
        <v>4.3523172414008632E-2</v>
      </c>
    </row>
    <row r="78" spans="11:28" x14ac:dyDescent="0.3">
      <c r="K78" s="76">
        <f>M15</f>
        <v>1.3333333333333333</v>
      </c>
      <c r="L78" s="77">
        <f>L77-((K77-K78)*((L77-L79)/(K77-K79)))</f>
        <v>-0.66500000000000026</v>
      </c>
      <c r="O78" s="36">
        <v>3</v>
      </c>
      <c r="P78" s="169">
        <v>0.25</v>
      </c>
      <c r="Q78" s="169">
        <v>0.25068065271408146</v>
      </c>
      <c r="R78" s="306">
        <v>6.8065271408146444E-4</v>
      </c>
    </row>
    <row r="79" spans="11:28" x14ac:dyDescent="0.3">
      <c r="K79" s="75">
        <v>1.33</v>
      </c>
      <c r="L79" s="75">
        <f>VLOOKUP(K79,'Tabel Ktr Normal'!$C$5:$D$25,2,FALSE)</f>
        <v>-0.67</v>
      </c>
      <c r="O79" s="36">
        <v>4</v>
      </c>
      <c r="P79" s="169">
        <v>0.33333333333333331</v>
      </c>
      <c r="Q79" s="169">
        <v>0.27337577104799993</v>
      </c>
      <c r="R79" s="306">
        <v>5.9957562285333388E-2</v>
      </c>
    </row>
    <row r="80" spans="11:28" x14ac:dyDescent="0.3">
      <c r="O80" s="36">
        <v>5</v>
      </c>
      <c r="P80" s="169">
        <v>0.41666666666666669</v>
      </c>
      <c r="Q80" s="169">
        <v>0.59718627368192867</v>
      </c>
      <c r="R80" s="306">
        <v>0.18051960701526198</v>
      </c>
    </row>
    <row r="81" spans="11:18" x14ac:dyDescent="0.3">
      <c r="K81" s="75">
        <v>1.25</v>
      </c>
      <c r="L81" s="75">
        <f>VLOOKUP(K81,'Tabel Ktr Normal'!$C$5:$D$25,2,FALSE)</f>
        <v>-0.84</v>
      </c>
      <c r="O81" s="36">
        <v>6</v>
      </c>
      <c r="P81" s="169">
        <v>0.5</v>
      </c>
      <c r="Q81" s="169">
        <v>0.5921190920993139</v>
      </c>
      <c r="R81" s="306">
        <v>9.2119092099313904E-2</v>
      </c>
    </row>
    <row r="82" spans="11:18" x14ac:dyDescent="0.3">
      <c r="K82" s="77">
        <f>M16</f>
        <v>1.2</v>
      </c>
      <c r="L82" s="77">
        <f>L81-((K81-K82)*((L81-L83)/(K81-K83)))</f>
        <v>-0.99714285714285733</v>
      </c>
      <c r="O82" s="36">
        <v>7</v>
      </c>
      <c r="P82" s="169">
        <v>0.58333333333333337</v>
      </c>
      <c r="Q82" s="169">
        <v>0.57613877320406592</v>
      </c>
      <c r="R82" s="306">
        <v>7.1945601292674466E-3</v>
      </c>
    </row>
    <row r="83" spans="11:18" x14ac:dyDescent="0.3">
      <c r="K83" s="75">
        <v>1.1100000000000001</v>
      </c>
      <c r="L83" s="75">
        <f>VLOOKUP(K83,'Tabel Ktr Normal'!$C$5:$D$25,2,FALSE)</f>
        <v>-1.28</v>
      </c>
      <c r="O83" s="36">
        <v>8</v>
      </c>
      <c r="P83" s="169">
        <v>0.66666666666666663</v>
      </c>
      <c r="Q83" s="169">
        <v>0.74036037777946628</v>
      </c>
      <c r="R83" s="306">
        <v>7.3693711112799654E-2</v>
      </c>
    </row>
    <row r="84" spans="11:18" x14ac:dyDescent="0.3">
      <c r="O84" s="36">
        <v>9</v>
      </c>
      <c r="P84" s="169">
        <v>0.75</v>
      </c>
      <c r="Q84" s="169">
        <v>0.8031503593497874</v>
      </c>
      <c r="R84" s="306">
        <v>5.3150359349787402E-2</v>
      </c>
    </row>
    <row r="85" spans="11:18" x14ac:dyDescent="0.3">
      <c r="K85" s="75">
        <v>1.33</v>
      </c>
      <c r="L85" s="75">
        <f>VLOOKUP(K85,'Tabel Ktr Normal'!$C$5:$D$25,2,FALSE)</f>
        <v>-0.67</v>
      </c>
      <c r="O85" s="36">
        <v>10</v>
      </c>
      <c r="P85" s="308">
        <v>0.83333333333333337</v>
      </c>
      <c r="Q85" s="169">
        <v>0.86327747069388971</v>
      </c>
      <c r="R85" s="306">
        <v>2.9944137360556344E-2</v>
      </c>
    </row>
    <row r="86" spans="11:18" ht="15" thickBot="1" x14ac:dyDescent="0.35">
      <c r="K86" s="76">
        <f>M17</f>
        <v>1.0909090909090911</v>
      </c>
      <c r="L86" s="77">
        <f>L85-((K85-K86)*((L85-L87)/(K85-K87)))</f>
        <v>-1.1780681818181811</v>
      </c>
      <c r="O86" s="310">
        <v>11</v>
      </c>
      <c r="P86" s="1047">
        <v>0.91666666666666663</v>
      </c>
      <c r="Q86" s="169">
        <v>0.96049912275563809</v>
      </c>
      <c r="R86" s="306">
        <v>4.3832456088971461E-2</v>
      </c>
    </row>
    <row r="87" spans="11:18" x14ac:dyDescent="0.3">
      <c r="K87" s="75">
        <v>1.25</v>
      </c>
      <c r="L87" s="75">
        <f>VLOOKUP(K87,'Tabel Ktr Normal'!$C$5:$D$25,2,FALSE)</f>
        <v>-0.84</v>
      </c>
    </row>
    <row r="89" spans="11:18" x14ac:dyDescent="0.3">
      <c r="K89" s="75"/>
      <c r="L89" s="75" t="e">
        <f>VLOOKUP(K89,'Tabel Ktr Normal'!$C$5:$D$25,2,FALSE)</f>
        <v>#N/A</v>
      </c>
    </row>
    <row r="90" spans="11:18" x14ac:dyDescent="0.3">
      <c r="K90" s="77">
        <f>M18</f>
        <v>0</v>
      </c>
      <c r="L90" s="77" t="e">
        <f>L89-((K89-K90)*((L89-L91)/(K89-K91)))</f>
        <v>#N/A</v>
      </c>
    </row>
    <row r="91" spans="11:18" x14ac:dyDescent="0.3">
      <c r="K91" s="75"/>
      <c r="L91" s="75" t="e">
        <f>VLOOKUP(K91,'Tabel Ktr Normal'!$C$5:$D$25,2,FALSE)</f>
        <v>#N/A</v>
      </c>
    </row>
  </sheetData>
  <mergeCells count="28">
    <mergeCell ref="U42:V42"/>
    <mergeCell ref="U29:V29"/>
    <mergeCell ref="Y29:Z29"/>
    <mergeCell ref="U30:V30"/>
    <mergeCell ref="U31:V31"/>
    <mergeCell ref="U32:V32"/>
    <mergeCell ref="K26:R26"/>
    <mergeCell ref="K27:R27"/>
    <mergeCell ref="U26:AB26"/>
    <mergeCell ref="U27:AB27"/>
    <mergeCell ref="C23:E23"/>
    <mergeCell ref="C24:E24"/>
    <mergeCell ref="U71:V71"/>
    <mergeCell ref="L22:P22"/>
    <mergeCell ref="U22:Z22"/>
    <mergeCell ref="C4:G4"/>
    <mergeCell ref="C5:G5"/>
    <mergeCell ref="C21:E21"/>
    <mergeCell ref="C20:E20"/>
    <mergeCell ref="U4:AA4"/>
    <mergeCell ref="U5:AA5"/>
    <mergeCell ref="U20:Z20"/>
    <mergeCell ref="U21:Z21"/>
    <mergeCell ref="C22:E22"/>
    <mergeCell ref="K4:Q4"/>
    <mergeCell ref="K5:Q5"/>
    <mergeCell ref="L20:P20"/>
    <mergeCell ref="L21:P21"/>
  </mergeCells>
  <pageMargins left="0.70866141732283472" right="0.70866141732283472" top="0.74803149606299213" bottom="0.74803149606299213" header="0.31496062992125984" footer="0.31496062992125984"/>
  <pageSetup paperSize="9" scale="60" orientation="landscape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>
    <tabColor rgb="FFFF0000"/>
  </sheetPr>
  <dimension ref="A1:AD82"/>
  <sheetViews>
    <sheetView topLeftCell="A6" zoomScale="70" zoomScaleNormal="70" workbookViewId="0">
      <selection activeCell="H28" sqref="H28:H35"/>
    </sheetView>
  </sheetViews>
  <sheetFormatPr defaultColWidth="9.109375" defaultRowHeight="14.4" x14ac:dyDescent="0.3"/>
  <cols>
    <col min="1" max="2" width="9.109375" style="1"/>
    <col min="3" max="3" width="3.6640625" style="1" customWidth="1"/>
    <col min="4" max="4" width="9.6640625" style="1" bestFit="1" customWidth="1"/>
    <col min="5" max="5" width="10.33203125" style="1" customWidth="1"/>
    <col min="6" max="6" width="15.44140625" style="1" bestFit="1" customWidth="1"/>
    <col min="7" max="7" width="17" style="1" bestFit="1" customWidth="1"/>
    <col min="8" max="8" width="20.88671875" style="1" bestFit="1" customWidth="1"/>
    <col min="9" max="9" width="9.109375" style="1"/>
    <col min="10" max="10" width="4.33203125" style="1" customWidth="1"/>
    <col min="11" max="11" width="5.33203125" style="1" customWidth="1"/>
    <col min="12" max="12" width="9.109375" style="1"/>
    <col min="13" max="13" width="22" style="1" bestFit="1" customWidth="1"/>
    <col min="14" max="15" width="17.88671875" style="1" bestFit="1" customWidth="1"/>
    <col min="16" max="16" width="18.88671875" style="1" bestFit="1" customWidth="1"/>
    <col min="17" max="17" width="19.44140625" style="1" bestFit="1" customWidth="1"/>
    <col min="18" max="18" width="9.109375" style="1"/>
    <col min="19" max="19" width="9.33203125" style="1" customWidth="1"/>
    <col min="20" max="20" width="9.109375" style="1"/>
    <col min="21" max="21" width="12.6640625" style="1" customWidth="1"/>
    <col min="22" max="22" width="13.5546875" style="1" customWidth="1"/>
    <col min="23" max="23" width="17" style="1" bestFit="1" customWidth="1"/>
    <col min="24" max="24" width="25.33203125" style="1" customWidth="1"/>
    <col min="25" max="25" width="21.33203125" style="1" bestFit="1" customWidth="1"/>
    <col min="26" max="26" width="18.88671875" style="1" bestFit="1" customWidth="1"/>
    <col min="27" max="27" width="19.44140625" style="1" bestFit="1" customWidth="1"/>
    <col min="28" max="28" width="11.88671875" style="1" customWidth="1"/>
    <col min="29" max="29" width="10.33203125" style="1" bestFit="1" customWidth="1"/>
    <col min="30" max="31" width="5.44140625" style="1" customWidth="1"/>
    <col min="32" max="16384" width="9.109375" style="1"/>
  </cols>
  <sheetData>
    <row r="1" spans="1:30" x14ac:dyDescent="0.3">
      <c r="A1" s="52" t="s">
        <v>109</v>
      </c>
      <c r="B1" s="52"/>
      <c r="C1" s="52"/>
      <c r="D1" s="52"/>
      <c r="E1" s="52"/>
      <c r="F1" s="73"/>
      <c r="G1" s="73"/>
      <c r="H1" s="73"/>
    </row>
    <row r="2" spans="1:30" ht="15" thickBot="1" x14ac:dyDescent="0.35">
      <c r="C2" s="73"/>
    </row>
    <row r="3" spans="1:30" ht="15" thickBot="1" x14ac:dyDescent="0.35">
      <c r="B3" s="65"/>
      <c r="C3" s="66"/>
      <c r="D3" s="66"/>
      <c r="E3" s="66"/>
      <c r="F3" s="66"/>
      <c r="G3" s="66"/>
      <c r="H3" s="66"/>
      <c r="I3" s="67"/>
      <c r="K3" s="65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7"/>
    </row>
    <row r="4" spans="1:30" x14ac:dyDescent="0.3">
      <c r="B4" s="68"/>
      <c r="C4" s="857" t="s">
        <v>15</v>
      </c>
      <c r="D4" s="857"/>
      <c r="E4" s="857"/>
      <c r="F4" s="857"/>
      <c r="G4" s="857"/>
      <c r="H4" s="857"/>
      <c r="I4" s="69"/>
      <c r="K4" s="68"/>
      <c r="L4" s="859" t="s">
        <v>29</v>
      </c>
      <c r="M4" s="860"/>
      <c r="N4" s="860"/>
      <c r="O4" s="860"/>
      <c r="P4" s="860"/>
      <c r="Q4" s="860"/>
      <c r="R4" s="861"/>
      <c r="S4" s="86"/>
      <c r="T4" s="86"/>
      <c r="V4" s="859" t="s">
        <v>38</v>
      </c>
      <c r="W4" s="860"/>
      <c r="X4" s="860"/>
      <c r="Y4" s="860"/>
      <c r="Z4" s="860"/>
      <c r="AA4" s="860"/>
      <c r="AB4" s="861"/>
      <c r="AD4" s="69"/>
    </row>
    <row r="5" spans="1:30" ht="15" thickBot="1" x14ac:dyDescent="0.35">
      <c r="B5" s="68"/>
      <c r="C5" s="875" t="s">
        <v>43</v>
      </c>
      <c r="D5" s="875"/>
      <c r="E5" s="875"/>
      <c r="F5" s="875"/>
      <c r="G5" s="875"/>
      <c r="H5" s="875"/>
      <c r="I5" s="69"/>
      <c r="K5" s="68"/>
      <c r="L5" s="862" t="s">
        <v>43</v>
      </c>
      <c r="M5" s="856"/>
      <c r="N5" s="856"/>
      <c r="O5" s="856"/>
      <c r="P5" s="876"/>
      <c r="Q5" s="876"/>
      <c r="R5" s="863"/>
      <c r="S5" s="86"/>
      <c r="T5" s="86"/>
      <c r="V5" s="862" t="s">
        <v>43</v>
      </c>
      <c r="W5" s="856"/>
      <c r="X5" s="856"/>
      <c r="Y5" s="856"/>
      <c r="Z5" s="876"/>
      <c r="AA5" s="876"/>
      <c r="AB5" s="863"/>
      <c r="AD5" s="69"/>
    </row>
    <row r="6" spans="1:30" ht="17.399999999999999" thickBot="1" x14ac:dyDescent="0.4">
      <c r="B6" s="68"/>
      <c r="C6" s="61" t="s">
        <v>4</v>
      </c>
      <c r="D6" s="62" t="s">
        <v>5</v>
      </c>
      <c r="E6" s="62" t="s">
        <v>6</v>
      </c>
      <c r="F6" s="62" t="s">
        <v>199</v>
      </c>
      <c r="G6" s="63" t="s">
        <v>200</v>
      </c>
      <c r="H6" s="63" t="s">
        <v>204</v>
      </c>
      <c r="I6" s="69"/>
      <c r="K6" s="68"/>
      <c r="L6" s="53" t="s">
        <v>21</v>
      </c>
      <c r="M6" s="54" t="s">
        <v>26</v>
      </c>
      <c r="N6" s="54" t="s">
        <v>27</v>
      </c>
      <c r="O6" s="54" t="s">
        <v>25</v>
      </c>
      <c r="P6" s="54" t="s">
        <v>201</v>
      </c>
      <c r="Q6" s="54" t="s">
        <v>202</v>
      </c>
      <c r="R6" s="55" t="s">
        <v>28</v>
      </c>
      <c r="S6" s="86"/>
      <c r="T6" s="86"/>
      <c r="V6" s="53" t="s">
        <v>21</v>
      </c>
      <c r="W6" s="54" t="s">
        <v>26</v>
      </c>
      <c r="X6" s="54" t="s">
        <v>27</v>
      </c>
      <c r="Y6" s="54" t="s">
        <v>24</v>
      </c>
      <c r="Z6" s="54" t="s">
        <v>201</v>
      </c>
      <c r="AA6" s="54" t="s">
        <v>202</v>
      </c>
      <c r="AB6" s="55" t="s">
        <v>42</v>
      </c>
      <c r="AD6" s="69"/>
    </row>
    <row r="7" spans="1:30" ht="15" thickTop="1" x14ac:dyDescent="0.3">
      <c r="B7" s="68"/>
      <c r="C7" s="36">
        <v>1</v>
      </c>
      <c r="D7" s="35">
        <f>'RTr Normal'!D7</f>
        <v>2014</v>
      </c>
      <c r="E7" s="38">
        <f t="shared" ref="E7:E15" si="0">RANK(F7,$F$7:$F$18,0)</f>
        <v>6</v>
      </c>
      <c r="F7" s="203">
        <f>'Rainfall Max'!W4</f>
        <v>121</v>
      </c>
      <c r="G7" s="203">
        <f t="shared" ref="G7:G15" si="1">VLOOKUP(C7,$E$7:$F$18,2,FALSE)</f>
        <v>172</v>
      </c>
      <c r="H7" s="60">
        <f>LOG(G7)</f>
        <v>2.2355284469075487</v>
      </c>
      <c r="I7" s="69"/>
      <c r="K7" s="68"/>
      <c r="L7" s="36">
        <f>C7</f>
        <v>1</v>
      </c>
      <c r="M7" s="57">
        <f>L7/($G$20+1)</f>
        <v>8.3333333333333329E-2</v>
      </c>
      <c r="N7" s="57">
        <f t="shared" ref="N7" si="2">1/M7</f>
        <v>12</v>
      </c>
      <c r="O7" s="79">
        <f>'RTr Normal'!N7</f>
        <v>1.3279999999999998</v>
      </c>
      <c r="P7" s="203">
        <f t="shared" ref="P7" si="3">G7</f>
        <v>172</v>
      </c>
      <c r="Q7" s="200">
        <f>10^($G$21+$G$22*O7)</f>
        <v>166.08225610359332</v>
      </c>
      <c r="R7" s="58">
        <f t="shared" ref="R7" si="4">ABS((Q7-P7)/P7)*100</f>
        <v>3.4405487769806258</v>
      </c>
      <c r="S7" s="82"/>
      <c r="T7" s="82"/>
      <c r="V7" s="35">
        <f>L7</f>
        <v>1</v>
      </c>
      <c r="W7" s="79">
        <f t="shared" ref="W7" si="5">M7</f>
        <v>8.3333333333333329E-2</v>
      </c>
      <c r="X7" s="79">
        <f t="shared" ref="X7" si="6">N7</f>
        <v>12</v>
      </c>
      <c r="Y7" s="79">
        <f t="shared" ref="Y7" si="7">O7</f>
        <v>1.3279999999999998</v>
      </c>
      <c r="Z7" s="200">
        <f t="shared" ref="Z7" si="8">P7</f>
        <v>172</v>
      </c>
      <c r="AA7" s="203">
        <f t="shared" ref="AA7" si="9">Q7</f>
        <v>166.08225610359332</v>
      </c>
      <c r="AB7" s="58">
        <f t="shared" ref="AB7" si="10">(AA7-Z7)^2</f>
        <v>35.019692823458477</v>
      </c>
      <c r="AD7" s="69"/>
    </row>
    <row r="8" spans="1:30" x14ac:dyDescent="0.3">
      <c r="B8" s="68"/>
      <c r="C8" s="36">
        <v>2</v>
      </c>
      <c r="D8" s="35">
        <f>'RTr Normal'!D8</f>
        <v>2015</v>
      </c>
      <c r="E8" s="38">
        <f t="shared" si="0"/>
        <v>7</v>
      </c>
      <c r="F8" s="203">
        <f>'Rainfall Max'!W5</f>
        <v>119</v>
      </c>
      <c r="G8" s="203">
        <f t="shared" si="1"/>
        <v>155</v>
      </c>
      <c r="H8" s="60">
        <f t="shared" ref="H8:H10" si="11">LOG(G8)</f>
        <v>2.1903316981702914</v>
      </c>
      <c r="I8" s="69"/>
      <c r="K8" s="68"/>
      <c r="L8" s="36">
        <f t="shared" ref="L8:L17" si="12">C8</f>
        <v>2</v>
      </c>
      <c r="M8" s="57">
        <f t="shared" ref="M8:M17" si="13">L8/($G$20+1)</f>
        <v>0.16666666666666666</v>
      </c>
      <c r="N8" s="57">
        <f t="shared" ref="N8:N17" si="14">1/M8</f>
        <v>6</v>
      </c>
      <c r="O8" s="79">
        <f>'RTr Normal'!N8</f>
        <v>0.92800000000000005</v>
      </c>
      <c r="P8" s="203">
        <f t="shared" ref="P8:P17" si="15">G8</f>
        <v>155</v>
      </c>
      <c r="Q8" s="200">
        <f t="shared" ref="Q8:Q17" si="16">10^($G$21+$G$22*O8)</f>
        <v>150.5528414987206</v>
      </c>
      <c r="R8" s="58">
        <f t="shared" ref="R8:R17" si="17">ABS((Q8-P8)/P8)*100</f>
        <v>2.8691345169544542</v>
      </c>
      <c r="S8" s="82"/>
      <c r="T8" s="82"/>
      <c r="V8" s="35">
        <f t="shared" ref="V8:V17" si="18">L8</f>
        <v>2</v>
      </c>
      <c r="W8" s="79">
        <f t="shared" ref="W8:W17" si="19">M8</f>
        <v>0.16666666666666666</v>
      </c>
      <c r="X8" s="79">
        <f t="shared" ref="X8:X17" si="20">N8</f>
        <v>6</v>
      </c>
      <c r="Y8" s="79">
        <f t="shared" ref="Y8:Y17" si="21">O8</f>
        <v>0.92800000000000005</v>
      </c>
      <c r="Z8" s="200">
        <f t="shared" ref="Z8:Z17" si="22">P8</f>
        <v>155</v>
      </c>
      <c r="AA8" s="203">
        <f t="shared" ref="AA8:AA17" si="23">Q8</f>
        <v>150.5528414987206</v>
      </c>
      <c r="AB8" s="58">
        <f t="shared" ref="AB8:AB17" si="24">(AA8-Z8)^2</f>
        <v>19.777218735501673</v>
      </c>
      <c r="AD8" s="69"/>
    </row>
    <row r="9" spans="1:30" x14ac:dyDescent="0.3">
      <c r="B9" s="68"/>
      <c r="C9" s="36">
        <v>3</v>
      </c>
      <c r="D9" s="35">
        <f>'RTr Normal'!D9</f>
        <v>2016</v>
      </c>
      <c r="E9" s="38">
        <f t="shared" si="0"/>
        <v>11</v>
      </c>
      <c r="F9" s="203">
        <f>'Rainfall Max'!W6</f>
        <v>74</v>
      </c>
      <c r="G9" s="203">
        <f t="shared" si="1"/>
        <v>141</v>
      </c>
      <c r="H9" s="60">
        <f t="shared" si="11"/>
        <v>2.1492191126553797</v>
      </c>
      <c r="I9" s="69"/>
      <c r="K9" s="68"/>
      <c r="L9" s="36">
        <f t="shared" si="12"/>
        <v>3</v>
      </c>
      <c r="M9" s="57">
        <f t="shared" si="13"/>
        <v>0.25</v>
      </c>
      <c r="N9" s="57">
        <f t="shared" si="14"/>
        <v>4</v>
      </c>
      <c r="O9" s="79">
        <f>'RTr Normal'!N9</f>
        <v>0.67</v>
      </c>
      <c r="P9" s="203">
        <f t="shared" si="15"/>
        <v>141</v>
      </c>
      <c r="Q9" s="200">
        <f t="shared" si="16"/>
        <v>141.31551536717737</v>
      </c>
      <c r="R9" s="58">
        <f t="shared" si="17"/>
        <v>0.22376976395558079</v>
      </c>
      <c r="S9" s="82"/>
      <c r="T9" s="82"/>
      <c r="V9" s="35">
        <f t="shared" si="18"/>
        <v>3</v>
      </c>
      <c r="W9" s="79">
        <f t="shared" si="19"/>
        <v>0.25</v>
      </c>
      <c r="X9" s="79">
        <f t="shared" si="20"/>
        <v>4</v>
      </c>
      <c r="Y9" s="79">
        <f t="shared" si="21"/>
        <v>0.67</v>
      </c>
      <c r="Z9" s="200">
        <f t="shared" si="22"/>
        <v>141</v>
      </c>
      <c r="AA9" s="203">
        <f t="shared" si="23"/>
        <v>141.31551536717737</v>
      </c>
      <c r="AB9" s="58">
        <f t="shared" si="24"/>
        <v>9.9549946925069938E-2</v>
      </c>
      <c r="AD9" s="69"/>
    </row>
    <row r="10" spans="1:30" x14ac:dyDescent="0.3">
      <c r="B10" s="68"/>
      <c r="C10" s="36">
        <v>4</v>
      </c>
      <c r="D10" s="35">
        <f>'RTr Normal'!D10</f>
        <v>2017</v>
      </c>
      <c r="E10" s="38">
        <f t="shared" si="0"/>
        <v>9</v>
      </c>
      <c r="F10" s="203">
        <f>'Rainfall Max'!W7</f>
        <v>100</v>
      </c>
      <c r="G10" s="203">
        <f t="shared" si="1"/>
        <v>139</v>
      </c>
      <c r="H10" s="60">
        <f t="shared" si="11"/>
        <v>2.143014800254095</v>
      </c>
      <c r="I10" s="69"/>
      <c r="K10" s="68"/>
      <c r="L10" s="36">
        <f t="shared" si="12"/>
        <v>4</v>
      </c>
      <c r="M10" s="57">
        <f t="shared" si="13"/>
        <v>0.33333333333333331</v>
      </c>
      <c r="N10" s="57">
        <f t="shared" si="14"/>
        <v>3</v>
      </c>
      <c r="O10" s="79">
        <f>'RTr Normal'!N10</f>
        <v>0.41265060240963847</v>
      </c>
      <c r="P10" s="203">
        <f t="shared" si="15"/>
        <v>139</v>
      </c>
      <c r="Q10" s="200">
        <f t="shared" si="16"/>
        <v>132.66613643574158</v>
      </c>
      <c r="R10" s="58">
        <f t="shared" si="17"/>
        <v>4.5567363771643326</v>
      </c>
      <c r="S10" s="82"/>
      <c r="T10" s="82"/>
      <c r="V10" s="35">
        <f t="shared" si="18"/>
        <v>4</v>
      </c>
      <c r="W10" s="79">
        <f t="shared" si="19"/>
        <v>0.33333333333333331</v>
      </c>
      <c r="X10" s="79">
        <f t="shared" si="20"/>
        <v>3</v>
      </c>
      <c r="Y10" s="79">
        <f t="shared" si="21"/>
        <v>0.41265060240963847</v>
      </c>
      <c r="Z10" s="200">
        <f t="shared" si="22"/>
        <v>139</v>
      </c>
      <c r="AA10" s="203">
        <f t="shared" si="23"/>
        <v>132.66613643574158</v>
      </c>
      <c r="AB10" s="58">
        <f t="shared" si="24"/>
        <v>40.117827650640407</v>
      </c>
      <c r="AD10" s="69"/>
    </row>
    <row r="11" spans="1:30" x14ac:dyDescent="0.3">
      <c r="B11" s="68"/>
      <c r="C11" s="36">
        <v>5</v>
      </c>
      <c r="D11" s="35">
        <f>'RTr Normal'!D11</f>
        <v>2018</v>
      </c>
      <c r="E11" s="38">
        <f t="shared" si="0"/>
        <v>4</v>
      </c>
      <c r="F11" s="203">
        <f>'Rainfall Max'!W8</f>
        <v>139</v>
      </c>
      <c r="G11" s="203">
        <f t="shared" si="1"/>
        <v>134</v>
      </c>
      <c r="H11" s="60">
        <f t="shared" ref="H11:H15" si="25">LOG(G11)</f>
        <v>2.1271047983648077</v>
      </c>
      <c r="I11" s="69"/>
      <c r="K11" s="68"/>
      <c r="L11" s="36">
        <f t="shared" si="12"/>
        <v>5</v>
      </c>
      <c r="M11" s="57">
        <f t="shared" si="13"/>
        <v>0.41666666666666669</v>
      </c>
      <c r="N11" s="57">
        <f t="shared" si="14"/>
        <v>2.4</v>
      </c>
      <c r="O11" s="79">
        <f>'RTr Normal'!N11</f>
        <v>0.21746987951807228</v>
      </c>
      <c r="P11" s="203">
        <f t="shared" si="15"/>
        <v>134</v>
      </c>
      <c r="Q11" s="200">
        <f t="shared" si="16"/>
        <v>126.46099894174418</v>
      </c>
      <c r="R11" s="58">
        <f t="shared" si="17"/>
        <v>5.6261201927282238</v>
      </c>
      <c r="S11" s="82"/>
      <c r="T11" s="82"/>
      <c r="V11" s="35">
        <f t="shared" si="18"/>
        <v>5</v>
      </c>
      <c r="W11" s="79">
        <f t="shared" si="19"/>
        <v>0.41666666666666669</v>
      </c>
      <c r="X11" s="79">
        <f t="shared" si="20"/>
        <v>2.4</v>
      </c>
      <c r="Y11" s="79">
        <f t="shared" si="21"/>
        <v>0.21746987951807228</v>
      </c>
      <c r="Z11" s="200">
        <f t="shared" si="22"/>
        <v>134</v>
      </c>
      <c r="AA11" s="203">
        <f t="shared" si="23"/>
        <v>126.46099894174418</v>
      </c>
      <c r="AB11" s="58">
        <f t="shared" si="24"/>
        <v>56.836536956382382</v>
      </c>
      <c r="AD11" s="69"/>
    </row>
    <row r="12" spans="1:30" x14ac:dyDescent="0.3">
      <c r="B12" s="68"/>
      <c r="C12" s="36">
        <v>6</v>
      </c>
      <c r="D12" s="35">
        <f>'RTr Normal'!D12</f>
        <v>2019</v>
      </c>
      <c r="E12" s="38">
        <f t="shared" si="0"/>
        <v>10</v>
      </c>
      <c r="F12" s="203">
        <f>'Rainfall Max'!W9</f>
        <v>93</v>
      </c>
      <c r="G12" s="203">
        <f t="shared" si="1"/>
        <v>121</v>
      </c>
      <c r="H12" s="60">
        <f t="shared" si="25"/>
        <v>2.0827853703164503</v>
      </c>
      <c r="I12" s="69"/>
      <c r="K12" s="68"/>
      <c r="L12" s="36">
        <f t="shared" si="12"/>
        <v>6</v>
      </c>
      <c r="M12" s="57">
        <f t="shared" si="13"/>
        <v>0.5</v>
      </c>
      <c r="N12" s="57">
        <f t="shared" si="14"/>
        <v>2</v>
      </c>
      <c r="O12" s="79">
        <f>'RTr Normal'!N12</f>
        <v>0</v>
      </c>
      <c r="P12" s="203">
        <f t="shared" si="15"/>
        <v>121</v>
      </c>
      <c r="Q12" s="200">
        <f t="shared" si="16"/>
        <v>119.88847315000804</v>
      </c>
      <c r="R12" s="58">
        <f t="shared" si="17"/>
        <v>0.91861723139831475</v>
      </c>
      <c r="S12" s="82"/>
      <c r="T12" s="82"/>
      <c r="V12" s="35">
        <f t="shared" si="18"/>
        <v>6</v>
      </c>
      <c r="W12" s="79">
        <f t="shared" si="19"/>
        <v>0.5</v>
      </c>
      <c r="X12" s="79">
        <f t="shared" si="20"/>
        <v>2</v>
      </c>
      <c r="Y12" s="79">
        <f t="shared" si="21"/>
        <v>0</v>
      </c>
      <c r="Z12" s="200">
        <f t="shared" si="22"/>
        <v>121</v>
      </c>
      <c r="AA12" s="203">
        <f t="shared" si="23"/>
        <v>119.88847315000804</v>
      </c>
      <c r="AB12" s="58">
        <f t="shared" si="24"/>
        <v>1.2354919382530509</v>
      </c>
      <c r="AD12" s="69"/>
    </row>
    <row r="13" spans="1:30" x14ac:dyDescent="0.3">
      <c r="B13" s="68"/>
      <c r="C13" s="36">
        <v>7</v>
      </c>
      <c r="D13" s="35">
        <f>'RTr Normal'!D13</f>
        <v>2020</v>
      </c>
      <c r="E13" s="38">
        <f t="shared" si="0"/>
        <v>8</v>
      </c>
      <c r="F13" s="203">
        <f>'Rainfall Max'!W10</f>
        <v>106</v>
      </c>
      <c r="G13" s="203">
        <f t="shared" si="1"/>
        <v>119</v>
      </c>
      <c r="H13" s="60">
        <f t="shared" si="25"/>
        <v>2.0755469613925306</v>
      </c>
      <c r="I13" s="69"/>
      <c r="K13" s="68"/>
      <c r="L13" s="36">
        <f t="shared" si="12"/>
        <v>7</v>
      </c>
      <c r="M13" s="57">
        <f t="shared" si="13"/>
        <v>0.58333333333333337</v>
      </c>
      <c r="N13" s="57">
        <f t="shared" si="14"/>
        <v>1.7142857142857142</v>
      </c>
      <c r="O13" s="79">
        <f>'RTr Normal'!N13</f>
        <v>-0.21645021645021645</v>
      </c>
      <c r="P13" s="203">
        <f t="shared" si="15"/>
        <v>119</v>
      </c>
      <c r="Q13" s="200">
        <f t="shared" si="16"/>
        <v>113.6859857700439</v>
      </c>
      <c r="R13" s="58">
        <f t="shared" si="17"/>
        <v>4.4655581764336985</v>
      </c>
      <c r="S13" s="82"/>
      <c r="T13" s="82"/>
      <c r="V13" s="35">
        <f t="shared" si="18"/>
        <v>7</v>
      </c>
      <c r="W13" s="79">
        <f t="shared" si="19"/>
        <v>0.58333333333333337</v>
      </c>
      <c r="X13" s="79">
        <f t="shared" si="20"/>
        <v>1.7142857142857142</v>
      </c>
      <c r="Y13" s="79">
        <f t="shared" si="21"/>
        <v>-0.21645021645021645</v>
      </c>
      <c r="Z13" s="200">
        <f t="shared" si="22"/>
        <v>119</v>
      </c>
      <c r="AA13" s="203">
        <f t="shared" si="23"/>
        <v>113.6859857700439</v>
      </c>
      <c r="AB13" s="58">
        <f t="shared" si="24"/>
        <v>28.238747236175929</v>
      </c>
      <c r="AD13" s="69"/>
    </row>
    <row r="14" spans="1:30" x14ac:dyDescent="0.3">
      <c r="B14" s="68"/>
      <c r="C14" s="36">
        <v>8</v>
      </c>
      <c r="D14" s="35">
        <f>'RTr Normal'!D14</f>
        <v>2021</v>
      </c>
      <c r="E14" s="38">
        <f t="shared" si="0"/>
        <v>2</v>
      </c>
      <c r="F14" s="203">
        <f>'Rainfall Max'!W11</f>
        <v>155</v>
      </c>
      <c r="G14" s="203">
        <f t="shared" si="1"/>
        <v>106</v>
      </c>
      <c r="H14" s="60">
        <f t="shared" si="25"/>
        <v>2.0253058652647704</v>
      </c>
      <c r="I14" s="69"/>
      <c r="K14" s="68"/>
      <c r="L14" s="36">
        <f t="shared" si="12"/>
        <v>8</v>
      </c>
      <c r="M14" s="57">
        <f t="shared" si="13"/>
        <v>0.66666666666666663</v>
      </c>
      <c r="N14" s="57">
        <f t="shared" si="14"/>
        <v>1.5</v>
      </c>
      <c r="O14" s="79">
        <f>'RTr Normal'!N14</f>
        <v>-0.44125000000000014</v>
      </c>
      <c r="P14" s="203">
        <f t="shared" si="15"/>
        <v>106</v>
      </c>
      <c r="Q14" s="200">
        <f t="shared" si="16"/>
        <v>107.58370340528137</v>
      </c>
      <c r="R14" s="58">
        <f t="shared" si="17"/>
        <v>1.4940598163031786</v>
      </c>
      <c r="S14" s="82"/>
      <c r="T14" s="82"/>
      <c r="V14" s="35">
        <f t="shared" si="18"/>
        <v>8</v>
      </c>
      <c r="W14" s="79">
        <f t="shared" si="19"/>
        <v>0.66666666666666663</v>
      </c>
      <c r="X14" s="79">
        <f t="shared" si="20"/>
        <v>1.5</v>
      </c>
      <c r="Y14" s="79">
        <f t="shared" si="21"/>
        <v>-0.44125000000000014</v>
      </c>
      <c r="Z14" s="200">
        <f t="shared" si="22"/>
        <v>106</v>
      </c>
      <c r="AA14" s="203">
        <f t="shared" si="23"/>
        <v>107.58370340528137</v>
      </c>
      <c r="AB14" s="58">
        <f t="shared" si="24"/>
        <v>2.5081164758998047</v>
      </c>
      <c r="AD14" s="69"/>
    </row>
    <row r="15" spans="1:30" x14ac:dyDescent="0.3">
      <c r="B15" s="68"/>
      <c r="C15" s="36">
        <v>9</v>
      </c>
      <c r="D15" s="35">
        <f>'RTr Normal'!D15</f>
        <v>2022</v>
      </c>
      <c r="E15" s="38">
        <f t="shared" si="0"/>
        <v>5</v>
      </c>
      <c r="F15" s="203">
        <f>'Rainfall Max'!W12</f>
        <v>134</v>
      </c>
      <c r="G15" s="203">
        <f t="shared" si="1"/>
        <v>100</v>
      </c>
      <c r="H15" s="60">
        <f t="shared" si="25"/>
        <v>2</v>
      </c>
      <c r="I15" s="69"/>
      <c r="K15" s="68"/>
      <c r="L15" s="36">
        <f t="shared" si="12"/>
        <v>9</v>
      </c>
      <c r="M15" s="57">
        <f t="shared" si="13"/>
        <v>0.75</v>
      </c>
      <c r="N15" s="57">
        <f t="shared" si="14"/>
        <v>1.3333333333333333</v>
      </c>
      <c r="O15" s="79">
        <f>'RTr Normal'!N15</f>
        <v>-0.67</v>
      </c>
      <c r="P15" s="203">
        <f t="shared" si="15"/>
        <v>100</v>
      </c>
      <c r="Q15" s="200">
        <f t="shared" si="16"/>
        <v>101.71031791445172</v>
      </c>
      <c r="R15" s="58">
        <f t="shared" si="17"/>
        <v>1.7103179144517213</v>
      </c>
      <c r="S15" s="82"/>
      <c r="T15" s="82"/>
      <c r="V15" s="35">
        <f t="shared" si="18"/>
        <v>9</v>
      </c>
      <c r="W15" s="79">
        <f t="shared" si="19"/>
        <v>0.75</v>
      </c>
      <c r="X15" s="79">
        <f t="shared" si="20"/>
        <v>1.3333333333333333</v>
      </c>
      <c r="Y15" s="79">
        <f t="shared" si="21"/>
        <v>-0.67</v>
      </c>
      <c r="Z15" s="200">
        <f t="shared" si="22"/>
        <v>100</v>
      </c>
      <c r="AA15" s="203">
        <f t="shared" si="23"/>
        <v>101.71031791445172</v>
      </c>
      <c r="AB15" s="58">
        <f t="shared" si="24"/>
        <v>2.9251873684944854</v>
      </c>
      <c r="AD15" s="69"/>
    </row>
    <row r="16" spans="1:30" x14ac:dyDescent="0.3">
      <c r="B16" s="68"/>
      <c r="C16" s="36">
        <v>10</v>
      </c>
      <c r="D16" s="35">
        <f>'RTr Normal'!D16</f>
        <v>2023</v>
      </c>
      <c r="E16" s="38">
        <f t="shared" ref="E16:E17" si="26">RANK(F16,$F$7:$F$18,0)</f>
        <v>3</v>
      </c>
      <c r="F16" s="203">
        <f>'Rainfall Max'!W13</f>
        <v>141</v>
      </c>
      <c r="G16" s="203">
        <f t="shared" ref="G16:G17" si="27">VLOOKUP(C16,$E$7:$F$18,2,FALSE)</f>
        <v>93</v>
      </c>
      <c r="H16" s="60">
        <f t="shared" ref="H16:H17" si="28">LOG(G16)</f>
        <v>1.968482948553935</v>
      </c>
      <c r="I16" s="69"/>
      <c r="K16" s="68"/>
      <c r="L16" s="36">
        <f t="shared" si="12"/>
        <v>10</v>
      </c>
      <c r="M16" s="57">
        <f t="shared" si="13"/>
        <v>0.83333333333333337</v>
      </c>
      <c r="N16" s="57">
        <f t="shared" si="14"/>
        <v>1.2</v>
      </c>
      <c r="O16" s="79">
        <f>'RTr Normal'!N16</f>
        <v>-0.94625000000000004</v>
      </c>
      <c r="P16" s="203">
        <f t="shared" si="15"/>
        <v>93</v>
      </c>
      <c r="Q16" s="200">
        <f t="shared" si="16"/>
        <v>95.043126182176195</v>
      </c>
      <c r="R16" s="58">
        <f t="shared" si="17"/>
        <v>2.1969098733077366</v>
      </c>
      <c r="S16" s="82"/>
      <c r="T16" s="82"/>
      <c r="V16" s="35">
        <f t="shared" si="18"/>
        <v>10</v>
      </c>
      <c r="W16" s="79">
        <f t="shared" si="19"/>
        <v>0.83333333333333337</v>
      </c>
      <c r="X16" s="79">
        <f t="shared" si="20"/>
        <v>1.2</v>
      </c>
      <c r="Y16" s="79">
        <f t="shared" si="21"/>
        <v>-0.94625000000000004</v>
      </c>
      <c r="Z16" s="200">
        <f t="shared" si="22"/>
        <v>93</v>
      </c>
      <c r="AA16" s="203">
        <f t="shared" si="23"/>
        <v>95.043126182176195</v>
      </c>
      <c r="AB16" s="58">
        <f t="shared" si="24"/>
        <v>4.1743645962938745</v>
      </c>
      <c r="AD16" s="69"/>
    </row>
    <row r="17" spans="2:30" x14ac:dyDescent="0.3">
      <c r="B17" s="68"/>
      <c r="C17" s="36">
        <v>11</v>
      </c>
      <c r="D17" s="35">
        <f>'RTr Normal'!D17</f>
        <v>2024</v>
      </c>
      <c r="E17" s="38">
        <f t="shared" si="26"/>
        <v>1</v>
      </c>
      <c r="F17" s="203">
        <f>'Rainfall Max'!W14</f>
        <v>172</v>
      </c>
      <c r="G17" s="203">
        <f t="shared" si="27"/>
        <v>74</v>
      </c>
      <c r="H17" s="60">
        <f t="shared" si="28"/>
        <v>1.8692317197309762</v>
      </c>
      <c r="I17" s="69"/>
      <c r="K17" s="68"/>
      <c r="L17" s="36">
        <f t="shared" si="12"/>
        <v>11</v>
      </c>
      <c r="M17" s="57">
        <f t="shared" si="13"/>
        <v>0.91666666666666663</v>
      </c>
      <c r="N17" s="57">
        <f t="shared" si="14"/>
        <v>1.0909090909090911</v>
      </c>
      <c r="O17" s="79">
        <f>'RTr Normal'!N17</f>
        <v>-1.3945454545454536</v>
      </c>
      <c r="P17" s="203">
        <f t="shared" si="15"/>
        <v>74</v>
      </c>
      <c r="Q17" s="200">
        <f t="shared" si="16"/>
        <v>85.14101612309365</v>
      </c>
      <c r="R17" s="58">
        <f t="shared" si="17"/>
        <v>15.055427193369797</v>
      </c>
      <c r="S17" s="82"/>
      <c r="T17" s="82"/>
      <c r="V17" s="35">
        <f t="shared" si="18"/>
        <v>11</v>
      </c>
      <c r="W17" s="79">
        <f t="shared" si="19"/>
        <v>0.91666666666666663</v>
      </c>
      <c r="X17" s="79">
        <f t="shared" si="20"/>
        <v>1.0909090909090911</v>
      </c>
      <c r="Y17" s="79">
        <f t="shared" si="21"/>
        <v>-1.3945454545454536</v>
      </c>
      <c r="Z17" s="200">
        <f t="shared" si="22"/>
        <v>74</v>
      </c>
      <c r="AA17" s="203">
        <f t="shared" si="23"/>
        <v>85.14101612309365</v>
      </c>
      <c r="AB17" s="58">
        <f t="shared" si="24"/>
        <v>124.12224025503265</v>
      </c>
      <c r="AD17" s="69"/>
    </row>
    <row r="18" spans="2:30" ht="15" thickBot="1" x14ac:dyDescent="0.35">
      <c r="B18" s="68"/>
      <c r="C18" s="42"/>
      <c r="D18" s="43"/>
      <c r="E18" s="43"/>
      <c r="F18" s="43"/>
      <c r="G18" s="43"/>
      <c r="H18" s="194"/>
      <c r="I18" s="69"/>
      <c r="K18" s="68"/>
      <c r="L18" s="42"/>
      <c r="M18" s="78"/>
      <c r="N18" s="78"/>
      <c r="O18" s="126"/>
      <c r="P18" s="43"/>
      <c r="Q18" s="126"/>
      <c r="R18" s="59"/>
      <c r="S18" s="82"/>
      <c r="T18" s="82"/>
      <c r="V18" s="42"/>
      <c r="W18" s="78"/>
      <c r="X18" s="78"/>
      <c r="Y18" s="78"/>
      <c r="Z18" s="43"/>
      <c r="AA18" s="78"/>
      <c r="AB18" s="59"/>
      <c r="AD18" s="69"/>
    </row>
    <row r="19" spans="2:30" x14ac:dyDescent="0.3">
      <c r="B19" s="68"/>
      <c r="I19" s="69"/>
      <c r="K19" s="68"/>
      <c r="AD19" s="69"/>
    </row>
    <row r="20" spans="2:30" x14ac:dyDescent="0.3">
      <c r="B20" s="68"/>
      <c r="C20" s="858" t="s">
        <v>17</v>
      </c>
      <c r="D20" s="858"/>
      <c r="E20" s="858"/>
      <c r="F20" s="56" t="s">
        <v>20</v>
      </c>
      <c r="G20" s="38">
        <f>COUNT(D7:D18)</f>
        <v>11</v>
      </c>
      <c r="I20" s="69"/>
      <c r="K20" s="68"/>
      <c r="M20" s="855" t="s">
        <v>37</v>
      </c>
      <c r="N20" s="855"/>
      <c r="O20" s="855"/>
      <c r="P20" s="855"/>
      <c r="Q20" s="855"/>
      <c r="R20" s="80">
        <f>SUM(R7:R18)</f>
        <v>42.557199833047662</v>
      </c>
      <c r="S20" s="85"/>
      <c r="T20" s="85"/>
      <c r="V20" s="856" t="s">
        <v>39</v>
      </c>
      <c r="W20" s="856"/>
      <c r="X20" s="856"/>
      <c r="Y20" s="856"/>
      <c r="Z20" s="856"/>
      <c r="AA20" s="856"/>
      <c r="AB20" s="83">
        <f>SUM(AB7:AB18)</f>
        <v>315.05497398305783</v>
      </c>
      <c r="AD20" s="69"/>
    </row>
    <row r="21" spans="2:30" x14ac:dyDescent="0.3">
      <c r="B21" s="68"/>
      <c r="C21" s="858" t="s">
        <v>18</v>
      </c>
      <c r="D21" s="858"/>
      <c r="E21" s="858"/>
      <c r="F21" s="204" t="s">
        <v>21</v>
      </c>
      <c r="G21" s="57">
        <f>AVERAGE(H7:H18)</f>
        <v>2.0787774292373444</v>
      </c>
      <c r="H21" s="82"/>
      <c r="I21" s="69"/>
      <c r="K21" s="68"/>
      <c r="M21" s="855" t="s">
        <v>17</v>
      </c>
      <c r="N21" s="855"/>
      <c r="O21" s="855"/>
      <c r="P21" s="855"/>
      <c r="Q21" s="855"/>
      <c r="R21" s="81">
        <f>COUNT(P7:P18)</f>
        <v>11</v>
      </c>
      <c r="S21" s="86"/>
      <c r="T21" s="86"/>
      <c r="V21" s="856" t="s">
        <v>17</v>
      </c>
      <c r="W21" s="856"/>
      <c r="X21" s="856"/>
      <c r="Y21" s="856"/>
      <c r="Z21" s="856"/>
      <c r="AA21" s="856"/>
      <c r="AB21" s="84">
        <f>COUNT(Z7:Z18)</f>
        <v>11</v>
      </c>
      <c r="AD21" s="69"/>
    </row>
    <row r="22" spans="2:30" x14ac:dyDescent="0.3">
      <c r="B22" s="68"/>
      <c r="C22" s="858" t="s">
        <v>19</v>
      </c>
      <c r="D22" s="858"/>
      <c r="E22" s="858"/>
      <c r="F22" s="204" t="s">
        <v>22</v>
      </c>
      <c r="G22" s="57">
        <f>_xlfn.STDEV.S(H7:H18)</f>
        <v>0.10658569769409001</v>
      </c>
      <c r="H22" s="82"/>
      <c r="I22" s="69"/>
      <c r="K22" s="68"/>
      <c r="M22" s="855" t="s">
        <v>40</v>
      </c>
      <c r="N22" s="855"/>
      <c r="O22" s="855"/>
      <c r="P22" s="855"/>
      <c r="Q22" s="855"/>
      <c r="R22" s="80">
        <f>R20/R21</f>
        <v>3.8688363484588781</v>
      </c>
      <c r="S22" s="86"/>
      <c r="T22" s="86"/>
      <c r="V22" s="856" t="s">
        <v>41</v>
      </c>
      <c r="W22" s="856"/>
      <c r="X22" s="856"/>
      <c r="Y22" s="856"/>
      <c r="Z22" s="856"/>
      <c r="AA22" s="856"/>
      <c r="AB22" s="83">
        <f>((AB20)/(AB21-1))^0.5</f>
        <v>5.6129758059612005</v>
      </c>
      <c r="AD22" s="69"/>
    </row>
    <row r="23" spans="2:30" ht="15.6" x14ac:dyDescent="0.35">
      <c r="B23" s="68"/>
      <c r="C23" s="858" t="s">
        <v>124</v>
      </c>
      <c r="D23" s="858"/>
      <c r="E23" s="858"/>
      <c r="F23" s="56" t="s">
        <v>128</v>
      </c>
      <c r="G23" s="203">
        <f>MAX(G7:G18)</f>
        <v>172</v>
      </c>
      <c r="H23" s="82"/>
      <c r="I23" s="69"/>
      <c r="K23" s="68"/>
      <c r="M23" s="120"/>
      <c r="N23" s="120"/>
      <c r="O23" s="120"/>
      <c r="P23" s="120"/>
      <c r="Q23" s="120"/>
      <c r="R23" s="86"/>
      <c r="S23" s="86"/>
      <c r="T23" s="86"/>
      <c r="V23" s="86"/>
      <c r="W23" s="86"/>
      <c r="X23" s="86"/>
      <c r="Y23" s="86"/>
      <c r="Z23" s="86"/>
      <c r="AA23" s="86"/>
      <c r="AB23" s="86"/>
      <c r="AD23" s="69"/>
    </row>
    <row r="24" spans="2:30" ht="15.6" x14ac:dyDescent="0.35">
      <c r="B24" s="68"/>
      <c r="C24" s="858" t="s">
        <v>127</v>
      </c>
      <c r="D24" s="858"/>
      <c r="E24" s="858"/>
      <c r="F24" s="56" t="s">
        <v>129</v>
      </c>
      <c r="G24" s="203">
        <f>MIN(G7:G18)</f>
        <v>74</v>
      </c>
      <c r="H24" s="82"/>
      <c r="I24" s="69"/>
      <c r="K24" s="68"/>
      <c r="AD24" s="69"/>
    </row>
    <row r="25" spans="2:30" ht="15" thickBot="1" x14ac:dyDescent="0.35">
      <c r="B25" s="68"/>
      <c r="C25" s="858" t="s">
        <v>44</v>
      </c>
      <c r="D25" s="858"/>
      <c r="E25" s="858"/>
      <c r="F25" s="56" t="s">
        <v>45</v>
      </c>
      <c r="G25" s="57">
        <f>SKEW(G7:G17)</f>
        <v>-1.223773584143293E-2</v>
      </c>
      <c r="H25" s="82"/>
      <c r="I25" s="69"/>
      <c r="K25" s="68"/>
      <c r="L25" s="71"/>
      <c r="M25" s="71"/>
      <c r="N25" s="71"/>
      <c r="O25" s="71"/>
      <c r="P25" s="71"/>
      <c r="Q25" s="71"/>
      <c r="R25" s="71"/>
      <c r="S25" s="71"/>
      <c r="V25" s="71"/>
      <c r="W25" s="71"/>
      <c r="X25" s="71"/>
      <c r="Y25" s="71"/>
      <c r="Z25" s="71"/>
      <c r="AA25" s="71"/>
      <c r="AB25" s="71"/>
      <c r="AC25" s="71"/>
      <c r="AD25" s="69"/>
    </row>
    <row r="26" spans="2:30" ht="15" thickBot="1" x14ac:dyDescent="0.35">
      <c r="B26" s="68"/>
      <c r="I26" s="69"/>
      <c r="K26" s="303"/>
      <c r="L26" s="864" t="s">
        <v>188</v>
      </c>
      <c r="M26" s="865"/>
      <c r="N26" s="865"/>
      <c r="O26" s="865"/>
      <c r="P26" s="865"/>
      <c r="Q26" s="865"/>
      <c r="R26" s="865"/>
      <c r="S26" s="866"/>
      <c r="T26" s="68"/>
      <c r="U26" s="69"/>
      <c r="V26" s="864" t="s">
        <v>113</v>
      </c>
      <c r="W26" s="865"/>
      <c r="X26" s="865"/>
      <c r="Y26" s="865"/>
      <c r="Z26" s="865"/>
      <c r="AA26" s="865"/>
      <c r="AB26" s="865"/>
      <c r="AC26" s="866"/>
      <c r="AD26" s="69"/>
    </row>
    <row r="27" spans="2:30" ht="16.2" thickBot="1" x14ac:dyDescent="0.4">
      <c r="B27" s="68"/>
      <c r="D27" s="61" t="s">
        <v>23</v>
      </c>
      <c r="E27" s="62" t="s">
        <v>25</v>
      </c>
      <c r="F27" s="63" t="s">
        <v>47</v>
      </c>
      <c r="G27" s="63" t="s">
        <v>46</v>
      </c>
      <c r="H27" s="63" t="s">
        <v>203</v>
      </c>
      <c r="I27" s="69"/>
      <c r="K27" s="303"/>
      <c r="L27" s="867" t="s">
        <v>43</v>
      </c>
      <c r="M27" s="868"/>
      <c r="N27" s="868"/>
      <c r="O27" s="868"/>
      <c r="P27" s="868"/>
      <c r="Q27" s="868"/>
      <c r="R27" s="868"/>
      <c r="S27" s="869"/>
      <c r="T27" s="74"/>
      <c r="U27" s="74"/>
      <c r="V27" s="867" t="s">
        <v>16</v>
      </c>
      <c r="W27" s="868"/>
      <c r="X27" s="868"/>
      <c r="Y27" s="868"/>
      <c r="Z27" s="868"/>
      <c r="AA27" s="868"/>
      <c r="AB27" s="868"/>
      <c r="AC27" s="869"/>
      <c r="AD27" s="69"/>
    </row>
    <row r="28" spans="2:30" ht="16.8" thickTop="1" thickBot="1" x14ac:dyDescent="0.4">
      <c r="B28" s="68"/>
      <c r="D28" s="36">
        <v>2</v>
      </c>
      <c r="E28" s="35">
        <f>VLOOKUP(D28,'Tabel Ktr Normal'!C5:D25,2,FALSE)</f>
        <v>0</v>
      </c>
      <c r="F28" s="60">
        <f t="shared" ref="F28:F35" si="29">E28*$G$22</f>
        <v>0</v>
      </c>
      <c r="G28" s="60">
        <f>F28+$G$21</f>
        <v>2.0787774292373444</v>
      </c>
      <c r="H28" s="60">
        <f>10^G28</f>
        <v>119.88847315000804</v>
      </c>
      <c r="I28" s="69"/>
      <c r="K28" s="303"/>
      <c r="L28" s="53" t="s">
        <v>21</v>
      </c>
      <c r="M28" s="54" t="s">
        <v>26</v>
      </c>
      <c r="N28" s="54" t="s">
        <v>201</v>
      </c>
      <c r="O28" s="54" t="s">
        <v>182</v>
      </c>
      <c r="P28" s="54" t="s">
        <v>183</v>
      </c>
      <c r="Q28" s="54" t="s">
        <v>184</v>
      </c>
      <c r="R28" s="54" t="s">
        <v>185</v>
      </c>
      <c r="S28" s="55" t="s">
        <v>186</v>
      </c>
      <c r="T28" s="74"/>
      <c r="U28" s="74"/>
      <c r="V28" s="215"/>
      <c r="AC28" s="69"/>
      <c r="AD28" s="69"/>
    </row>
    <row r="29" spans="2:30" ht="15" thickTop="1" x14ac:dyDescent="0.3">
      <c r="B29" s="68"/>
      <c r="D29" s="40">
        <v>5</v>
      </c>
      <c r="E29" s="35">
        <f>VLOOKUP(D29,'Tabel Ktr Normal'!C6:D26,2,FALSE)</f>
        <v>0.84</v>
      </c>
      <c r="F29" s="60">
        <f t="shared" si="29"/>
        <v>8.9531986063035612E-2</v>
      </c>
      <c r="G29" s="60">
        <f t="shared" ref="G29:G35" si="30">F29+$G$21</f>
        <v>2.1683094153003801</v>
      </c>
      <c r="H29" s="60">
        <f t="shared" ref="H29:H35" si="31">10^G29</f>
        <v>147.3361832678263</v>
      </c>
      <c r="I29" s="69"/>
      <c r="K29" s="303"/>
      <c r="L29" s="36">
        <f t="shared" ref="L29:L37" si="32">L7</f>
        <v>1</v>
      </c>
      <c r="M29" s="57">
        <f t="shared" ref="M29:M32" si="33">L29/($G$20+1)</f>
        <v>8.3333333333333329E-2</v>
      </c>
      <c r="N29" s="203">
        <f t="shared" ref="N29:N39" si="34">G7</f>
        <v>172</v>
      </c>
      <c r="O29" s="169">
        <f t="shared" ref="O29:O32" si="35">$L$29-M29</f>
        <v>0.91666666666666663</v>
      </c>
      <c r="P29" s="163">
        <f t="shared" ref="P29:P39" si="36">(N29-AVERAGE($G$7:$G$18))/_xlfn.STDEV.S($G$7:$G$18)</f>
        <v>1.7012594477855905</v>
      </c>
      <c r="Q29" s="163">
        <f>1-_xlfn.LOGNORM.DIST(N29,LN(AVERAGE($G$7:$G$18)),LN(_xlfn.STDEV.S($G$7:$G$18)),TRUE)</f>
        <v>0.46032441216150799</v>
      </c>
      <c r="R29" s="169">
        <f t="shared" ref="R29:R39" si="37">$L$29-Q29</f>
        <v>0.53967558783849201</v>
      </c>
      <c r="S29" s="306">
        <f t="shared" ref="S29:S39" si="38">ABS(R29-O29)</f>
        <v>0.37699107882817462</v>
      </c>
      <c r="T29" s="74"/>
      <c r="U29" s="74"/>
      <c r="V29" s="870" t="s">
        <v>135</v>
      </c>
      <c r="W29" s="871"/>
      <c r="X29" s="208" t="s">
        <v>130</v>
      </c>
      <c r="Y29" s="290">
        <f>ROUNDUP(1+1.33*LN(G20),0)</f>
        <v>5</v>
      </c>
      <c r="Z29" s="872" t="s">
        <v>133</v>
      </c>
      <c r="AA29" s="871"/>
      <c r="AB29" s="208" t="s">
        <v>118</v>
      </c>
      <c r="AC29" s="231">
        <f>G20/Y29</f>
        <v>2.2000000000000002</v>
      </c>
      <c r="AD29" s="69"/>
    </row>
    <row r="30" spans="2:30" x14ac:dyDescent="0.3">
      <c r="B30" s="68"/>
      <c r="D30" s="40">
        <v>10</v>
      </c>
      <c r="E30" s="35">
        <f>VLOOKUP(D30,'Tabel Ktr Normal'!C7:D27,2,FALSE)</f>
        <v>1.28</v>
      </c>
      <c r="F30" s="60">
        <f t="shared" si="29"/>
        <v>0.13642969304843522</v>
      </c>
      <c r="G30" s="60">
        <f t="shared" si="30"/>
        <v>2.2152071222857797</v>
      </c>
      <c r="H30" s="60">
        <f t="shared" si="31"/>
        <v>164.13723844453364</v>
      </c>
      <c r="I30" s="69"/>
      <c r="K30" s="303"/>
      <c r="L30" s="36">
        <f t="shared" si="32"/>
        <v>2</v>
      </c>
      <c r="M30" s="57">
        <f t="shared" si="33"/>
        <v>0.16666666666666666</v>
      </c>
      <c r="N30" s="203">
        <f t="shared" si="34"/>
        <v>155</v>
      </c>
      <c r="O30" s="169">
        <f t="shared" si="35"/>
        <v>0.83333333333333337</v>
      </c>
      <c r="P30" s="163">
        <f t="shared" si="36"/>
        <v>1.1099294910274018</v>
      </c>
      <c r="Q30" s="163">
        <f t="shared" ref="Q30:Q39" si="39">1-_xlfn.LOGNORM.DIST(N30,LN(AVERAGE($G$7:$G$18)),LN(_xlfn.STDEV.S($G$7:$G$18)),TRUE)</f>
        <v>0.47264187987570172</v>
      </c>
      <c r="R30" s="169">
        <f t="shared" si="37"/>
        <v>0.52735812012429828</v>
      </c>
      <c r="S30" s="306">
        <f t="shared" si="38"/>
        <v>0.30597521320903509</v>
      </c>
      <c r="T30" s="74"/>
      <c r="U30" s="74"/>
      <c r="V30" s="870" t="s">
        <v>134</v>
      </c>
      <c r="W30" s="871"/>
      <c r="X30" s="208" t="s">
        <v>131</v>
      </c>
      <c r="Y30" s="38">
        <f>Y29-(2+1)</f>
        <v>2</v>
      </c>
      <c r="Z30" s="229" t="s">
        <v>138</v>
      </c>
      <c r="AA30" s="230"/>
      <c r="AB30" s="208" t="s">
        <v>137</v>
      </c>
      <c r="AC30" s="41">
        <f>ROUND((G23-G24)/(Y29-1),0)</f>
        <v>25</v>
      </c>
      <c r="AD30" s="69"/>
    </row>
    <row r="31" spans="2:30" ht="15.6" x14ac:dyDescent="0.35">
      <c r="B31" s="68"/>
      <c r="D31" s="40">
        <v>25</v>
      </c>
      <c r="E31" s="35">
        <f>VLOOKUP(D31,'Tabel Ktr Normal'!C8:D28,2,FALSE)</f>
        <v>1.64</v>
      </c>
      <c r="F31" s="60">
        <f t="shared" si="29"/>
        <v>0.17480054421830762</v>
      </c>
      <c r="G31" s="60">
        <f t="shared" si="30"/>
        <v>2.253577973455652</v>
      </c>
      <c r="H31" s="60">
        <f t="shared" si="31"/>
        <v>179.29904378984557</v>
      </c>
      <c r="I31" s="69"/>
      <c r="K31" s="303"/>
      <c r="L31" s="36">
        <f t="shared" si="32"/>
        <v>3</v>
      </c>
      <c r="M31" s="57">
        <f t="shared" si="33"/>
        <v>0.25</v>
      </c>
      <c r="N31" s="203">
        <f t="shared" si="34"/>
        <v>141</v>
      </c>
      <c r="O31" s="169">
        <f t="shared" si="35"/>
        <v>0.75</v>
      </c>
      <c r="P31" s="163">
        <f t="shared" si="36"/>
        <v>0.62295187957948195</v>
      </c>
      <c r="Q31" s="163">
        <f t="shared" si="39"/>
        <v>0.48386937240609107</v>
      </c>
      <c r="R31" s="169">
        <f t="shared" si="37"/>
        <v>0.51613062759390893</v>
      </c>
      <c r="S31" s="306">
        <f t="shared" si="38"/>
        <v>0.23386937240609107</v>
      </c>
      <c r="T31" s="74"/>
      <c r="U31" s="74"/>
      <c r="V31" s="873" t="s">
        <v>144</v>
      </c>
      <c r="W31" s="874"/>
      <c r="X31" s="289">
        <v>0.05</v>
      </c>
      <c r="Y31" s="232">
        <f>IF(X31='Tabel Alfa Chi Square'!C5,2,IF(X31='Tabel Alfa Chi Square'!D5,3,IF(X31='Tabel Alfa Chi Square'!E5,4,IF(X31='Tabel Alfa Chi Square'!F5,5,IF(X31='Tabel Alfa Chi Square'!G5,6,IF(X31='Tabel Alfa Chi Square'!H5,7,IF(X31='Tabel Alfa Chi Square'!I5,8,IF(X31='Tabel Alfa Chi Square'!J5,9))))))))</f>
        <v>6</v>
      </c>
      <c r="Z31" s="229" t="s">
        <v>139</v>
      </c>
      <c r="AA31" s="230"/>
      <c r="AB31" s="208" t="s">
        <v>125</v>
      </c>
      <c r="AC31" s="41">
        <f>ROUND(G24-0.5*AC30,0)</f>
        <v>62</v>
      </c>
      <c r="AD31" s="69"/>
    </row>
    <row r="32" spans="2:30" ht="15.6" x14ac:dyDescent="0.35">
      <c r="B32" s="68"/>
      <c r="D32" s="40">
        <v>50</v>
      </c>
      <c r="E32" s="35">
        <f>VLOOKUP(D32,'Tabel Ktr Normal'!C9:D29,2,FALSE)</f>
        <v>2.0499999999999998</v>
      </c>
      <c r="F32" s="60">
        <f t="shared" si="29"/>
        <v>0.21850068027288452</v>
      </c>
      <c r="G32" s="60">
        <f t="shared" si="30"/>
        <v>2.2972781095102288</v>
      </c>
      <c r="H32" s="60">
        <f t="shared" si="31"/>
        <v>198.27963442504156</v>
      </c>
      <c r="I32" s="69"/>
      <c r="K32" s="303"/>
      <c r="L32" s="36">
        <f t="shared" si="32"/>
        <v>4</v>
      </c>
      <c r="M32" s="57">
        <f t="shared" si="33"/>
        <v>0.33333333333333331</v>
      </c>
      <c r="N32" s="203">
        <f t="shared" si="34"/>
        <v>139</v>
      </c>
      <c r="O32" s="169">
        <f t="shared" si="35"/>
        <v>0.66666666666666674</v>
      </c>
      <c r="P32" s="163">
        <f t="shared" si="36"/>
        <v>0.55338364937263618</v>
      </c>
      <c r="Q32" s="163">
        <f t="shared" si="39"/>
        <v>0.48556504769679831</v>
      </c>
      <c r="R32" s="169">
        <f t="shared" si="37"/>
        <v>0.51443495230320169</v>
      </c>
      <c r="S32" s="306">
        <f t="shared" si="38"/>
        <v>0.15223171436346505</v>
      </c>
      <c r="T32" s="74"/>
      <c r="U32" s="74"/>
      <c r="V32" s="870" t="s">
        <v>132</v>
      </c>
      <c r="W32" s="871"/>
      <c r="X32" s="204" t="s">
        <v>112</v>
      </c>
      <c r="Y32" s="38">
        <f>VLOOKUP(Y30,'Tabel Alfa Chi Square'!$B$7:$J$36,Y31,FALSE)</f>
        <v>5.9909999999999997</v>
      </c>
      <c r="Z32" s="229" t="s">
        <v>140</v>
      </c>
      <c r="AA32" s="230"/>
      <c r="AB32" s="208" t="s">
        <v>126</v>
      </c>
      <c r="AC32" s="41">
        <f>ROUND(G23+0.5*AC30,0)</f>
        <v>185</v>
      </c>
      <c r="AD32" s="69"/>
    </row>
    <row r="33" spans="2:30" x14ac:dyDescent="0.3">
      <c r="B33" s="68"/>
      <c r="D33" s="40">
        <v>100</v>
      </c>
      <c r="E33" s="35">
        <f>VLOOKUP(D33,'Tabel Ktr Normal'!C10:D30,2,FALSE)</f>
        <v>2.33</v>
      </c>
      <c r="F33" s="60">
        <f t="shared" si="29"/>
        <v>0.24834467562722976</v>
      </c>
      <c r="G33" s="60">
        <f t="shared" si="30"/>
        <v>2.327122104864574</v>
      </c>
      <c r="H33" s="60">
        <f t="shared" si="31"/>
        <v>212.38415106339423</v>
      </c>
      <c r="I33" s="69"/>
      <c r="K33" s="303"/>
      <c r="L33" s="36">
        <f t="shared" si="32"/>
        <v>5</v>
      </c>
      <c r="M33" s="57">
        <f t="shared" ref="M33:M39" si="40">L33/($G$20+1)</f>
        <v>0.41666666666666669</v>
      </c>
      <c r="N33" s="203">
        <f t="shared" si="34"/>
        <v>134</v>
      </c>
      <c r="O33" s="169">
        <f t="shared" ref="O33:O39" si="41">$L$29-M33</f>
        <v>0.58333333333333326</v>
      </c>
      <c r="P33" s="163">
        <f t="shared" si="36"/>
        <v>0.37946307385552197</v>
      </c>
      <c r="Q33" s="163">
        <f t="shared" si="39"/>
        <v>0.48991446534898786</v>
      </c>
      <c r="R33" s="169">
        <f t="shared" si="37"/>
        <v>0.51008553465101214</v>
      </c>
      <c r="S33" s="306">
        <f t="shared" si="38"/>
        <v>7.3247798682321119E-2</v>
      </c>
      <c r="T33" s="74"/>
      <c r="U33" s="74"/>
      <c r="V33" s="68"/>
      <c r="AC33" s="69"/>
      <c r="AD33" s="69"/>
    </row>
    <row r="34" spans="2:30" ht="16.8" thickBot="1" x14ac:dyDescent="0.35">
      <c r="B34" s="68"/>
      <c r="D34" s="40">
        <v>200</v>
      </c>
      <c r="E34" s="35">
        <f>VLOOKUP(D34,'Tabel Ktr Normal'!C11:D31,2,FALSE)</f>
        <v>2.58</v>
      </c>
      <c r="F34" s="60">
        <f t="shared" si="29"/>
        <v>0.27499110005075222</v>
      </c>
      <c r="G34" s="60">
        <f t="shared" si="30"/>
        <v>2.3537685292880965</v>
      </c>
      <c r="H34" s="60">
        <f t="shared" si="31"/>
        <v>225.8231854721119</v>
      </c>
      <c r="I34" s="69"/>
      <c r="K34" s="303"/>
      <c r="L34" s="36">
        <f t="shared" si="32"/>
        <v>6</v>
      </c>
      <c r="M34" s="57">
        <f t="shared" si="40"/>
        <v>0.5</v>
      </c>
      <c r="N34" s="203">
        <f t="shared" si="34"/>
        <v>121</v>
      </c>
      <c r="O34" s="169">
        <f t="shared" si="41"/>
        <v>0.5</v>
      </c>
      <c r="P34" s="163">
        <f t="shared" si="36"/>
        <v>-7.2730422488975155E-2</v>
      </c>
      <c r="Q34" s="163">
        <f t="shared" si="39"/>
        <v>0.50203504857403713</v>
      </c>
      <c r="R34" s="169">
        <f t="shared" si="37"/>
        <v>0.49796495142596287</v>
      </c>
      <c r="S34" s="306">
        <f t="shared" si="38"/>
        <v>2.0350485740371349E-3</v>
      </c>
      <c r="T34" s="74"/>
      <c r="U34" s="74"/>
      <c r="V34" s="216" t="s">
        <v>114</v>
      </c>
      <c r="W34" s="214" t="s">
        <v>115</v>
      </c>
      <c r="X34" s="214" t="s">
        <v>116</v>
      </c>
      <c r="Y34" s="214" t="s">
        <v>117</v>
      </c>
      <c r="Z34" s="214" t="s">
        <v>118</v>
      </c>
      <c r="AA34" s="214" t="s">
        <v>119</v>
      </c>
      <c r="AB34" s="214" t="s">
        <v>120</v>
      </c>
      <c r="AC34" s="217" t="s">
        <v>143</v>
      </c>
      <c r="AD34" s="69"/>
    </row>
    <row r="35" spans="2:30" ht="15.6" thickTop="1" thickBot="1" x14ac:dyDescent="0.35">
      <c r="B35" s="68"/>
      <c r="D35" s="42">
        <v>1000</v>
      </c>
      <c r="E35" s="35">
        <f>VLOOKUP(D35,'Tabel Ktr Normal'!C12:D32,2,FALSE)</f>
        <v>3.09</v>
      </c>
      <c r="F35" s="194">
        <f t="shared" si="29"/>
        <v>0.32934980587473811</v>
      </c>
      <c r="G35" s="194">
        <f t="shared" si="30"/>
        <v>2.4081272351120826</v>
      </c>
      <c r="H35" s="194">
        <f t="shared" si="31"/>
        <v>255.93355847887165</v>
      </c>
      <c r="I35" s="69"/>
      <c r="K35" s="303"/>
      <c r="L35" s="36">
        <f t="shared" si="32"/>
        <v>7</v>
      </c>
      <c r="M35" s="57">
        <f t="shared" si="40"/>
        <v>0.58333333333333337</v>
      </c>
      <c r="N35" s="203">
        <f t="shared" si="34"/>
        <v>119</v>
      </c>
      <c r="O35" s="169">
        <f t="shared" si="41"/>
        <v>0.41666666666666663</v>
      </c>
      <c r="P35" s="163">
        <f t="shared" si="36"/>
        <v>-0.14229865269582084</v>
      </c>
      <c r="Q35" s="163">
        <f t="shared" si="39"/>
        <v>0.50401474396395007</v>
      </c>
      <c r="R35" s="169">
        <f t="shared" si="37"/>
        <v>0.49598525603604993</v>
      </c>
      <c r="S35" s="306">
        <f t="shared" si="38"/>
        <v>7.9318589369383297E-2</v>
      </c>
      <c r="T35" s="74"/>
      <c r="U35" s="74"/>
      <c r="V35" s="218">
        <v>1</v>
      </c>
      <c r="W35" s="211">
        <f>AC31</f>
        <v>62</v>
      </c>
      <c r="X35" s="211">
        <f>W35+AC30</f>
        <v>87</v>
      </c>
      <c r="Y35" s="211" t="str">
        <f>ROUND(W35,0)&amp;" &lt;= P &lt;= " &amp; ROUND(X35,0)</f>
        <v>62 &lt;= P &lt;= 87</v>
      </c>
      <c r="Z35" s="212">
        <f>$AC$29</f>
        <v>2.2000000000000002</v>
      </c>
      <c r="AA35" s="35">
        <f>COUNTIFS($F$7:$F$17,"&gt;=" &amp;W35,$F$7:$F$17,"&lt;=" &amp;X35)</f>
        <v>1</v>
      </c>
      <c r="AB35" s="213">
        <f>Z35-AA35</f>
        <v>1.2000000000000002</v>
      </c>
      <c r="AC35" s="219">
        <f>AB35^2/Z35</f>
        <v>0.65454545454545465</v>
      </c>
      <c r="AD35" s="69"/>
    </row>
    <row r="36" spans="2:30" ht="15" thickBot="1" x14ac:dyDescent="0.35">
      <c r="B36" s="70"/>
      <c r="C36" s="71"/>
      <c r="D36" s="71"/>
      <c r="E36" s="71"/>
      <c r="F36" s="71"/>
      <c r="G36" s="71"/>
      <c r="H36" s="71"/>
      <c r="I36" s="72"/>
      <c r="K36" s="303"/>
      <c r="L36" s="36">
        <f t="shared" si="32"/>
        <v>8</v>
      </c>
      <c r="M36" s="57">
        <f t="shared" si="40"/>
        <v>0.66666666666666663</v>
      </c>
      <c r="N36" s="203">
        <f t="shared" si="34"/>
        <v>106</v>
      </c>
      <c r="O36" s="169">
        <f t="shared" si="41"/>
        <v>0.33333333333333337</v>
      </c>
      <c r="P36" s="163">
        <f t="shared" si="36"/>
        <v>-0.594492149040318</v>
      </c>
      <c r="Q36" s="163">
        <f t="shared" si="39"/>
        <v>0.5177502344304501</v>
      </c>
      <c r="R36" s="169">
        <f t="shared" si="37"/>
        <v>0.4822497655695499</v>
      </c>
      <c r="S36" s="306">
        <f t="shared" si="38"/>
        <v>0.14891643223621653</v>
      </c>
      <c r="T36" s="74"/>
      <c r="U36" s="74"/>
      <c r="V36" s="220">
        <v>2</v>
      </c>
      <c r="W36" s="210">
        <f>X35</f>
        <v>87</v>
      </c>
      <c r="X36" s="210">
        <f>W36+$AC$30</f>
        <v>112</v>
      </c>
      <c r="Y36" s="210" t="str">
        <f>ROUND(W36,0)&amp;" &lt; P &lt;= " &amp; ROUND(X36,0)</f>
        <v>87 &lt; P &lt;= 112</v>
      </c>
      <c r="Z36" s="212">
        <f t="shared" ref="Z36:Z39" si="42">$AC$29</f>
        <v>2.2000000000000002</v>
      </c>
      <c r="AA36" s="38">
        <f>COUNTIFS($F$7:$F$17,"&gt;" &amp;W36,$F$7:$F$17,"&lt;=" &amp;X36)</f>
        <v>3</v>
      </c>
      <c r="AB36" s="123">
        <f t="shared" ref="AB36:AB39" si="43">Z36-AA36</f>
        <v>-0.79999999999999982</v>
      </c>
      <c r="AC36" s="221">
        <f t="shared" ref="AC36:AC39" si="44">AB36^2/Z36</f>
        <v>0.29090909090909073</v>
      </c>
      <c r="AD36" s="69"/>
    </row>
    <row r="37" spans="2:30" x14ac:dyDescent="0.3">
      <c r="K37" s="303"/>
      <c r="L37" s="36">
        <f t="shared" si="32"/>
        <v>9</v>
      </c>
      <c r="M37" s="57">
        <f t="shared" si="40"/>
        <v>0.75</v>
      </c>
      <c r="N37" s="203">
        <f t="shared" si="34"/>
        <v>100</v>
      </c>
      <c r="O37" s="169">
        <f t="shared" si="41"/>
        <v>0.25</v>
      </c>
      <c r="P37" s="163">
        <f t="shared" si="36"/>
        <v>-0.80319683966085509</v>
      </c>
      <c r="Q37" s="163">
        <f t="shared" si="39"/>
        <v>0.52466169400843365</v>
      </c>
      <c r="R37" s="169">
        <f t="shared" si="37"/>
        <v>0.47533830599156635</v>
      </c>
      <c r="S37" s="306">
        <f t="shared" si="38"/>
        <v>0.22533830599156635</v>
      </c>
      <c r="T37" s="74"/>
      <c r="U37" s="74"/>
      <c r="V37" s="220">
        <v>3</v>
      </c>
      <c r="W37" s="210">
        <f t="shared" ref="W37:W39" si="45">X36</f>
        <v>112</v>
      </c>
      <c r="X37" s="210">
        <f t="shared" ref="X37:X39" si="46">W37+$AC$30</f>
        <v>137</v>
      </c>
      <c r="Y37" s="210" t="str">
        <f>ROUND(W37,0)&amp;" &lt; P &lt;= " &amp; ROUND(X37,0)</f>
        <v>112 &lt; P &lt;= 137</v>
      </c>
      <c r="Z37" s="212">
        <f t="shared" si="42"/>
        <v>2.2000000000000002</v>
      </c>
      <c r="AA37" s="38">
        <f>COUNTIFS($F$7:$F$17,"&gt;" &amp;W37,$F$7:$F$17,"&lt;=" &amp;X37)</f>
        <v>3</v>
      </c>
      <c r="AB37" s="123">
        <f t="shared" si="43"/>
        <v>-0.79999999999999982</v>
      </c>
      <c r="AC37" s="221">
        <f t="shared" si="44"/>
        <v>0.29090909090909073</v>
      </c>
      <c r="AD37" s="69"/>
    </row>
    <row r="38" spans="2:30" x14ac:dyDescent="0.3">
      <c r="K38" s="303"/>
      <c r="L38" s="36">
        <v>10</v>
      </c>
      <c r="M38" s="305">
        <f t="shared" si="40"/>
        <v>0.83333333333333337</v>
      </c>
      <c r="N38" s="203">
        <f t="shared" si="34"/>
        <v>93</v>
      </c>
      <c r="O38" s="308">
        <f t="shared" si="41"/>
        <v>0.16666666666666663</v>
      </c>
      <c r="P38" s="163">
        <f t="shared" si="36"/>
        <v>-1.046685645384815</v>
      </c>
      <c r="Q38" s="163">
        <f t="shared" si="39"/>
        <v>0.53325893129654567</v>
      </c>
      <c r="R38" s="169">
        <f t="shared" si="37"/>
        <v>0.46674106870345433</v>
      </c>
      <c r="S38" s="306">
        <f t="shared" si="38"/>
        <v>0.3000744020367877</v>
      </c>
      <c r="T38" s="74"/>
      <c r="U38" s="74"/>
      <c r="V38" s="220">
        <v>4</v>
      </c>
      <c r="W38" s="210">
        <f t="shared" si="45"/>
        <v>137</v>
      </c>
      <c r="X38" s="210">
        <f t="shared" si="46"/>
        <v>162</v>
      </c>
      <c r="Y38" s="210" t="str">
        <f>ROUND(W38,0)&amp;" &lt; P &lt;= " &amp; ROUND(X38,0)</f>
        <v>137 &lt; P &lt;= 162</v>
      </c>
      <c r="Z38" s="212">
        <f t="shared" si="42"/>
        <v>2.2000000000000002</v>
      </c>
      <c r="AA38" s="38">
        <f>COUNTIFS($F$7:$F$17,"&gt;" &amp;W38,$F$7:$F$17,"&lt;=" &amp;X38)</f>
        <v>3</v>
      </c>
      <c r="AB38" s="123">
        <f t="shared" si="43"/>
        <v>-0.79999999999999982</v>
      </c>
      <c r="AC38" s="221">
        <f t="shared" si="44"/>
        <v>0.29090909090909073</v>
      </c>
      <c r="AD38" s="69"/>
    </row>
    <row r="39" spans="2:30" ht="15" thickBot="1" x14ac:dyDescent="0.35">
      <c r="K39" s="303"/>
      <c r="L39" s="310">
        <v>11</v>
      </c>
      <c r="M39" s="311">
        <f t="shared" si="40"/>
        <v>0.91666666666666663</v>
      </c>
      <c r="N39" s="203">
        <f t="shared" si="34"/>
        <v>74</v>
      </c>
      <c r="O39" s="311">
        <f t="shared" si="41"/>
        <v>8.333333333333337E-2</v>
      </c>
      <c r="P39" s="163">
        <f t="shared" si="36"/>
        <v>-1.7075838323498493</v>
      </c>
      <c r="Q39" s="163">
        <f t="shared" si="39"/>
        <v>0.56021298798332353</v>
      </c>
      <c r="R39" s="169">
        <f t="shared" si="37"/>
        <v>0.43978701201667647</v>
      </c>
      <c r="S39" s="306">
        <f t="shared" si="38"/>
        <v>0.3564536786833431</v>
      </c>
      <c r="T39" s="74"/>
      <c r="U39" s="74"/>
      <c r="V39" s="220">
        <v>5</v>
      </c>
      <c r="W39" s="210">
        <f t="shared" si="45"/>
        <v>162</v>
      </c>
      <c r="X39" s="210">
        <f t="shared" si="46"/>
        <v>187</v>
      </c>
      <c r="Y39" s="210" t="str">
        <f>ROUND(W39,0)&amp;" &lt; P &lt;= " &amp; ROUND(X39,0)</f>
        <v>162 &lt; P &lt;= 187</v>
      </c>
      <c r="Z39" s="212">
        <f t="shared" si="42"/>
        <v>2.2000000000000002</v>
      </c>
      <c r="AA39" s="38">
        <f>COUNTIFS($F$7:$F$17,"&gt;" &amp;W39,$F$7:$F$17,"&lt;=" &amp;X39)</f>
        <v>1</v>
      </c>
      <c r="AB39" s="123">
        <f t="shared" si="43"/>
        <v>1.2000000000000002</v>
      </c>
      <c r="AC39" s="221">
        <f t="shared" si="44"/>
        <v>0.65454545454545465</v>
      </c>
      <c r="AD39" s="69"/>
    </row>
    <row r="40" spans="2:30" ht="15" thickBot="1" x14ac:dyDescent="0.35">
      <c r="K40" s="68"/>
      <c r="L40" s="74"/>
      <c r="M40" s="74"/>
      <c r="N40" s="74"/>
      <c r="O40" s="74"/>
      <c r="P40" s="74"/>
      <c r="Q40" s="74"/>
      <c r="R40" s="312" t="s">
        <v>187</v>
      </c>
      <c r="S40" s="313">
        <f>ROUND(MAX(S29:S38),3)</f>
        <v>0.377</v>
      </c>
      <c r="T40" s="74"/>
      <c r="U40" s="74"/>
      <c r="V40" s="220"/>
      <c r="W40" s="210"/>
      <c r="X40" s="210"/>
      <c r="Y40" s="210"/>
      <c r="Z40" s="210"/>
      <c r="AA40" s="210"/>
      <c r="AB40" s="210"/>
      <c r="AC40" s="222"/>
      <c r="AD40" s="69"/>
    </row>
    <row r="41" spans="2:30" ht="15" thickBot="1" x14ac:dyDescent="0.35">
      <c r="K41" s="68"/>
      <c r="L41" s="74" t="s">
        <v>189</v>
      </c>
      <c r="M41" s="74"/>
      <c r="N41" s="74"/>
      <c r="O41" s="314">
        <v>0.05</v>
      </c>
      <c r="P41" s="327">
        <f>IF(O41=0.2,2,IF(O41=0.1,3,IF(O41=0.05,4,IF(O41=0.01,5))))</f>
        <v>4</v>
      </c>
      <c r="Q41" s="74"/>
      <c r="R41" s="74"/>
      <c r="S41" s="74"/>
      <c r="T41" s="74"/>
      <c r="U41" s="74"/>
      <c r="V41" s="223"/>
      <c r="W41" s="224"/>
      <c r="X41" s="224"/>
      <c r="Y41" s="224"/>
      <c r="Z41" s="224"/>
      <c r="AA41" s="224"/>
      <c r="AB41" s="224"/>
      <c r="AC41" s="225"/>
      <c r="AD41" s="69"/>
    </row>
    <row r="42" spans="2:30" ht="17.399999999999999" thickTop="1" thickBot="1" x14ac:dyDescent="0.35">
      <c r="K42" s="68"/>
      <c r="L42" s="74" t="s">
        <v>190</v>
      </c>
      <c r="M42" s="74"/>
      <c r="N42" s="74"/>
      <c r="O42" s="74">
        <f>VLOOKUP(G20,'Tabel Do Smirnov-Kolmogorov'!$B$6:$F$49,'RTr Normal'!O41,FALSE)</f>
        <v>0.39100000000000001</v>
      </c>
      <c r="P42" s="74"/>
      <c r="Q42" s="74"/>
      <c r="R42" s="74"/>
      <c r="S42" s="74"/>
      <c r="T42" s="74"/>
      <c r="U42" s="74"/>
      <c r="V42" s="853" t="s">
        <v>122</v>
      </c>
      <c r="W42" s="854"/>
      <c r="X42" s="226"/>
      <c r="Y42" s="226"/>
      <c r="Z42" s="269">
        <f>SUM(Z35:Z41)</f>
        <v>11</v>
      </c>
      <c r="AA42" s="269">
        <f>SUM(AA35:AA41)</f>
        <v>11</v>
      </c>
      <c r="AB42" s="227" t="s">
        <v>123</v>
      </c>
      <c r="AC42" s="228">
        <f>SUM(AC35:AC41)</f>
        <v>2.1818181818181817</v>
      </c>
      <c r="AD42" s="69"/>
    </row>
    <row r="43" spans="2:30" x14ac:dyDescent="0.3">
      <c r="K43" s="68"/>
      <c r="L43" s="74" t="str">
        <f>"Nilai D max = " &amp;S40 &amp; ", maka uji ini:"</f>
        <v>Nilai D max = 0.377, maka uji ini:</v>
      </c>
      <c r="M43" s="74"/>
      <c r="N43" s="74"/>
      <c r="O43" s="328" t="str">
        <f>IF(S40&lt;O42,"MEMENUHI SYARAT","TIDAK MEMENUHI SYARAT")</f>
        <v>MEMENUHI SYARAT</v>
      </c>
      <c r="P43" s="74"/>
      <c r="Q43" s="74"/>
      <c r="R43" s="74"/>
      <c r="S43" s="74"/>
      <c r="T43" s="74"/>
      <c r="U43" s="74"/>
      <c r="AD43" s="69"/>
    </row>
    <row r="44" spans="2:30" ht="16.2" x14ac:dyDescent="0.3">
      <c r="K44" s="68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t="s">
        <v>136</v>
      </c>
      <c r="W44" s="82">
        <f>AC42</f>
        <v>2.1818181818181817</v>
      </c>
      <c r="X44" t="s">
        <v>121</v>
      </c>
      <c r="Y44" s="209" t="str">
        <f>IF(W44&lt;Y32,"MEMENUHI SYARAT","TIDAK MEMENUHI SYARAT")</f>
        <v>MEMENUHI SYARAT</v>
      </c>
      <c r="AA44"/>
      <c r="AD44" s="69"/>
    </row>
    <row r="45" spans="2:30" ht="15" thickBot="1" x14ac:dyDescent="0.35">
      <c r="K45" s="70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71"/>
      <c r="X45" s="71"/>
      <c r="Y45" s="71"/>
      <c r="Z45" s="71"/>
      <c r="AA45" s="71"/>
      <c r="AB45" s="71"/>
      <c r="AC45" s="71"/>
      <c r="AD45" s="72"/>
    </row>
    <row r="46" spans="2:30" x14ac:dyDescent="0.3">
      <c r="M46" s="82"/>
    </row>
    <row r="47" spans="2:30" x14ac:dyDescent="0.3">
      <c r="V47" s="1" t="s">
        <v>4817</v>
      </c>
      <c r="W47" s="1" t="s">
        <v>4610</v>
      </c>
      <c r="X47" s="1" t="s">
        <v>27</v>
      </c>
      <c r="Y47" s="1" t="s">
        <v>24</v>
      </c>
      <c r="Z47" s="1" t="s">
        <v>4818</v>
      </c>
    </row>
    <row r="48" spans="2:30" x14ac:dyDescent="0.3">
      <c r="V48" s="1">
        <v>1</v>
      </c>
      <c r="W48" s="1">
        <f>V48/COUNT($V$48:$V$52)</f>
        <v>0.2</v>
      </c>
      <c r="X48" s="1">
        <f>1/W48</f>
        <v>5</v>
      </c>
      <c r="Y48" s="796">
        <f>'RTr Normal'!X48</f>
        <v>0.84</v>
      </c>
      <c r="Z48" s="1">
        <f>10^($G$21+(Y48*$G$22))</f>
        <v>147.3361832678263</v>
      </c>
    </row>
    <row r="49" spans="13:29" x14ac:dyDescent="0.3">
      <c r="V49" s="1">
        <v>2</v>
      </c>
      <c r="W49" s="1">
        <f t="shared" ref="W49:W52" si="47">V49/COUNT($V$48:$V$52)</f>
        <v>0.4</v>
      </c>
      <c r="X49" s="1">
        <f t="shared" ref="X49:X52" si="48">1/W49</f>
        <v>2.5</v>
      </c>
      <c r="Y49" s="796">
        <f>'RTr Normal'!X49</f>
        <v>0.25</v>
      </c>
      <c r="Z49" s="1">
        <f t="shared" ref="Z49:Z51" si="49">10^($G$21+(Y49*$G$22))</f>
        <v>127.47465746651412</v>
      </c>
    </row>
    <row r="50" spans="13:29" x14ac:dyDescent="0.3">
      <c r="M50" s="82"/>
      <c r="V50" s="1">
        <v>3</v>
      </c>
      <c r="W50" s="1">
        <f t="shared" si="47"/>
        <v>0.6</v>
      </c>
      <c r="X50" s="1">
        <f t="shared" si="48"/>
        <v>1.6666666666666667</v>
      </c>
      <c r="Y50" s="796">
        <f>'RTr Normal'!X50</f>
        <v>-0.25</v>
      </c>
      <c r="Z50" s="1">
        <f t="shared" si="49"/>
        <v>112.75375262738679</v>
      </c>
    </row>
    <row r="51" spans="13:29" x14ac:dyDescent="0.3">
      <c r="V51" s="1">
        <v>4</v>
      </c>
      <c r="W51" s="1">
        <f t="shared" si="47"/>
        <v>0.8</v>
      </c>
      <c r="X51" s="1">
        <f t="shared" si="48"/>
        <v>1.25</v>
      </c>
      <c r="Y51" s="796">
        <f>'RTr Normal'!X51</f>
        <v>-0.84</v>
      </c>
      <c r="Z51" s="1">
        <f t="shared" si="49"/>
        <v>97.554081254518792</v>
      </c>
    </row>
    <row r="52" spans="13:29" x14ac:dyDescent="0.3">
      <c r="V52" s="1">
        <v>5</v>
      </c>
      <c r="Y52" s="796"/>
    </row>
    <row r="54" spans="13:29" x14ac:dyDescent="0.3">
      <c r="M54" s="82"/>
    </row>
    <row r="58" spans="13:29" x14ac:dyDescent="0.3">
      <c r="M58" s="82"/>
    </row>
    <row r="62" spans="13:29" x14ac:dyDescent="0.3">
      <c r="M62" s="82"/>
    </row>
    <row r="63" spans="13:29" ht="16.8" thickBot="1" x14ac:dyDescent="0.35">
      <c r="V63" s="216" t="s">
        <v>114</v>
      </c>
      <c r="W63" s="214" t="s">
        <v>115</v>
      </c>
      <c r="X63" s="214" t="s">
        <v>116</v>
      </c>
      <c r="Y63" s="214" t="s">
        <v>117</v>
      </c>
      <c r="Z63" s="214" t="s">
        <v>118</v>
      </c>
      <c r="AA63" s="214" t="s">
        <v>119</v>
      </c>
      <c r="AB63" s="214" t="s">
        <v>120</v>
      </c>
      <c r="AC63" s="217" t="s">
        <v>143</v>
      </c>
    </row>
    <row r="64" spans="13:29" ht="15" thickTop="1" x14ac:dyDescent="0.3">
      <c r="V64" s="218">
        <v>1</v>
      </c>
      <c r="W64" s="213">
        <f>Z48</f>
        <v>147.3361832678263</v>
      </c>
      <c r="X64" s="211"/>
      <c r="Y64" s="211" t="str">
        <f>"P &gt; "&amp;ROUND(W64,2)</f>
        <v>P &gt; 147.34</v>
      </c>
      <c r="Z64" s="212">
        <f>$AC$29</f>
        <v>2.2000000000000002</v>
      </c>
      <c r="AA64" s="35">
        <f>COUNTIFS($F$7:$F$17,"&gt;=" &amp;W64)</f>
        <v>2</v>
      </c>
      <c r="AB64" s="213">
        <f>Z64-AA64</f>
        <v>0.20000000000000018</v>
      </c>
      <c r="AC64" s="219">
        <f>AB64^2/Z64</f>
        <v>1.8181818181818212E-2</v>
      </c>
    </row>
    <row r="65" spans="13:29" x14ac:dyDescent="0.3">
      <c r="V65" s="220">
        <v>2</v>
      </c>
      <c r="W65" s="213">
        <f t="shared" ref="W65:W67" si="50">Z49</f>
        <v>127.47465746651412</v>
      </c>
      <c r="X65" s="123">
        <f>W64</f>
        <v>147.3361832678263</v>
      </c>
      <c r="Y65" s="210" t="str">
        <f>ROUND(W65,2)&amp;" &lt; P &lt;= " &amp; ROUND(X65,2)</f>
        <v>127.47 &lt; P &lt;= 147.34</v>
      </c>
      <c r="Z65" s="212">
        <f t="shared" ref="Z65:Z68" si="51">$AC$29</f>
        <v>2.2000000000000002</v>
      </c>
      <c r="AA65" s="38">
        <f>COUNTIFS($F$7:$F$17,"&gt;" &amp;W65,$F$7:$F$17,"&lt;=" &amp;X65)</f>
        <v>3</v>
      </c>
      <c r="AB65" s="123">
        <f t="shared" ref="AB65:AB68" si="52">Z65-AA65</f>
        <v>-0.79999999999999982</v>
      </c>
      <c r="AC65" s="221">
        <f t="shared" ref="AC65:AC68" si="53">AB65^2/Z65</f>
        <v>0.29090909090909073</v>
      </c>
    </row>
    <row r="66" spans="13:29" x14ac:dyDescent="0.3">
      <c r="M66" s="82"/>
      <c r="V66" s="220">
        <v>3</v>
      </c>
      <c r="W66" s="213">
        <f t="shared" si="50"/>
        <v>112.75375262738679</v>
      </c>
      <c r="X66" s="123">
        <f t="shared" ref="X66:X68" si="54">W65</f>
        <v>127.47465746651412</v>
      </c>
      <c r="Y66" s="210" t="str">
        <f>ROUND(W66,2)&amp;" &lt; P &lt;= " &amp; ROUND(X66,2)</f>
        <v>112.75 &lt; P &lt;= 127.47</v>
      </c>
      <c r="Z66" s="212">
        <f t="shared" si="51"/>
        <v>2.2000000000000002</v>
      </c>
      <c r="AA66" s="38">
        <f>COUNTIFS($F$7:$F$17,"&gt;" &amp;W66,$F$7:$F$17,"&lt;=" &amp;X66)</f>
        <v>2</v>
      </c>
      <c r="AB66" s="123">
        <f t="shared" si="52"/>
        <v>0.20000000000000018</v>
      </c>
      <c r="AC66" s="221">
        <f t="shared" si="53"/>
        <v>1.8181818181818212E-2</v>
      </c>
    </row>
    <row r="67" spans="13:29" x14ac:dyDescent="0.3">
      <c r="V67" s="220">
        <v>4</v>
      </c>
      <c r="W67" s="213">
        <f t="shared" si="50"/>
        <v>97.554081254518792</v>
      </c>
      <c r="X67" s="123">
        <f t="shared" si="54"/>
        <v>112.75375262738679</v>
      </c>
      <c r="Y67" s="210" t="str">
        <f>ROUND(W67,2)&amp;" &lt; P &lt;= " &amp; ROUND(X67,2)</f>
        <v>97.55 &lt; P &lt;= 112.75</v>
      </c>
      <c r="Z67" s="212">
        <f t="shared" si="51"/>
        <v>2.2000000000000002</v>
      </c>
      <c r="AA67" s="38">
        <f>COUNTIFS($F$7:$F$17,"&gt;" &amp;W67,$F$7:$F$17,"&lt;=" &amp;X67)</f>
        <v>2</v>
      </c>
      <c r="AB67" s="123">
        <f t="shared" si="52"/>
        <v>0.20000000000000018</v>
      </c>
      <c r="AC67" s="221">
        <f t="shared" si="53"/>
        <v>1.8181818181818212E-2</v>
      </c>
    </row>
    <row r="68" spans="13:29" x14ac:dyDescent="0.3">
      <c r="V68" s="220">
        <v>5</v>
      </c>
      <c r="W68" s="210"/>
      <c r="X68" s="123">
        <f t="shared" si="54"/>
        <v>97.554081254518792</v>
      </c>
      <c r="Y68" s="210" t="str">
        <f>"P &lt;= "&amp;ROUND(X68,2)</f>
        <v>P &lt;= 97.55</v>
      </c>
      <c r="Z68" s="212">
        <f t="shared" si="51"/>
        <v>2.2000000000000002</v>
      </c>
      <c r="AA68" s="38">
        <f>COUNTIFS($F$7:$F$17,"&lt;=" &amp;X68)</f>
        <v>2</v>
      </c>
      <c r="AB68" s="123">
        <f t="shared" si="52"/>
        <v>0.20000000000000018</v>
      </c>
      <c r="AC68" s="221">
        <f t="shared" si="53"/>
        <v>1.8181818181818212E-2</v>
      </c>
    </row>
    <row r="69" spans="13:29" x14ac:dyDescent="0.3">
      <c r="V69" s="220"/>
      <c r="W69" s="210"/>
      <c r="X69" s="210"/>
      <c r="Y69" s="210"/>
      <c r="Z69" s="210"/>
      <c r="AA69" s="210"/>
      <c r="AB69" s="210"/>
      <c r="AC69" s="222"/>
    </row>
    <row r="70" spans="13:29" ht="15" thickBot="1" x14ac:dyDescent="0.35">
      <c r="M70" s="82"/>
      <c r="V70" s="223"/>
      <c r="W70" s="224"/>
      <c r="X70" s="224"/>
      <c r="Y70" s="224"/>
      <c r="Z70" s="224"/>
      <c r="AA70" s="224"/>
      <c r="AB70" s="224"/>
      <c r="AC70" s="225"/>
    </row>
    <row r="71" spans="13:29" ht="17.399999999999999" thickTop="1" thickBot="1" x14ac:dyDescent="0.35">
      <c r="V71" s="853" t="s">
        <v>122</v>
      </c>
      <c r="W71" s="854"/>
      <c r="X71" s="226"/>
      <c r="Y71" s="226"/>
      <c r="Z71" s="269">
        <f>SUM(Z64:Z70)</f>
        <v>11</v>
      </c>
      <c r="AA71" s="269">
        <f>SUM(AA64:AA70)</f>
        <v>11</v>
      </c>
      <c r="AB71" s="227" t="s">
        <v>123</v>
      </c>
      <c r="AC71" s="1012">
        <f>SUM(AC64:AC70)</f>
        <v>0.36363636363636348</v>
      </c>
    </row>
    <row r="74" spans="13:29" x14ac:dyDescent="0.3">
      <c r="M74" s="82"/>
    </row>
    <row r="78" spans="13:29" x14ac:dyDescent="0.3">
      <c r="M78" s="82"/>
    </row>
    <row r="82" spans="13:13" x14ac:dyDescent="0.3">
      <c r="M82" s="82"/>
    </row>
  </sheetData>
  <mergeCells count="29">
    <mergeCell ref="V32:W32"/>
    <mergeCell ref="V42:W42"/>
    <mergeCell ref="L26:S26"/>
    <mergeCell ref="L27:S27"/>
    <mergeCell ref="V26:AC26"/>
    <mergeCell ref="V27:AC27"/>
    <mergeCell ref="V29:W29"/>
    <mergeCell ref="Z29:AA29"/>
    <mergeCell ref="C22:E22"/>
    <mergeCell ref="M22:Q22"/>
    <mergeCell ref="V22:AA22"/>
    <mergeCell ref="V30:W30"/>
    <mergeCell ref="V31:W31"/>
    <mergeCell ref="V71:W71"/>
    <mergeCell ref="C4:H4"/>
    <mergeCell ref="C5:H5"/>
    <mergeCell ref="L4:R4"/>
    <mergeCell ref="V4:AB4"/>
    <mergeCell ref="L5:R5"/>
    <mergeCell ref="V5:AB5"/>
    <mergeCell ref="C25:E25"/>
    <mergeCell ref="C20:E20"/>
    <mergeCell ref="M20:Q20"/>
    <mergeCell ref="V20:AA20"/>
    <mergeCell ref="C21:E21"/>
    <mergeCell ref="M21:Q21"/>
    <mergeCell ref="V21:AA21"/>
    <mergeCell ref="C23:E23"/>
    <mergeCell ref="C24:E24"/>
  </mergeCells>
  <pageMargins left="0.7" right="0.7" top="0.75" bottom="0.75" header="0.3" footer="0.3"/>
  <pageSetup orientation="portrait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U99"/>
  <sheetViews>
    <sheetView showGridLines="0" zoomScale="70" zoomScaleNormal="70" workbookViewId="0">
      <selection activeCell="O54" sqref="O54"/>
    </sheetView>
  </sheetViews>
  <sheetFormatPr defaultColWidth="9.109375" defaultRowHeight="14.4" x14ac:dyDescent="0.3"/>
  <cols>
    <col min="1" max="1" width="9.109375" style="9"/>
    <col min="2" max="3" width="0.88671875" style="9" customWidth="1"/>
    <col min="4" max="6" width="9.109375" style="9"/>
    <col min="7" max="8" width="0.88671875" style="9" customWidth="1"/>
    <col min="9" max="10" width="9.109375" style="9"/>
    <col min="11" max="12" width="0.88671875" style="9" customWidth="1"/>
    <col min="13" max="13" width="8.6640625" style="9" bestFit="1" customWidth="1"/>
    <col min="14" max="15" width="9.6640625" style="9" customWidth="1"/>
    <col min="16" max="16" width="0.88671875" style="9" customWidth="1"/>
    <col min="17" max="17" width="8.6640625" style="9" bestFit="1" customWidth="1"/>
    <col min="18" max="19" width="9.6640625" style="9" customWidth="1"/>
    <col min="20" max="21" width="0.88671875" style="9" customWidth="1"/>
    <col min="22" max="16384" width="9.109375" style="9"/>
  </cols>
  <sheetData>
    <row r="1" spans="2:21" ht="15" thickBot="1" x14ac:dyDescent="0.35">
      <c r="K1" s="845" t="s">
        <v>48</v>
      </c>
      <c r="L1" s="845"/>
      <c r="M1" s="845"/>
      <c r="N1" s="845"/>
      <c r="O1" s="845"/>
      <c r="P1" s="845"/>
      <c r="Q1" s="845"/>
      <c r="R1" s="845"/>
      <c r="S1" s="845"/>
      <c r="T1" s="845"/>
      <c r="U1" s="845"/>
    </row>
    <row r="2" spans="2:21" ht="5.25" customHeight="1" thickTop="1" thickBot="1" x14ac:dyDescent="0.35">
      <c r="B2" s="87"/>
      <c r="C2" s="87"/>
      <c r="D2" s="88"/>
      <c r="E2" s="89"/>
      <c r="F2" s="89"/>
      <c r="G2" s="87"/>
      <c r="H2" s="87"/>
      <c r="K2" s="87"/>
      <c r="L2" s="87"/>
      <c r="M2" s="88"/>
      <c r="N2" s="89"/>
      <c r="O2" s="89"/>
      <c r="P2" s="87"/>
    </row>
    <row r="3" spans="2:21" ht="15" thickTop="1" x14ac:dyDescent="0.3">
      <c r="B3" s="90"/>
      <c r="C3" s="91"/>
      <c r="D3" s="92"/>
      <c r="E3" s="93"/>
      <c r="F3" s="93"/>
      <c r="G3" s="91"/>
      <c r="H3" s="94"/>
      <c r="K3" s="95"/>
      <c r="L3" s="96"/>
      <c r="M3" s="97"/>
      <c r="N3" s="98"/>
      <c r="O3" s="98"/>
      <c r="P3" s="96"/>
      <c r="Q3" s="99"/>
      <c r="R3" s="99"/>
      <c r="S3" s="99"/>
      <c r="T3" s="99"/>
      <c r="U3" s="100"/>
    </row>
    <row r="4" spans="2:21" ht="4.5" customHeight="1" x14ac:dyDescent="0.3">
      <c r="B4" s="101"/>
      <c r="C4" s="87"/>
      <c r="D4" s="102"/>
      <c r="E4" s="102"/>
      <c r="F4" s="102"/>
      <c r="G4" s="87"/>
      <c r="H4" s="103"/>
      <c r="K4" s="104"/>
      <c r="L4" s="87"/>
      <c r="M4" s="105"/>
      <c r="N4" s="105"/>
      <c r="O4" s="105"/>
      <c r="P4" s="87"/>
      <c r="Q4" s="105"/>
      <c r="R4" s="105"/>
      <c r="S4" s="105"/>
      <c r="U4" s="106"/>
    </row>
    <row r="5" spans="2:21" x14ac:dyDescent="0.3">
      <c r="B5" s="101"/>
      <c r="C5" s="87"/>
      <c r="D5" s="107" t="s">
        <v>49</v>
      </c>
      <c r="E5" s="107" t="s">
        <v>50</v>
      </c>
      <c r="F5" s="107" t="s">
        <v>51</v>
      </c>
      <c r="G5" s="87"/>
      <c r="H5" s="103"/>
      <c r="K5" s="104"/>
      <c r="L5" s="87"/>
      <c r="M5" s="108" t="s">
        <v>49</v>
      </c>
      <c r="N5" s="108" t="s">
        <v>50</v>
      </c>
      <c r="O5" s="108" t="s">
        <v>51</v>
      </c>
      <c r="P5" s="87"/>
      <c r="Q5" s="108" t="s">
        <v>49</v>
      </c>
      <c r="R5" s="108" t="s">
        <v>50</v>
      </c>
      <c r="S5" s="108" t="s">
        <v>51</v>
      </c>
      <c r="U5" s="106"/>
    </row>
    <row r="6" spans="2:21" ht="4.5" customHeight="1" x14ac:dyDescent="0.3">
      <c r="B6" s="101"/>
      <c r="C6" s="87"/>
      <c r="D6" s="102"/>
      <c r="E6" s="102"/>
      <c r="F6" s="102"/>
      <c r="G6" s="87"/>
      <c r="H6" s="103"/>
      <c r="K6" s="104"/>
      <c r="L6" s="87"/>
      <c r="M6" s="105"/>
      <c r="N6" s="105"/>
      <c r="O6" s="105"/>
      <c r="P6" s="87"/>
      <c r="Q6" s="105"/>
      <c r="R6" s="105"/>
      <c r="S6" s="105"/>
      <c r="U6" s="106"/>
    </row>
    <row r="7" spans="2:21" x14ac:dyDescent="0.3">
      <c r="B7" s="101"/>
      <c r="C7" s="87"/>
      <c r="D7" s="109">
        <v>10</v>
      </c>
      <c r="E7" s="110">
        <v>0.49519999999999997</v>
      </c>
      <c r="F7" s="110">
        <v>0.9496</v>
      </c>
      <c r="G7" s="87"/>
      <c r="H7" s="103"/>
      <c r="K7" s="104"/>
      <c r="L7" s="87"/>
      <c r="M7" s="109">
        <v>10</v>
      </c>
      <c r="N7" s="110">
        <v>0.49519999999999997</v>
      </c>
      <c r="O7" s="110">
        <v>0.9496</v>
      </c>
      <c r="P7" s="87"/>
      <c r="Q7" s="109">
        <v>56</v>
      </c>
      <c r="R7" s="110">
        <v>0.55079999999999996</v>
      </c>
      <c r="S7" s="110">
        <v>1.1696</v>
      </c>
      <c r="U7" s="106"/>
    </row>
    <row r="8" spans="2:21" x14ac:dyDescent="0.3">
      <c r="B8" s="101"/>
      <c r="C8" s="87"/>
      <c r="D8" s="109">
        <v>11</v>
      </c>
      <c r="E8" s="110">
        <v>0.49959999999999999</v>
      </c>
      <c r="F8" s="110">
        <v>0.96760000000000002</v>
      </c>
      <c r="G8" s="87"/>
      <c r="H8" s="103"/>
      <c r="K8" s="104"/>
      <c r="L8" s="87"/>
      <c r="M8" s="109">
        <v>11</v>
      </c>
      <c r="N8" s="110">
        <v>0.49959999999999999</v>
      </c>
      <c r="O8" s="110">
        <v>0.96760000000000002</v>
      </c>
      <c r="P8" s="87"/>
      <c r="Q8" s="109">
        <v>57</v>
      </c>
      <c r="R8" s="110">
        <v>0.55110000000000003</v>
      </c>
      <c r="S8" s="110">
        <v>1.1708000000000001</v>
      </c>
      <c r="U8" s="106"/>
    </row>
    <row r="9" spans="2:21" x14ac:dyDescent="0.3">
      <c r="B9" s="101"/>
      <c r="C9" s="87"/>
      <c r="D9" s="109">
        <v>12</v>
      </c>
      <c r="E9" s="110">
        <v>0.50349999999999995</v>
      </c>
      <c r="F9" s="110">
        <v>0.98329999999999995</v>
      </c>
      <c r="G9" s="87"/>
      <c r="H9" s="103"/>
      <c r="K9" s="104"/>
      <c r="L9" s="87"/>
      <c r="M9" s="109">
        <v>12</v>
      </c>
      <c r="N9" s="110">
        <v>0.50349999999999995</v>
      </c>
      <c r="O9" s="110">
        <v>0.98329999999999995</v>
      </c>
      <c r="P9" s="87"/>
      <c r="Q9" s="109">
        <v>58</v>
      </c>
      <c r="R9" s="110">
        <v>0.55149999999999999</v>
      </c>
      <c r="S9" s="110">
        <v>1.1720999999999999</v>
      </c>
      <c r="U9" s="106"/>
    </row>
    <row r="10" spans="2:21" x14ac:dyDescent="0.3">
      <c r="B10" s="101"/>
      <c r="C10" s="87"/>
      <c r="D10" s="109">
        <v>13</v>
      </c>
      <c r="E10" s="110">
        <v>0.50700000000000001</v>
      </c>
      <c r="F10" s="110">
        <v>0.99709999999999999</v>
      </c>
      <c r="G10" s="87"/>
      <c r="H10" s="103"/>
      <c r="K10" s="104"/>
      <c r="L10" s="87"/>
      <c r="M10" s="109">
        <v>13</v>
      </c>
      <c r="N10" s="110">
        <v>0.50700000000000001</v>
      </c>
      <c r="O10" s="110">
        <v>0.99709999999999999</v>
      </c>
      <c r="P10" s="87"/>
      <c r="Q10" s="109">
        <v>59</v>
      </c>
      <c r="R10" s="110">
        <v>0.55189999999999995</v>
      </c>
      <c r="S10" s="110">
        <v>1.1734</v>
      </c>
      <c r="U10" s="106"/>
    </row>
    <row r="11" spans="2:21" x14ac:dyDescent="0.3">
      <c r="B11" s="101"/>
      <c r="C11" s="87"/>
      <c r="D11" s="109">
        <v>14</v>
      </c>
      <c r="E11" s="110">
        <v>0.51</v>
      </c>
      <c r="F11" s="110">
        <v>1.0095000000000001</v>
      </c>
      <c r="G11" s="87"/>
      <c r="H11" s="103"/>
      <c r="K11" s="104"/>
      <c r="L11" s="87"/>
      <c r="M11" s="109">
        <v>14</v>
      </c>
      <c r="N11" s="110">
        <v>0.51</v>
      </c>
      <c r="O11" s="110">
        <v>1.0095000000000001</v>
      </c>
      <c r="P11" s="87"/>
      <c r="Q11" s="109">
        <v>60</v>
      </c>
      <c r="R11" s="110">
        <v>0.55210000000000004</v>
      </c>
      <c r="S11" s="110">
        <v>1.1747000000000001</v>
      </c>
      <c r="U11" s="106"/>
    </row>
    <row r="12" spans="2:21" x14ac:dyDescent="0.3">
      <c r="B12" s="101"/>
      <c r="C12" s="87"/>
      <c r="D12" s="109">
        <v>15</v>
      </c>
      <c r="E12" s="110">
        <v>0.51280000000000003</v>
      </c>
      <c r="F12" s="110">
        <v>1.0206</v>
      </c>
      <c r="G12" s="87"/>
      <c r="H12" s="103"/>
      <c r="K12" s="104"/>
      <c r="L12" s="87"/>
      <c r="M12" s="109">
        <v>15</v>
      </c>
      <c r="N12" s="110">
        <v>0.51280000000000003</v>
      </c>
      <c r="O12" s="110">
        <v>1.0206</v>
      </c>
      <c r="P12" s="87"/>
      <c r="Q12" s="109">
        <v>61</v>
      </c>
      <c r="R12" s="110">
        <v>0.5524</v>
      </c>
      <c r="S12" s="110">
        <v>1.1758999999999999</v>
      </c>
      <c r="U12" s="106"/>
    </row>
    <row r="13" spans="2:21" x14ac:dyDescent="0.3">
      <c r="B13" s="101"/>
      <c r="C13" s="87"/>
      <c r="D13" s="109">
        <v>16</v>
      </c>
      <c r="E13" s="110">
        <v>0.51570000000000005</v>
      </c>
      <c r="F13" s="110">
        <v>1.0316000000000001</v>
      </c>
      <c r="G13" s="87"/>
      <c r="H13" s="103"/>
      <c r="K13" s="104"/>
      <c r="L13" s="87"/>
      <c r="M13" s="109">
        <v>16</v>
      </c>
      <c r="N13" s="110">
        <v>0.51570000000000005</v>
      </c>
      <c r="O13" s="110">
        <v>1.0316000000000001</v>
      </c>
      <c r="P13" s="87"/>
      <c r="Q13" s="109">
        <v>62</v>
      </c>
      <c r="R13" s="110">
        <v>0.55269999999999997</v>
      </c>
      <c r="S13" s="110">
        <v>1.177</v>
      </c>
      <c r="U13" s="106"/>
    </row>
    <row r="14" spans="2:21" x14ac:dyDescent="0.3">
      <c r="B14" s="101"/>
      <c r="C14" s="87"/>
      <c r="D14" s="109">
        <v>17</v>
      </c>
      <c r="E14" s="110">
        <v>0.5181</v>
      </c>
      <c r="F14" s="110">
        <v>1.0410999999999999</v>
      </c>
      <c r="G14" s="87"/>
      <c r="H14" s="103"/>
      <c r="K14" s="104"/>
      <c r="L14" s="87"/>
      <c r="M14" s="109">
        <v>17</v>
      </c>
      <c r="N14" s="110">
        <v>0.5181</v>
      </c>
      <c r="O14" s="110">
        <v>1.0410999999999999</v>
      </c>
      <c r="P14" s="87"/>
      <c r="Q14" s="109">
        <v>63</v>
      </c>
      <c r="R14" s="110">
        <v>0.55300000000000005</v>
      </c>
      <c r="S14" s="110">
        <v>1.1781999999999999</v>
      </c>
      <c r="U14" s="106"/>
    </row>
    <row r="15" spans="2:21" x14ac:dyDescent="0.3">
      <c r="B15" s="101"/>
      <c r="C15" s="87"/>
      <c r="D15" s="109">
        <v>18</v>
      </c>
      <c r="E15" s="110">
        <v>0.5202</v>
      </c>
      <c r="F15" s="110">
        <v>1.0492999999999999</v>
      </c>
      <c r="G15" s="87"/>
      <c r="H15" s="103"/>
      <c r="K15" s="104"/>
      <c r="L15" s="87"/>
      <c r="M15" s="109">
        <v>18</v>
      </c>
      <c r="N15" s="110">
        <v>0.5202</v>
      </c>
      <c r="O15" s="110">
        <v>1.0492999999999999</v>
      </c>
      <c r="P15" s="87"/>
      <c r="Q15" s="109">
        <v>64</v>
      </c>
      <c r="R15" s="110">
        <v>0.55330000000000001</v>
      </c>
      <c r="S15" s="110">
        <v>1.1793</v>
      </c>
      <c r="U15" s="106"/>
    </row>
    <row r="16" spans="2:21" x14ac:dyDescent="0.3">
      <c r="B16" s="101"/>
      <c r="C16" s="87"/>
      <c r="D16" s="109">
        <v>19</v>
      </c>
      <c r="E16" s="110">
        <v>0.52200000000000002</v>
      </c>
      <c r="F16" s="110">
        <v>1.0565</v>
      </c>
      <c r="G16" s="87"/>
      <c r="H16" s="103"/>
      <c r="K16" s="104"/>
      <c r="L16" s="87"/>
      <c r="M16" s="109">
        <v>19</v>
      </c>
      <c r="N16" s="110">
        <v>0.52200000000000002</v>
      </c>
      <c r="O16" s="110">
        <v>1.0565</v>
      </c>
      <c r="P16" s="87"/>
      <c r="Q16" s="109">
        <v>65</v>
      </c>
      <c r="R16" s="110">
        <v>0.55349999999999999</v>
      </c>
      <c r="S16" s="110">
        <v>1.1802999999999999</v>
      </c>
      <c r="U16" s="106"/>
    </row>
    <row r="17" spans="2:21" x14ac:dyDescent="0.3">
      <c r="B17" s="101"/>
      <c r="C17" s="87"/>
      <c r="D17" s="109">
        <v>20</v>
      </c>
      <c r="E17" s="110">
        <v>0.52359999999999995</v>
      </c>
      <c r="F17" s="110">
        <v>1.0628</v>
      </c>
      <c r="G17" s="87"/>
      <c r="H17" s="103"/>
      <c r="K17" s="104"/>
      <c r="L17" s="87"/>
      <c r="M17" s="109">
        <v>20</v>
      </c>
      <c r="N17" s="110">
        <v>0.52359999999999995</v>
      </c>
      <c r="O17" s="110">
        <v>1.0628</v>
      </c>
      <c r="P17" s="87"/>
      <c r="Q17" s="109">
        <v>66</v>
      </c>
      <c r="R17" s="110">
        <v>0.55379999999999996</v>
      </c>
      <c r="S17" s="110">
        <v>1.1814</v>
      </c>
      <c r="U17" s="106"/>
    </row>
    <row r="18" spans="2:21" x14ac:dyDescent="0.3">
      <c r="B18" s="101"/>
      <c r="C18" s="87"/>
      <c r="D18" s="109">
        <v>21</v>
      </c>
      <c r="E18" s="110">
        <v>0.5252</v>
      </c>
      <c r="F18" s="110">
        <v>1.0696000000000001</v>
      </c>
      <c r="G18" s="87"/>
      <c r="H18" s="103"/>
      <c r="K18" s="104"/>
      <c r="L18" s="87"/>
      <c r="M18" s="109">
        <v>21</v>
      </c>
      <c r="N18" s="110">
        <v>0.5252</v>
      </c>
      <c r="O18" s="110">
        <v>1.0696000000000001</v>
      </c>
      <c r="P18" s="87"/>
      <c r="Q18" s="109">
        <v>67</v>
      </c>
      <c r="R18" s="110">
        <v>0.55400000000000005</v>
      </c>
      <c r="S18" s="110">
        <v>1.1823999999999999</v>
      </c>
      <c r="U18" s="106"/>
    </row>
    <row r="19" spans="2:21" x14ac:dyDescent="0.3">
      <c r="B19" s="101"/>
      <c r="C19" s="87"/>
      <c r="D19" s="109">
        <v>22</v>
      </c>
      <c r="E19" s="110">
        <v>0.52680000000000005</v>
      </c>
      <c r="F19" s="110">
        <v>1.0753999999999999</v>
      </c>
      <c r="G19" s="87"/>
      <c r="H19" s="103"/>
      <c r="K19" s="104"/>
      <c r="L19" s="87"/>
      <c r="M19" s="109">
        <v>22</v>
      </c>
      <c r="N19" s="110">
        <v>0.52680000000000005</v>
      </c>
      <c r="O19" s="110">
        <v>1.0753999999999999</v>
      </c>
      <c r="P19" s="87"/>
      <c r="Q19" s="109">
        <v>68</v>
      </c>
      <c r="R19" s="110">
        <v>0.55430000000000001</v>
      </c>
      <c r="S19" s="110">
        <v>1.1834</v>
      </c>
      <c r="U19" s="106"/>
    </row>
    <row r="20" spans="2:21" x14ac:dyDescent="0.3">
      <c r="B20" s="101"/>
      <c r="C20" s="87"/>
      <c r="D20" s="109">
        <v>23</v>
      </c>
      <c r="E20" s="110">
        <v>0.52829999999999999</v>
      </c>
      <c r="F20" s="110">
        <v>1.0810999999999999</v>
      </c>
      <c r="G20" s="87"/>
      <c r="H20" s="103"/>
      <c r="K20" s="104"/>
      <c r="L20" s="87"/>
      <c r="M20" s="109">
        <v>23</v>
      </c>
      <c r="N20" s="110">
        <v>0.52829999999999999</v>
      </c>
      <c r="O20" s="110">
        <v>1.0810999999999999</v>
      </c>
      <c r="P20" s="87"/>
      <c r="Q20" s="109">
        <v>69</v>
      </c>
      <c r="R20" s="110">
        <v>0.55449999999999999</v>
      </c>
      <c r="S20" s="110">
        <v>1.1843999999999999</v>
      </c>
      <c r="U20" s="106"/>
    </row>
    <row r="21" spans="2:21" x14ac:dyDescent="0.3">
      <c r="B21" s="101"/>
      <c r="C21" s="87"/>
      <c r="D21" s="109">
        <v>24</v>
      </c>
      <c r="E21" s="110">
        <v>0.52959999999999996</v>
      </c>
      <c r="F21" s="110">
        <v>1.0864</v>
      </c>
      <c r="G21" s="87"/>
      <c r="H21" s="103"/>
      <c r="K21" s="104"/>
      <c r="L21" s="87"/>
      <c r="M21" s="109">
        <v>24</v>
      </c>
      <c r="N21" s="110">
        <v>0.52959999999999996</v>
      </c>
      <c r="O21" s="110">
        <v>1.0864</v>
      </c>
      <c r="P21" s="87"/>
      <c r="Q21" s="109">
        <v>70</v>
      </c>
      <c r="R21" s="110">
        <v>0.55479999999999996</v>
      </c>
      <c r="S21" s="110">
        <v>1.1854</v>
      </c>
      <c r="U21" s="106"/>
    </row>
    <row r="22" spans="2:21" x14ac:dyDescent="0.3">
      <c r="B22" s="101"/>
      <c r="C22" s="87"/>
      <c r="D22" s="109">
        <v>25</v>
      </c>
      <c r="E22" s="110">
        <v>0.53090000000000004</v>
      </c>
      <c r="F22" s="110">
        <v>1.0914999999999999</v>
      </c>
      <c r="G22" s="87"/>
      <c r="H22" s="103"/>
      <c r="K22" s="104"/>
      <c r="L22" s="87"/>
      <c r="M22" s="109">
        <v>25</v>
      </c>
      <c r="N22" s="110">
        <v>0.53090000000000004</v>
      </c>
      <c r="O22" s="110">
        <v>1.0914999999999999</v>
      </c>
      <c r="P22" s="87"/>
      <c r="Q22" s="109">
        <v>71</v>
      </c>
      <c r="R22" s="110">
        <v>0.55500000000000005</v>
      </c>
      <c r="S22" s="110">
        <v>1.1854</v>
      </c>
      <c r="U22" s="106"/>
    </row>
    <row r="23" spans="2:21" x14ac:dyDescent="0.3">
      <c r="B23" s="101"/>
      <c r="C23" s="87"/>
      <c r="D23" s="109">
        <v>26</v>
      </c>
      <c r="E23" s="110">
        <v>0.53200000000000003</v>
      </c>
      <c r="F23" s="110">
        <v>1.0861000000000001</v>
      </c>
      <c r="G23" s="87"/>
      <c r="H23" s="103"/>
      <c r="K23" s="104"/>
      <c r="L23" s="87"/>
      <c r="M23" s="109">
        <v>26</v>
      </c>
      <c r="N23" s="110">
        <v>0.53200000000000003</v>
      </c>
      <c r="O23" s="110">
        <v>1.0861000000000001</v>
      </c>
      <c r="P23" s="87"/>
      <c r="Q23" s="109">
        <v>72</v>
      </c>
      <c r="R23" s="110">
        <v>0.55520000000000003</v>
      </c>
      <c r="S23" s="110">
        <v>1.1873</v>
      </c>
      <c r="U23" s="106"/>
    </row>
    <row r="24" spans="2:21" x14ac:dyDescent="0.3">
      <c r="B24" s="101"/>
      <c r="C24" s="87"/>
      <c r="D24" s="109">
        <v>27</v>
      </c>
      <c r="E24" s="110">
        <v>0.53320000000000001</v>
      </c>
      <c r="F24" s="110">
        <v>1.1004</v>
      </c>
      <c r="G24" s="87"/>
      <c r="H24" s="103"/>
      <c r="K24" s="104"/>
      <c r="L24" s="87"/>
      <c r="M24" s="109">
        <v>27</v>
      </c>
      <c r="N24" s="110">
        <v>0.53320000000000001</v>
      </c>
      <c r="O24" s="110">
        <v>1.1004</v>
      </c>
      <c r="P24" s="87"/>
      <c r="Q24" s="109">
        <v>73</v>
      </c>
      <c r="R24" s="110">
        <v>0.55549999999999999</v>
      </c>
      <c r="S24" s="110">
        <v>1.1880999999999999</v>
      </c>
      <c r="U24" s="106"/>
    </row>
    <row r="25" spans="2:21" x14ac:dyDescent="0.3">
      <c r="B25" s="101"/>
      <c r="C25" s="87"/>
      <c r="D25" s="109">
        <v>28</v>
      </c>
      <c r="E25" s="110">
        <v>0.5343</v>
      </c>
      <c r="F25" s="110">
        <v>1.1047</v>
      </c>
      <c r="G25" s="87"/>
      <c r="H25" s="103"/>
      <c r="K25" s="104"/>
      <c r="L25" s="87"/>
      <c r="M25" s="109">
        <v>28</v>
      </c>
      <c r="N25" s="110">
        <v>0.5343</v>
      </c>
      <c r="O25" s="110">
        <v>1.1047</v>
      </c>
      <c r="P25" s="87"/>
      <c r="Q25" s="109">
        <v>74</v>
      </c>
      <c r="R25" s="110">
        <v>0.55569999999999997</v>
      </c>
      <c r="S25" s="110">
        <v>1.1890000000000001</v>
      </c>
      <c r="U25" s="106"/>
    </row>
    <row r="26" spans="2:21" x14ac:dyDescent="0.3">
      <c r="B26" s="101"/>
      <c r="C26" s="87"/>
      <c r="D26" s="109">
        <v>29</v>
      </c>
      <c r="E26" s="110">
        <v>0.5353</v>
      </c>
      <c r="F26" s="110">
        <v>1.1086</v>
      </c>
      <c r="G26" s="87"/>
      <c r="H26" s="103"/>
      <c r="K26" s="104"/>
      <c r="L26" s="87"/>
      <c r="M26" s="109">
        <v>29</v>
      </c>
      <c r="N26" s="110">
        <v>0.5353</v>
      </c>
      <c r="O26" s="110">
        <v>1.1086</v>
      </c>
      <c r="P26" s="87"/>
      <c r="Q26" s="109">
        <v>75</v>
      </c>
      <c r="R26" s="110">
        <v>0.55589999999999995</v>
      </c>
      <c r="S26" s="110">
        <v>1.1898</v>
      </c>
      <c r="U26" s="106"/>
    </row>
    <row r="27" spans="2:21" x14ac:dyDescent="0.3">
      <c r="B27" s="101"/>
      <c r="C27" s="87"/>
      <c r="D27" s="109">
        <v>30</v>
      </c>
      <c r="E27" s="110">
        <v>0.53620000000000001</v>
      </c>
      <c r="F27" s="110">
        <v>1.1124000000000001</v>
      </c>
      <c r="G27" s="87"/>
      <c r="H27" s="103"/>
      <c r="K27" s="104"/>
      <c r="L27" s="87"/>
      <c r="M27" s="109">
        <v>30</v>
      </c>
      <c r="N27" s="110">
        <v>0.53620000000000001</v>
      </c>
      <c r="O27" s="110">
        <v>1.1124000000000001</v>
      </c>
      <c r="P27" s="87"/>
      <c r="Q27" s="109">
        <v>76</v>
      </c>
      <c r="R27" s="110">
        <v>0.55610000000000004</v>
      </c>
      <c r="S27" s="110">
        <v>1.1906000000000001</v>
      </c>
      <c r="U27" s="106"/>
    </row>
    <row r="28" spans="2:21" x14ac:dyDescent="0.3">
      <c r="B28" s="101"/>
      <c r="C28" s="87"/>
      <c r="D28" s="109">
        <v>31</v>
      </c>
      <c r="E28" s="110">
        <v>0.53710000000000002</v>
      </c>
      <c r="F28" s="110">
        <v>1.1158999999999999</v>
      </c>
      <c r="G28" s="87"/>
      <c r="H28" s="103"/>
      <c r="K28" s="104"/>
      <c r="L28" s="87"/>
      <c r="M28" s="109">
        <v>31</v>
      </c>
      <c r="N28" s="110">
        <v>0.53710000000000002</v>
      </c>
      <c r="O28" s="110">
        <v>1.1158999999999999</v>
      </c>
      <c r="P28" s="87"/>
      <c r="Q28" s="109">
        <v>77</v>
      </c>
      <c r="R28" s="110">
        <v>0.55630000000000002</v>
      </c>
      <c r="S28" s="110">
        <v>1.1915</v>
      </c>
      <c r="U28" s="106"/>
    </row>
    <row r="29" spans="2:21" x14ac:dyDescent="0.3">
      <c r="B29" s="101"/>
      <c r="C29" s="87"/>
      <c r="D29" s="109">
        <v>32</v>
      </c>
      <c r="E29" s="110">
        <v>0.53800000000000003</v>
      </c>
      <c r="F29" s="110">
        <v>1.1193</v>
      </c>
      <c r="G29" s="87"/>
      <c r="H29" s="103"/>
      <c r="K29" s="104"/>
      <c r="L29" s="87"/>
      <c r="M29" s="109">
        <v>32</v>
      </c>
      <c r="N29" s="110">
        <v>0.53800000000000003</v>
      </c>
      <c r="O29" s="110">
        <v>1.1193</v>
      </c>
      <c r="P29" s="87"/>
      <c r="Q29" s="109">
        <v>78</v>
      </c>
      <c r="R29" s="110">
        <v>0.55649999999999999</v>
      </c>
      <c r="S29" s="110">
        <v>1.1922999999999999</v>
      </c>
      <c r="U29" s="106"/>
    </row>
    <row r="30" spans="2:21" x14ac:dyDescent="0.3">
      <c r="B30" s="101"/>
      <c r="C30" s="87"/>
      <c r="D30" s="109">
        <v>33</v>
      </c>
      <c r="E30" s="110">
        <v>0.53879999999999995</v>
      </c>
      <c r="F30" s="110">
        <v>1.1226</v>
      </c>
      <c r="G30" s="87"/>
      <c r="H30" s="103"/>
      <c r="K30" s="104"/>
      <c r="L30" s="87"/>
      <c r="M30" s="109">
        <v>33</v>
      </c>
      <c r="N30" s="110">
        <v>0.53879999999999995</v>
      </c>
      <c r="O30" s="110">
        <v>1.1226</v>
      </c>
      <c r="P30" s="87"/>
      <c r="Q30" s="109">
        <v>79</v>
      </c>
      <c r="R30" s="110">
        <v>0.55669999999999997</v>
      </c>
      <c r="S30" s="110">
        <v>1.1930000000000001</v>
      </c>
      <c r="U30" s="106"/>
    </row>
    <row r="31" spans="2:21" x14ac:dyDescent="0.3">
      <c r="B31" s="101"/>
      <c r="C31" s="87"/>
      <c r="D31" s="109">
        <v>34</v>
      </c>
      <c r="E31" s="110">
        <v>0.53959999999999997</v>
      </c>
      <c r="F31" s="110">
        <v>1.1254999999999999</v>
      </c>
      <c r="G31" s="87"/>
      <c r="H31" s="103"/>
      <c r="K31" s="104"/>
      <c r="L31" s="87"/>
      <c r="M31" s="109">
        <v>34</v>
      </c>
      <c r="N31" s="110">
        <v>0.53959999999999997</v>
      </c>
      <c r="O31" s="110">
        <v>1.1254999999999999</v>
      </c>
      <c r="P31" s="87"/>
      <c r="Q31" s="109">
        <v>80</v>
      </c>
      <c r="R31" s="110">
        <v>0.55689999999999995</v>
      </c>
      <c r="S31" s="110">
        <v>1.1938</v>
      </c>
      <c r="U31" s="106"/>
    </row>
    <row r="32" spans="2:21" x14ac:dyDescent="0.3">
      <c r="B32" s="101"/>
      <c r="C32" s="87"/>
      <c r="D32" s="109">
        <v>35</v>
      </c>
      <c r="E32" s="110">
        <v>0.54020000000000001</v>
      </c>
      <c r="F32" s="110">
        <v>1.1287</v>
      </c>
      <c r="G32" s="87"/>
      <c r="H32" s="103"/>
      <c r="K32" s="104"/>
      <c r="L32" s="87"/>
      <c r="M32" s="109">
        <v>35</v>
      </c>
      <c r="N32" s="110">
        <v>0.54020000000000001</v>
      </c>
      <c r="O32" s="110">
        <v>1.1287</v>
      </c>
      <c r="P32" s="87"/>
      <c r="Q32" s="109">
        <v>81</v>
      </c>
      <c r="R32" s="110">
        <v>0.55700000000000005</v>
      </c>
      <c r="S32" s="110">
        <v>1.1944999999999999</v>
      </c>
      <c r="U32" s="106"/>
    </row>
    <row r="33" spans="2:21" x14ac:dyDescent="0.3">
      <c r="B33" s="101"/>
      <c r="C33" s="87"/>
      <c r="D33" s="109">
        <v>36</v>
      </c>
      <c r="E33" s="110">
        <v>0.54100000000000004</v>
      </c>
      <c r="F33" s="110">
        <v>1.1313</v>
      </c>
      <c r="G33" s="87"/>
      <c r="H33" s="103"/>
      <c r="K33" s="104"/>
      <c r="L33" s="87"/>
      <c r="M33" s="109">
        <v>36</v>
      </c>
      <c r="N33" s="110">
        <v>0.54100000000000004</v>
      </c>
      <c r="O33" s="110">
        <v>1.1313</v>
      </c>
      <c r="P33" s="87"/>
      <c r="Q33" s="109">
        <v>82</v>
      </c>
      <c r="R33" s="110">
        <v>0.55720000000000003</v>
      </c>
      <c r="S33" s="110">
        <v>1.1953</v>
      </c>
      <c r="U33" s="106"/>
    </row>
    <row r="34" spans="2:21" x14ac:dyDescent="0.3">
      <c r="B34" s="101"/>
      <c r="C34" s="87"/>
      <c r="D34" s="109">
        <v>37</v>
      </c>
      <c r="E34" s="110">
        <v>0.54179999999999995</v>
      </c>
      <c r="F34" s="110">
        <v>1.1338999999999999</v>
      </c>
      <c r="G34" s="87"/>
      <c r="H34" s="103"/>
      <c r="K34" s="104"/>
      <c r="L34" s="87"/>
      <c r="M34" s="109">
        <v>37</v>
      </c>
      <c r="N34" s="110">
        <v>0.54179999999999995</v>
      </c>
      <c r="O34" s="110">
        <v>1.1338999999999999</v>
      </c>
      <c r="P34" s="87"/>
      <c r="Q34" s="109">
        <v>83</v>
      </c>
      <c r="R34" s="110">
        <v>0.55740000000000001</v>
      </c>
      <c r="S34" s="110">
        <v>1.1959</v>
      </c>
      <c r="U34" s="106"/>
    </row>
    <row r="35" spans="2:21" x14ac:dyDescent="0.3">
      <c r="B35" s="101"/>
      <c r="C35" s="87"/>
      <c r="D35" s="109">
        <v>38</v>
      </c>
      <c r="E35" s="110">
        <v>0.54239999999999999</v>
      </c>
      <c r="F35" s="110">
        <v>1.1363000000000001</v>
      </c>
      <c r="G35" s="87"/>
      <c r="H35" s="103"/>
      <c r="K35" s="104"/>
      <c r="L35" s="87"/>
      <c r="M35" s="109">
        <v>38</v>
      </c>
      <c r="N35" s="110">
        <v>0.54239999999999999</v>
      </c>
      <c r="O35" s="110">
        <v>1.1363000000000001</v>
      </c>
      <c r="P35" s="87"/>
      <c r="Q35" s="109">
        <v>84</v>
      </c>
      <c r="R35" s="110">
        <v>0.55759999999999998</v>
      </c>
      <c r="S35" s="110">
        <v>1.1967000000000001</v>
      </c>
      <c r="U35" s="106"/>
    </row>
    <row r="36" spans="2:21" x14ac:dyDescent="0.3">
      <c r="B36" s="101"/>
      <c r="C36" s="87"/>
      <c r="D36" s="109">
        <v>39</v>
      </c>
      <c r="E36" s="110">
        <v>0.54300000000000004</v>
      </c>
      <c r="F36" s="110">
        <v>1.1388</v>
      </c>
      <c r="G36" s="87"/>
      <c r="H36" s="103"/>
      <c r="K36" s="104"/>
      <c r="L36" s="87"/>
      <c r="M36" s="109">
        <v>39</v>
      </c>
      <c r="N36" s="110">
        <v>0.54300000000000004</v>
      </c>
      <c r="O36" s="110">
        <v>1.1388</v>
      </c>
      <c r="P36" s="87"/>
      <c r="Q36" s="109">
        <v>85</v>
      </c>
      <c r="R36" s="110">
        <v>0.55779999999999996</v>
      </c>
      <c r="S36" s="110">
        <v>1.1973</v>
      </c>
      <c r="U36" s="106"/>
    </row>
    <row r="37" spans="2:21" x14ac:dyDescent="0.3">
      <c r="B37" s="101"/>
      <c r="C37" s="87"/>
      <c r="D37" s="109">
        <v>40</v>
      </c>
      <c r="E37" s="110">
        <v>0.54359999999999997</v>
      </c>
      <c r="F37" s="110">
        <v>1.1413</v>
      </c>
      <c r="G37" s="87"/>
      <c r="H37" s="103"/>
      <c r="K37" s="104"/>
      <c r="L37" s="87"/>
      <c r="M37" s="109">
        <v>40</v>
      </c>
      <c r="N37" s="110">
        <v>0.54359999999999997</v>
      </c>
      <c r="O37" s="110">
        <v>1.1413</v>
      </c>
      <c r="P37" s="87"/>
      <c r="Q37" s="109">
        <v>86</v>
      </c>
      <c r="R37" s="110">
        <v>0.55800000000000005</v>
      </c>
      <c r="S37" s="110">
        <v>1.1987000000000001</v>
      </c>
      <c r="U37" s="106"/>
    </row>
    <row r="38" spans="2:21" x14ac:dyDescent="0.3">
      <c r="B38" s="101"/>
      <c r="C38" s="87"/>
      <c r="D38" s="109">
        <v>41</v>
      </c>
      <c r="E38" s="110">
        <v>0.54420000000000002</v>
      </c>
      <c r="F38" s="110">
        <v>1.1435999999999999</v>
      </c>
      <c r="G38" s="87"/>
      <c r="H38" s="103"/>
      <c r="K38" s="104"/>
      <c r="L38" s="87"/>
      <c r="M38" s="109">
        <v>41</v>
      </c>
      <c r="N38" s="110">
        <v>0.54420000000000002</v>
      </c>
      <c r="O38" s="110">
        <v>1.1435999999999999</v>
      </c>
      <c r="P38" s="87"/>
      <c r="Q38" s="109">
        <v>87</v>
      </c>
      <c r="R38" s="110">
        <v>0.55810000000000004</v>
      </c>
      <c r="S38" s="110">
        <v>1.1987000000000001</v>
      </c>
      <c r="U38" s="106"/>
    </row>
    <row r="39" spans="2:21" x14ac:dyDescent="0.3">
      <c r="B39" s="101"/>
      <c r="C39" s="87"/>
      <c r="D39" s="109">
        <v>42</v>
      </c>
      <c r="E39" s="110">
        <v>0.54479999999999995</v>
      </c>
      <c r="F39" s="110">
        <v>1.1457999999999999</v>
      </c>
      <c r="G39" s="87"/>
      <c r="H39" s="103"/>
      <c r="K39" s="104"/>
      <c r="L39" s="87"/>
      <c r="M39" s="109">
        <v>42</v>
      </c>
      <c r="N39" s="110">
        <v>0.54479999999999995</v>
      </c>
      <c r="O39" s="110">
        <v>1.1457999999999999</v>
      </c>
      <c r="P39" s="87"/>
      <c r="Q39" s="109">
        <v>88</v>
      </c>
      <c r="R39" s="110">
        <v>0.55830000000000002</v>
      </c>
      <c r="S39" s="110">
        <v>1.1994</v>
      </c>
      <c r="U39" s="106"/>
    </row>
    <row r="40" spans="2:21" x14ac:dyDescent="0.3">
      <c r="B40" s="111"/>
      <c r="D40" s="109">
        <v>43</v>
      </c>
      <c r="E40" s="110">
        <v>0.54530000000000001</v>
      </c>
      <c r="F40" s="110">
        <v>1.1479999999999999</v>
      </c>
      <c r="H40" s="112"/>
      <c r="K40" s="113"/>
      <c r="M40" s="109">
        <v>43</v>
      </c>
      <c r="N40" s="110">
        <v>0.54530000000000001</v>
      </c>
      <c r="O40" s="110">
        <v>1.1479999999999999</v>
      </c>
      <c r="Q40" s="109">
        <v>89</v>
      </c>
      <c r="R40" s="110">
        <v>0.55830000000000002</v>
      </c>
      <c r="S40" s="110">
        <v>1.2000999999999999</v>
      </c>
      <c r="U40" s="106"/>
    </row>
    <row r="41" spans="2:21" x14ac:dyDescent="0.3">
      <c r="B41" s="111"/>
      <c r="D41" s="109">
        <v>44</v>
      </c>
      <c r="E41" s="110">
        <v>0.54579999999999995</v>
      </c>
      <c r="F41" s="110">
        <v>1.1498999999999999</v>
      </c>
      <c r="H41" s="112"/>
      <c r="K41" s="113"/>
      <c r="M41" s="109">
        <v>44</v>
      </c>
      <c r="N41" s="110">
        <v>0.54579999999999995</v>
      </c>
      <c r="O41" s="110">
        <v>1.1498999999999999</v>
      </c>
      <c r="Q41" s="109">
        <v>90</v>
      </c>
      <c r="R41" s="110">
        <v>0.55859999999999999</v>
      </c>
      <c r="S41" s="110">
        <v>1.2007000000000001</v>
      </c>
      <c r="U41" s="106"/>
    </row>
    <row r="42" spans="2:21" x14ac:dyDescent="0.3">
      <c r="B42" s="111"/>
      <c r="D42" s="109">
        <v>45</v>
      </c>
      <c r="E42" s="110">
        <v>0.54630000000000001</v>
      </c>
      <c r="F42" s="110">
        <v>1.1518999999999999</v>
      </c>
      <c r="H42" s="112"/>
      <c r="K42" s="113"/>
      <c r="M42" s="109">
        <v>45</v>
      </c>
      <c r="N42" s="110">
        <v>0.54630000000000001</v>
      </c>
      <c r="O42" s="110">
        <v>1.1518999999999999</v>
      </c>
      <c r="Q42" s="109">
        <v>91</v>
      </c>
      <c r="R42" s="110">
        <v>0.55869999999999997</v>
      </c>
      <c r="S42" s="110">
        <v>1.2013</v>
      </c>
      <c r="U42" s="106"/>
    </row>
    <row r="43" spans="2:21" x14ac:dyDescent="0.3">
      <c r="B43" s="111"/>
      <c r="D43" s="109">
        <v>46</v>
      </c>
      <c r="E43" s="110">
        <v>0.54679999999999995</v>
      </c>
      <c r="F43" s="110">
        <v>1.1537999999999999</v>
      </c>
      <c r="H43" s="112"/>
      <c r="K43" s="113"/>
      <c r="M43" s="109">
        <v>46</v>
      </c>
      <c r="N43" s="110">
        <v>0.54679999999999995</v>
      </c>
      <c r="O43" s="110">
        <v>1.1537999999999999</v>
      </c>
      <c r="Q43" s="109">
        <v>92</v>
      </c>
      <c r="R43" s="110">
        <v>0.55889999999999995</v>
      </c>
      <c r="S43" s="110">
        <v>1.202</v>
      </c>
      <c r="U43" s="106"/>
    </row>
    <row r="44" spans="2:21" x14ac:dyDescent="0.3">
      <c r="B44" s="111"/>
      <c r="D44" s="109">
        <v>47</v>
      </c>
      <c r="E44" s="110">
        <v>0.54730000000000001</v>
      </c>
      <c r="F44" s="110">
        <v>1.1556999999999999</v>
      </c>
      <c r="H44" s="112"/>
      <c r="K44" s="113"/>
      <c r="M44" s="109">
        <v>47</v>
      </c>
      <c r="N44" s="110">
        <v>0.54730000000000001</v>
      </c>
      <c r="O44" s="110">
        <v>1.1556999999999999</v>
      </c>
      <c r="Q44" s="109">
        <v>93</v>
      </c>
      <c r="R44" s="110">
        <v>0.55910000000000004</v>
      </c>
      <c r="S44" s="110">
        <v>1.2025999999999999</v>
      </c>
      <c r="U44" s="106"/>
    </row>
    <row r="45" spans="2:21" x14ac:dyDescent="0.3">
      <c r="B45" s="111"/>
      <c r="D45" s="109">
        <v>48</v>
      </c>
      <c r="E45" s="110">
        <v>0.54769999999999996</v>
      </c>
      <c r="F45" s="110">
        <v>1.1574</v>
      </c>
      <c r="H45" s="112"/>
      <c r="K45" s="113"/>
      <c r="M45" s="109">
        <v>48</v>
      </c>
      <c r="N45" s="110">
        <v>0.54769999999999996</v>
      </c>
      <c r="O45" s="110">
        <v>1.1574</v>
      </c>
      <c r="Q45" s="109">
        <v>94</v>
      </c>
      <c r="R45" s="110">
        <v>0.55920000000000003</v>
      </c>
      <c r="S45" s="110">
        <v>1.2032</v>
      </c>
      <c r="U45" s="106"/>
    </row>
    <row r="46" spans="2:21" x14ac:dyDescent="0.3">
      <c r="B46" s="111"/>
      <c r="D46" s="109">
        <v>49</v>
      </c>
      <c r="E46" s="110">
        <v>0.54810000000000003</v>
      </c>
      <c r="F46" s="110">
        <v>1.159</v>
      </c>
      <c r="H46" s="112"/>
      <c r="K46" s="113"/>
      <c r="M46" s="109">
        <v>49</v>
      </c>
      <c r="N46" s="110">
        <v>0.54810000000000003</v>
      </c>
      <c r="O46" s="110">
        <v>1.159</v>
      </c>
      <c r="Q46" s="109">
        <v>95</v>
      </c>
      <c r="R46" s="110">
        <v>0.55930000000000002</v>
      </c>
      <c r="S46" s="110">
        <v>1.2038</v>
      </c>
      <c r="U46" s="106"/>
    </row>
    <row r="47" spans="2:21" x14ac:dyDescent="0.3">
      <c r="B47" s="111"/>
      <c r="D47" s="109">
        <v>50</v>
      </c>
      <c r="E47" s="110">
        <v>0.54849999999999999</v>
      </c>
      <c r="F47" s="110">
        <v>1.1607000000000001</v>
      </c>
      <c r="H47" s="112"/>
      <c r="K47" s="113"/>
      <c r="M47" s="109">
        <v>50</v>
      </c>
      <c r="N47" s="110">
        <v>0.54849999999999999</v>
      </c>
      <c r="O47" s="110">
        <v>1.1607000000000001</v>
      </c>
      <c r="Q47" s="109">
        <v>96</v>
      </c>
      <c r="R47" s="110">
        <v>0.5595</v>
      </c>
      <c r="S47" s="110">
        <v>1.2043999999999999</v>
      </c>
      <c r="U47" s="106"/>
    </row>
    <row r="48" spans="2:21" x14ac:dyDescent="0.3">
      <c r="B48" s="111"/>
      <c r="D48" s="109">
        <v>51</v>
      </c>
      <c r="E48" s="110">
        <v>0.54890000000000005</v>
      </c>
      <c r="F48" s="110">
        <v>1.1623000000000001</v>
      </c>
      <c r="H48" s="112"/>
      <c r="K48" s="113"/>
      <c r="M48" s="109">
        <v>51</v>
      </c>
      <c r="N48" s="110">
        <v>0.54890000000000005</v>
      </c>
      <c r="O48" s="110">
        <v>1.1623000000000001</v>
      </c>
      <c r="Q48" s="109">
        <v>97</v>
      </c>
      <c r="R48" s="110">
        <v>0.55959999999999999</v>
      </c>
      <c r="S48" s="110">
        <v>1.2049000000000001</v>
      </c>
      <c r="U48" s="106"/>
    </row>
    <row r="49" spans="2:21" x14ac:dyDescent="0.3">
      <c r="B49" s="111"/>
      <c r="D49" s="109">
        <v>52</v>
      </c>
      <c r="E49" s="110">
        <v>0.54930000000000001</v>
      </c>
      <c r="F49" s="110">
        <v>1.1637999999999999</v>
      </c>
      <c r="H49" s="112"/>
      <c r="K49" s="113"/>
      <c r="M49" s="109">
        <v>52</v>
      </c>
      <c r="N49" s="110">
        <v>0.54930000000000001</v>
      </c>
      <c r="O49" s="110">
        <v>1.1637999999999999</v>
      </c>
      <c r="Q49" s="109">
        <v>98</v>
      </c>
      <c r="R49" s="110">
        <v>0.55979999999999996</v>
      </c>
      <c r="S49" s="110">
        <v>1.2055</v>
      </c>
      <c r="U49" s="106"/>
    </row>
    <row r="50" spans="2:21" x14ac:dyDescent="0.3">
      <c r="B50" s="111"/>
      <c r="D50" s="109">
        <v>53</v>
      </c>
      <c r="E50" s="110">
        <v>0.54969999999999997</v>
      </c>
      <c r="F50" s="110">
        <v>1.1657999999999999</v>
      </c>
      <c r="H50" s="112"/>
      <c r="K50" s="113"/>
      <c r="M50" s="109">
        <v>53</v>
      </c>
      <c r="N50" s="110">
        <v>0.54969999999999997</v>
      </c>
      <c r="O50" s="110">
        <v>1.1657999999999999</v>
      </c>
      <c r="Q50" s="109">
        <v>99</v>
      </c>
      <c r="R50" s="110">
        <v>0.55989999999999995</v>
      </c>
      <c r="S50" s="110">
        <v>1.206</v>
      </c>
      <c r="U50" s="106"/>
    </row>
    <row r="51" spans="2:21" x14ac:dyDescent="0.3">
      <c r="B51" s="111"/>
      <c r="D51" s="109">
        <v>54</v>
      </c>
      <c r="E51" s="110">
        <v>0.55010000000000003</v>
      </c>
      <c r="F51" s="110">
        <v>1.1667000000000001</v>
      </c>
      <c r="H51" s="112"/>
      <c r="K51" s="113"/>
      <c r="M51" s="109">
        <v>54</v>
      </c>
      <c r="N51" s="110">
        <v>0.55010000000000003</v>
      </c>
      <c r="O51" s="110">
        <v>1.1667000000000001</v>
      </c>
      <c r="Q51" s="109">
        <v>100</v>
      </c>
      <c r="R51" s="110">
        <v>0.56000000000000005</v>
      </c>
      <c r="S51" s="110">
        <v>1.2064999999999999</v>
      </c>
      <c r="U51" s="106"/>
    </row>
    <row r="52" spans="2:21" x14ac:dyDescent="0.3">
      <c r="B52" s="111"/>
      <c r="D52" s="109">
        <v>55</v>
      </c>
      <c r="E52" s="110">
        <v>0.5504</v>
      </c>
      <c r="F52" s="110">
        <v>1.1680999999999999</v>
      </c>
      <c r="H52" s="112"/>
      <c r="K52" s="113"/>
      <c r="M52" s="109">
        <v>55</v>
      </c>
      <c r="N52" s="110">
        <v>0.5504</v>
      </c>
      <c r="O52" s="110">
        <v>1.1680999999999999</v>
      </c>
      <c r="U52" s="106"/>
    </row>
    <row r="53" spans="2:21" ht="15" thickBot="1" x14ac:dyDescent="0.35">
      <c r="B53" s="111"/>
      <c r="D53" s="109">
        <v>56</v>
      </c>
      <c r="E53" s="110">
        <v>0.55079999999999996</v>
      </c>
      <c r="F53" s="110">
        <v>1.1696</v>
      </c>
      <c r="H53" s="112"/>
      <c r="K53" s="114"/>
      <c r="L53" s="115"/>
      <c r="M53" s="115"/>
      <c r="N53" s="115"/>
      <c r="O53" s="115"/>
      <c r="P53" s="115"/>
      <c r="Q53" s="115"/>
      <c r="R53" s="115"/>
      <c r="S53" s="115"/>
      <c r="T53" s="115"/>
      <c r="U53" s="116"/>
    </row>
    <row r="54" spans="2:21" x14ac:dyDescent="0.3">
      <c r="B54" s="111"/>
      <c r="D54" s="109">
        <v>57</v>
      </c>
      <c r="E54" s="110">
        <v>0.55110000000000003</v>
      </c>
      <c r="F54" s="110">
        <v>1.1708000000000001</v>
      </c>
      <c r="H54" s="112"/>
    </row>
    <row r="55" spans="2:21" x14ac:dyDescent="0.3">
      <c r="B55" s="111"/>
      <c r="D55" s="109">
        <v>58</v>
      </c>
      <c r="E55" s="110">
        <v>0.55149999999999999</v>
      </c>
      <c r="F55" s="110">
        <v>1.1720999999999999</v>
      </c>
      <c r="H55" s="112"/>
    </row>
    <row r="56" spans="2:21" x14ac:dyDescent="0.3">
      <c r="B56" s="111"/>
      <c r="D56" s="109">
        <v>59</v>
      </c>
      <c r="E56" s="110">
        <v>0.55189999999999995</v>
      </c>
      <c r="F56" s="110">
        <v>1.1734</v>
      </c>
      <c r="H56" s="112"/>
      <c r="M56" s="9" t="s">
        <v>52</v>
      </c>
    </row>
    <row r="57" spans="2:21" x14ac:dyDescent="0.3">
      <c r="B57" s="111"/>
      <c r="D57" s="109">
        <v>60</v>
      </c>
      <c r="E57" s="110">
        <v>0.55210000000000004</v>
      </c>
      <c r="F57" s="110">
        <v>1.1747000000000001</v>
      </c>
      <c r="H57" s="112"/>
    </row>
    <row r="58" spans="2:21" x14ac:dyDescent="0.3">
      <c r="B58" s="111"/>
      <c r="D58" s="109">
        <v>61</v>
      </c>
      <c r="E58" s="110">
        <v>0.5524</v>
      </c>
      <c r="F58" s="110">
        <v>1.1758999999999999</v>
      </c>
      <c r="H58" s="112"/>
    </row>
    <row r="59" spans="2:21" x14ac:dyDescent="0.3">
      <c r="B59" s="111"/>
      <c r="D59" s="109">
        <v>62</v>
      </c>
      <c r="E59" s="110">
        <v>0.55269999999999997</v>
      </c>
      <c r="F59" s="110">
        <v>1.177</v>
      </c>
      <c r="H59" s="112"/>
    </row>
    <row r="60" spans="2:21" x14ac:dyDescent="0.3">
      <c r="B60" s="111"/>
      <c r="D60" s="109">
        <v>63</v>
      </c>
      <c r="E60" s="110">
        <v>0.55300000000000005</v>
      </c>
      <c r="F60" s="110">
        <v>1.1781999999999999</v>
      </c>
      <c r="H60" s="112"/>
    </row>
    <row r="61" spans="2:21" x14ac:dyDescent="0.3">
      <c r="B61" s="111"/>
      <c r="D61" s="109">
        <v>64</v>
      </c>
      <c r="E61" s="110">
        <v>0.55330000000000001</v>
      </c>
      <c r="F61" s="110">
        <v>1.1793</v>
      </c>
      <c r="H61" s="112"/>
    </row>
    <row r="62" spans="2:21" x14ac:dyDescent="0.3">
      <c r="B62" s="111"/>
      <c r="D62" s="109">
        <v>65</v>
      </c>
      <c r="E62" s="110">
        <v>0.55349999999999999</v>
      </c>
      <c r="F62" s="110">
        <v>1.1802999999999999</v>
      </c>
      <c r="H62" s="112"/>
    </row>
    <row r="63" spans="2:21" x14ac:dyDescent="0.3">
      <c r="B63" s="111"/>
      <c r="D63" s="109">
        <v>66</v>
      </c>
      <c r="E63" s="110">
        <v>0.55379999999999996</v>
      </c>
      <c r="F63" s="110">
        <v>1.1814</v>
      </c>
      <c r="H63" s="112"/>
    </row>
    <row r="64" spans="2:21" x14ac:dyDescent="0.3">
      <c r="B64" s="111"/>
      <c r="D64" s="109">
        <v>67</v>
      </c>
      <c r="E64" s="110">
        <v>0.55400000000000005</v>
      </c>
      <c r="F64" s="110">
        <v>1.1823999999999999</v>
      </c>
      <c r="H64" s="112"/>
    </row>
    <row r="65" spans="2:8" x14ac:dyDescent="0.3">
      <c r="B65" s="111"/>
      <c r="D65" s="109">
        <v>68</v>
      </c>
      <c r="E65" s="110">
        <v>0.55430000000000001</v>
      </c>
      <c r="F65" s="110">
        <v>1.1834</v>
      </c>
      <c r="H65" s="112"/>
    </row>
    <row r="66" spans="2:8" x14ac:dyDescent="0.3">
      <c r="B66" s="111"/>
      <c r="D66" s="109">
        <v>69</v>
      </c>
      <c r="E66" s="110">
        <v>0.55449999999999999</v>
      </c>
      <c r="F66" s="110">
        <v>1.1843999999999999</v>
      </c>
      <c r="H66" s="112"/>
    </row>
    <row r="67" spans="2:8" x14ac:dyDescent="0.3">
      <c r="B67" s="111"/>
      <c r="D67" s="109">
        <v>70</v>
      </c>
      <c r="E67" s="110">
        <v>0.55479999999999996</v>
      </c>
      <c r="F67" s="110">
        <v>1.1854</v>
      </c>
      <c r="H67" s="112"/>
    </row>
    <row r="68" spans="2:8" x14ac:dyDescent="0.3">
      <c r="B68" s="111"/>
      <c r="D68" s="109">
        <v>71</v>
      </c>
      <c r="E68" s="110">
        <v>0.55500000000000005</v>
      </c>
      <c r="F68" s="110">
        <v>1.1854</v>
      </c>
      <c r="H68" s="112"/>
    </row>
    <row r="69" spans="2:8" x14ac:dyDescent="0.3">
      <c r="B69" s="111"/>
      <c r="D69" s="109">
        <v>72</v>
      </c>
      <c r="E69" s="110">
        <v>0.55520000000000003</v>
      </c>
      <c r="F69" s="110">
        <v>1.1873</v>
      </c>
      <c r="H69" s="112"/>
    </row>
    <row r="70" spans="2:8" x14ac:dyDescent="0.3">
      <c r="B70" s="111"/>
      <c r="D70" s="109">
        <v>73</v>
      </c>
      <c r="E70" s="110">
        <v>0.55549999999999999</v>
      </c>
      <c r="F70" s="110">
        <v>1.1880999999999999</v>
      </c>
      <c r="H70" s="112"/>
    </row>
    <row r="71" spans="2:8" x14ac:dyDescent="0.3">
      <c r="B71" s="111"/>
      <c r="D71" s="109">
        <v>74</v>
      </c>
      <c r="E71" s="110">
        <v>0.55569999999999997</v>
      </c>
      <c r="F71" s="110">
        <v>1.1890000000000001</v>
      </c>
      <c r="H71" s="112"/>
    </row>
    <row r="72" spans="2:8" x14ac:dyDescent="0.3">
      <c r="B72" s="111"/>
      <c r="D72" s="109">
        <v>75</v>
      </c>
      <c r="E72" s="110">
        <v>0.55589999999999995</v>
      </c>
      <c r="F72" s="110">
        <v>1.1898</v>
      </c>
      <c r="H72" s="112"/>
    </row>
    <row r="73" spans="2:8" x14ac:dyDescent="0.3">
      <c r="B73" s="111"/>
      <c r="D73" s="109">
        <v>76</v>
      </c>
      <c r="E73" s="110">
        <v>0.55610000000000004</v>
      </c>
      <c r="F73" s="110">
        <v>1.1906000000000001</v>
      </c>
      <c r="H73" s="112"/>
    </row>
    <row r="74" spans="2:8" x14ac:dyDescent="0.3">
      <c r="B74" s="111"/>
      <c r="D74" s="109">
        <v>77</v>
      </c>
      <c r="E74" s="110">
        <v>0.55630000000000002</v>
      </c>
      <c r="F74" s="110">
        <v>1.1915</v>
      </c>
      <c r="H74" s="112"/>
    </row>
    <row r="75" spans="2:8" x14ac:dyDescent="0.3">
      <c r="B75" s="111"/>
      <c r="D75" s="109">
        <v>78</v>
      </c>
      <c r="E75" s="110">
        <v>0.55649999999999999</v>
      </c>
      <c r="F75" s="110">
        <v>1.1922999999999999</v>
      </c>
      <c r="H75" s="112"/>
    </row>
    <row r="76" spans="2:8" x14ac:dyDescent="0.3">
      <c r="B76" s="111"/>
      <c r="D76" s="109">
        <v>79</v>
      </c>
      <c r="E76" s="110">
        <v>0.55669999999999997</v>
      </c>
      <c r="F76" s="110">
        <v>1.1930000000000001</v>
      </c>
      <c r="H76" s="112"/>
    </row>
    <row r="77" spans="2:8" x14ac:dyDescent="0.3">
      <c r="B77" s="111"/>
      <c r="D77" s="109">
        <v>80</v>
      </c>
      <c r="E77" s="110">
        <v>0.55689999999999995</v>
      </c>
      <c r="F77" s="110">
        <v>1.1938</v>
      </c>
      <c r="H77" s="112"/>
    </row>
    <row r="78" spans="2:8" x14ac:dyDescent="0.3">
      <c r="B78" s="111"/>
      <c r="D78" s="109">
        <v>81</v>
      </c>
      <c r="E78" s="110">
        <v>0.55700000000000005</v>
      </c>
      <c r="F78" s="110">
        <v>1.1944999999999999</v>
      </c>
      <c r="H78" s="112"/>
    </row>
    <row r="79" spans="2:8" x14ac:dyDescent="0.3">
      <c r="B79" s="111"/>
      <c r="D79" s="109">
        <v>82</v>
      </c>
      <c r="E79" s="110">
        <v>0.55720000000000003</v>
      </c>
      <c r="F79" s="110">
        <v>1.1953</v>
      </c>
      <c r="H79" s="112"/>
    </row>
    <row r="80" spans="2:8" x14ac:dyDescent="0.3">
      <c r="B80" s="111"/>
      <c r="D80" s="109">
        <v>83</v>
      </c>
      <c r="E80" s="110">
        <v>0.55740000000000001</v>
      </c>
      <c r="F80" s="110">
        <v>1.1959</v>
      </c>
      <c r="H80" s="112"/>
    </row>
    <row r="81" spans="2:8" x14ac:dyDescent="0.3">
      <c r="B81" s="111"/>
      <c r="D81" s="109">
        <v>84</v>
      </c>
      <c r="E81" s="110">
        <v>0.55759999999999998</v>
      </c>
      <c r="F81" s="110">
        <v>1.1967000000000001</v>
      </c>
      <c r="H81" s="112"/>
    </row>
    <row r="82" spans="2:8" x14ac:dyDescent="0.3">
      <c r="B82" s="111"/>
      <c r="D82" s="109">
        <v>85</v>
      </c>
      <c r="E82" s="110">
        <v>0.55779999999999996</v>
      </c>
      <c r="F82" s="110">
        <v>1.1973</v>
      </c>
      <c r="H82" s="112"/>
    </row>
    <row r="83" spans="2:8" x14ac:dyDescent="0.3">
      <c r="B83" s="111"/>
      <c r="D83" s="109">
        <v>86</v>
      </c>
      <c r="E83" s="110">
        <v>0.55800000000000005</v>
      </c>
      <c r="F83" s="110">
        <v>1.1987000000000001</v>
      </c>
      <c r="H83" s="112"/>
    </row>
    <row r="84" spans="2:8" x14ac:dyDescent="0.3">
      <c r="B84" s="111"/>
      <c r="D84" s="109">
        <v>87</v>
      </c>
      <c r="E84" s="110">
        <v>0.55810000000000004</v>
      </c>
      <c r="F84" s="110">
        <v>1.1987000000000001</v>
      </c>
      <c r="H84" s="112"/>
    </row>
    <row r="85" spans="2:8" x14ac:dyDescent="0.3">
      <c r="B85" s="111"/>
      <c r="D85" s="109">
        <v>88</v>
      </c>
      <c r="E85" s="110">
        <v>0.55830000000000002</v>
      </c>
      <c r="F85" s="110">
        <v>1.1994</v>
      </c>
      <c r="H85" s="112"/>
    </row>
    <row r="86" spans="2:8" x14ac:dyDescent="0.3">
      <c r="B86" s="111"/>
      <c r="D86" s="109">
        <v>89</v>
      </c>
      <c r="E86" s="110">
        <v>0.55830000000000002</v>
      </c>
      <c r="F86" s="110">
        <v>1.2000999999999999</v>
      </c>
      <c r="H86" s="112"/>
    </row>
    <row r="87" spans="2:8" x14ac:dyDescent="0.3">
      <c r="B87" s="111"/>
      <c r="D87" s="109">
        <v>90</v>
      </c>
      <c r="E87" s="110">
        <v>0.55859999999999999</v>
      </c>
      <c r="F87" s="110">
        <v>1.2007000000000001</v>
      </c>
      <c r="H87" s="112"/>
    </row>
    <row r="88" spans="2:8" x14ac:dyDescent="0.3">
      <c r="B88" s="111"/>
      <c r="D88" s="109">
        <v>91</v>
      </c>
      <c r="E88" s="110">
        <v>0.55869999999999997</v>
      </c>
      <c r="F88" s="110">
        <v>1.2013</v>
      </c>
      <c r="H88" s="112"/>
    </row>
    <row r="89" spans="2:8" x14ac:dyDescent="0.3">
      <c r="B89" s="111"/>
      <c r="D89" s="109">
        <v>92</v>
      </c>
      <c r="E89" s="110">
        <v>0.55889999999999995</v>
      </c>
      <c r="F89" s="110">
        <v>1.202</v>
      </c>
      <c r="H89" s="112"/>
    </row>
    <row r="90" spans="2:8" x14ac:dyDescent="0.3">
      <c r="B90" s="111"/>
      <c r="D90" s="109">
        <v>93</v>
      </c>
      <c r="E90" s="110">
        <v>0.55910000000000004</v>
      </c>
      <c r="F90" s="110">
        <v>1.2025999999999999</v>
      </c>
      <c r="H90" s="112"/>
    </row>
    <row r="91" spans="2:8" x14ac:dyDescent="0.3">
      <c r="B91" s="111"/>
      <c r="D91" s="109">
        <v>94</v>
      </c>
      <c r="E91" s="110">
        <v>0.55920000000000003</v>
      </c>
      <c r="F91" s="110">
        <v>1.2032</v>
      </c>
      <c r="H91" s="112"/>
    </row>
    <row r="92" spans="2:8" x14ac:dyDescent="0.3">
      <c r="B92" s="111"/>
      <c r="D92" s="109">
        <v>95</v>
      </c>
      <c r="E92" s="110">
        <v>0.55930000000000002</v>
      </c>
      <c r="F92" s="110">
        <v>1.2038</v>
      </c>
      <c r="H92" s="112"/>
    </row>
    <row r="93" spans="2:8" x14ac:dyDescent="0.3">
      <c r="B93" s="111"/>
      <c r="D93" s="109">
        <v>96</v>
      </c>
      <c r="E93" s="110">
        <v>0.5595</v>
      </c>
      <c r="F93" s="110">
        <v>1.2043999999999999</v>
      </c>
      <c r="H93" s="112"/>
    </row>
    <row r="94" spans="2:8" x14ac:dyDescent="0.3">
      <c r="B94" s="111"/>
      <c r="D94" s="109">
        <v>97</v>
      </c>
      <c r="E94" s="110">
        <v>0.55959999999999999</v>
      </c>
      <c r="F94" s="110">
        <v>1.2049000000000001</v>
      </c>
      <c r="H94" s="112"/>
    </row>
    <row r="95" spans="2:8" x14ac:dyDescent="0.3">
      <c r="B95" s="111"/>
      <c r="D95" s="109">
        <v>98</v>
      </c>
      <c r="E95" s="110">
        <v>0.55979999999999996</v>
      </c>
      <c r="F95" s="110">
        <v>1.2055</v>
      </c>
      <c r="H95" s="112"/>
    </row>
    <row r="96" spans="2:8" x14ac:dyDescent="0.3">
      <c r="B96" s="111"/>
      <c r="D96" s="109">
        <v>99</v>
      </c>
      <c r="E96" s="110">
        <v>0.55989999999999995</v>
      </c>
      <c r="F96" s="110">
        <v>1.206</v>
      </c>
      <c r="H96" s="112"/>
    </row>
    <row r="97" spans="2:8" x14ac:dyDescent="0.3">
      <c r="B97" s="111"/>
      <c r="D97" s="109">
        <v>100</v>
      </c>
      <c r="E97" s="110">
        <v>0.56000000000000005</v>
      </c>
      <c r="F97" s="110">
        <v>1.2064999999999999</v>
      </c>
      <c r="H97" s="112"/>
    </row>
    <row r="98" spans="2:8" ht="15" thickBot="1" x14ac:dyDescent="0.35">
      <c r="B98" s="117"/>
      <c r="C98" s="118"/>
      <c r="D98" s="118"/>
      <c r="E98" s="118"/>
      <c r="F98" s="118"/>
      <c r="G98" s="118"/>
      <c r="H98" s="119"/>
    </row>
    <row r="99" spans="2:8" ht="15" thickTop="1" x14ac:dyDescent="0.3"/>
  </sheetData>
  <mergeCells count="1">
    <mergeCell ref="K1:U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0000"/>
  </sheetPr>
  <dimension ref="A1:AD85"/>
  <sheetViews>
    <sheetView zoomScale="61" zoomScaleNormal="100" workbookViewId="0">
      <selection activeCell="F31" sqref="F31:F38"/>
    </sheetView>
  </sheetViews>
  <sheetFormatPr defaultColWidth="9.109375" defaultRowHeight="14.4" x14ac:dyDescent="0.3"/>
  <cols>
    <col min="1" max="2" width="9.109375" style="1"/>
    <col min="3" max="3" width="3.6640625" style="1" customWidth="1"/>
    <col min="4" max="4" width="9.6640625" style="1" bestFit="1" customWidth="1"/>
    <col min="5" max="5" width="10.33203125" style="1" customWidth="1"/>
    <col min="6" max="6" width="17.33203125" style="1" bestFit="1" customWidth="1"/>
    <col min="7" max="7" width="21.109375" style="1" bestFit="1" customWidth="1"/>
    <col min="8" max="8" width="17" style="1" customWidth="1"/>
    <col min="9" max="9" width="9.109375" style="1"/>
    <col min="10" max="10" width="1.5546875" style="1" customWidth="1"/>
    <col min="11" max="11" width="9.109375" style="1"/>
    <col min="12" max="12" width="8.88671875" style="1" customWidth="1"/>
    <col min="13" max="13" width="8.109375" style="1" bestFit="1" customWidth="1"/>
    <col min="14" max="14" width="17.88671875" style="1" bestFit="1" customWidth="1"/>
    <col min="15" max="15" width="19" style="1" bestFit="1" customWidth="1"/>
    <col min="16" max="16" width="18.33203125" style="1" bestFit="1" customWidth="1"/>
    <col min="17" max="17" width="18.88671875" style="1" bestFit="1" customWidth="1"/>
    <col min="18" max="18" width="9.109375" style="1" customWidth="1"/>
    <col min="19" max="19" width="7.5546875" style="1" customWidth="1"/>
    <col min="20" max="20" width="1.88671875" style="1" customWidth="1"/>
    <col min="21" max="22" width="9.109375" style="1"/>
    <col min="23" max="23" width="12.109375" style="1" bestFit="1" customWidth="1"/>
    <col min="24" max="24" width="16.6640625" style="1" bestFit="1" customWidth="1"/>
    <col min="25" max="25" width="19" style="1" bestFit="1" customWidth="1"/>
    <col min="26" max="26" width="21.33203125" style="1" bestFit="1" customWidth="1"/>
    <col min="27" max="27" width="18.88671875" style="1" bestFit="1" customWidth="1"/>
    <col min="28" max="28" width="9.33203125" style="1" bestFit="1" customWidth="1"/>
    <col min="29" max="29" width="10.33203125" style="1" bestFit="1" customWidth="1"/>
    <col min="30" max="16384" width="9.109375" style="1"/>
  </cols>
  <sheetData>
    <row r="1" spans="1:30" x14ac:dyDescent="0.3">
      <c r="A1" s="52" t="s">
        <v>109</v>
      </c>
      <c r="B1" s="52"/>
      <c r="C1" s="52"/>
      <c r="D1" s="52"/>
      <c r="E1" s="52"/>
      <c r="F1" s="73"/>
      <c r="G1" s="73"/>
      <c r="H1" s="73"/>
    </row>
    <row r="2" spans="1:30" ht="15" thickBot="1" x14ac:dyDescent="0.35">
      <c r="C2" s="73"/>
    </row>
    <row r="3" spans="1:30" ht="15" thickBot="1" x14ac:dyDescent="0.35">
      <c r="B3" s="65"/>
      <c r="C3" s="66"/>
      <c r="D3" s="66"/>
      <c r="E3" s="66"/>
      <c r="F3" s="66"/>
      <c r="G3" s="66"/>
      <c r="H3" s="66"/>
      <c r="I3" s="67"/>
      <c r="K3" s="65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7"/>
    </row>
    <row r="4" spans="1:30" x14ac:dyDescent="0.3">
      <c r="B4" s="68"/>
      <c r="C4" s="857" t="s">
        <v>15</v>
      </c>
      <c r="D4" s="857"/>
      <c r="E4" s="857"/>
      <c r="F4" s="857"/>
      <c r="G4" s="857"/>
      <c r="H4" s="857"/>
      <c r="I4" s="69"/>
      <c r="K4" s="68"/>
      <c r="L4" s="859" t="s">
        <v>29</v>
      </c>
      <c r="M4" s="860"/>
      <c r="N4" s="860"/>
      <c r="O4" s="860"/>
      <c r="P4" s="860"/>
      <c r="Q4" s="860"/>
      <c r="R4" s="861"/>
      <c r="S4" s="86"/>
      <c r="T4" s="86"/>
      <c r="V4" s="859" t="s">
        <v>38</v>
      </c>
      <c r="W4" s="860"/>
      <c r="X4" s="860"/>
      <c r="Y4" s="860"/>
      <c r="Z4" s="860"/>
      <c r="AA4" s="860"/>
      <c r="AB4" s="861"/>
      <c r="AD4" s="69"/>
    </row>
    <row r="5" spans="1:30" ht="15" thickBot="1" x14ac:dyDescent="0.35">
      <c r="B5" s="68"/>
      <c r="C5" s="875" t="s">
        <v>53</v>
      </c>
      <c r="D5" s="875"/>
      <c r="E5" s="875"/>
      <c r="F5" s="875"/>
      <c r="G5" s="875"/>
      <c r="H5" s="875"/>
      <c r="I5" s="69"/>
      <c r="K5" s="68"/>
      <c r="L5" s="862" t="s">
        <v>53</v>
      </c>
      <c r="M5" s="856"/>
      <c r="N5" s="856"/>
      <c r="O5" s="856"/>
      <c r="P5" s="856"/>
      <c r="Q5" s="856"/>
      <c r="R5" s="863"/>
      <c r="S5" s="86"/>
      <c r="T5" s="86"/>
      <c r="V5" s="862" t="s">
        <v>53</v>
      </c>
      <c r="W5" s="856"/>
      <c r="X5" s="856"/>
      <c r="Y5" s="856"/>
      <c r="Z5" s="856"/>
      <c r="AA5" s="856"/>
      <c r="AB5" s="863"/>
      <c r="AD5" s="69"/>
    </row>
    <row r="6" spans="1:30" ht="17.399999999999999" thickBot="1" x14ac:dyDescent="0.4">
      <c r="B6" s="68"/>
      <c r="C6" s="61" t="s">
        <v>4</v>
      </c>
      <c r="D6" s="62" t="s">
        <v>5</v>
      </c>
      <c r="E6" s="62" t="s">
        <v>6</v>
      </c>
      <c r="F6" s="62" t="s">
        <v>199</v>
      </c>
      <c r="G6" s="63" t="s">
        <v>200</v>
      </c>
      <c r="H6" s="63" t="s">
        <v>54</v>
      </c>
      <c r="I6" s="69"/>
      <c r="K6" s="68"/>
      <c r="L6" s="53" t="s">
        <v>21</v>
      </c>
      <c r="M6" s="54" t="s">
        <v>26</v>
      </c>
      <c r="N6" s="54" t="s">
        <v>27</v>
      </c>
      <c r="O6" s="54" t="s">
        <v>25</v>
      </c>
      <c r="P6" s="54" t="s">
        <v>201</v>
      </c>
      <c r="Q6" s="54" t="s">
        <v>202</v>
      </c>
      <c r="R6" s="55" t="s">
        <v>28</v>
      </c>
      <c r="S6" s="86"/>
      <c r="T6" s="86"/>
      <c r="V6" s="53" t="s">
        <v>21</v>
      </c>
      <c r="W6" s="54" t="s">
        <v>26</v>
      </c>
      <c r="X6" s="54" t="s">
        <v>27</v>
      </c>
      <c r="Y6" s="54" t="s">
        <v>25</v>
      </c>
      <c r="Z6" s="54" t="s">
        <v>201</v>
      </c>
      <c r="AA6" s="54" t="s">
        <v>202</v>
      </c>
      <c r="AB6" s="55" t="s">
        <v>42</v>
      </c>
      <c r="AD6" s="69"/>
    </row>
    <row r="7" spans="1:30" ht="15" thickTop="1" x14ac:dyDescent="0.3">
      <c r="B7" s="68"/>
      <c r="C7" s="36">
        <v>1</v>
      </c>
      <c r="D7" s="35">
        <f>'Rainfall Max'!V4</f>
        <v>2014</v>
      </c>
      <c r="E7" s="38">
        <f>RANK(F7,$F$7:$F$18,0)</f>
        <v>6</v>
      </c>
      <c r="F7" s="203">
        <f>'Rainfall Max'!W4</f>
        <v>121</v>
      </c>
      <c r="G7" s="203">
        <f>VLOOKUP(C7,$E$7:$F$18,2,FALSE)</f>
        <v>172</v>
      </c>
      <c r="H7" s="121">
        <f>(G7-$G$21)^2</f>
        <v>2392.0991735537186</v>
      </c>
      <c r="I7" s="69"/>
      <c r="K7" s="68"/>
      <c r="L7" s="36">
        <v>1</v>
      </c>
      <c r="M7" s="57">
        <f>L7/($G$20+1)</f>
        <v>8.3333333333333329E-2</v>
      </c>
      <c r="N7" s="57">
        <f>1/M7</f>
        <v>12</v>
      </c>
      <c r="O7" s="79">
        <f t="shared" ref="O7" si="0">-LN(LN(N7/(N7-1)))</f>
        <v>2.4417163988814603</v>
      </c>
      <c r="P7" s="203">
        <f t="shared" ref="P7" si="1">G7</f>
        <v>172</v>
      </c>
      <c r="Q7" s="200">
        <f>$G$21+(((O7-G$27)/$G$28)*$G$22)</f>
        <v>180.79391484268598</v>
      </c>
      <c r="R7" s="58">
        <f t="shared" ref="R7" si="2">ABS((Q7-P7)/P7)*100</f>
        <v>5.1127411876081279</v>
      </c>
      <c r="S7" s="82"/>
      <c r="T7" s="82"/>
      <c r="V7" s="36">
        <f>L7</f>
        <v>1</v>
      </c>
      <c r="W7" s="79">
        <f t="shared" ref="W7" si="3">M7</f>
        <v>8.3333333333333329E-2</v>
      </c>
      <c r="X7" s="79">
        <f t="shared" ref="X7" si="4">N7</f>
        <v>12</v>
      </c>
      <c r="Y7" s="79">
        <f t="shared" ref="Y7" si="5">O7</f>
        <v>2.4417163988814603</v>
      </c>
      <c r="Z7" s="200">
        <f t="shared" ref="Z7" si="6">P7</f>
        <v>172</v>
      </c>
      <c r="AA7" s="203">
        <f t="shared" ref="AA7" si="7">Q7</f>
        <v>180.79391484268598</v>
      </c>
      <c r="AB7" s="58">
        <f t="shared" ref="AB7" si="8">(AA7-Z7)^2</f>
        <v>77.33293826041276</v>
      </c>
      <c r="AD7" s="69"/>
    </row>
    <row r="8" spans="1:30" x14ac:dyDescent="0.3">
      <c r="B8" s="68"/>
      <c r="C8" s="36">
        <v>2</v>
      </c>
      <c r="D8" s="35">
        <f>'Rainfall Max'!V5</f>
        <v>2015</v>
      </c>
      <c r="E8" s="38">
        <f t="shared" ref="E8:E17" si="9">RANK(F8,$F$7:$F$18,0)</f>
        <v>7</v>
      </c>
      <c r="F8" s="203">
        <f>'Rainfall Max'!W5</f>
        <v>119</v>
      </c>
      <c r="G8" s="203">
        <f t="shared" ref="G8:G17" si="10">VLOOKUP(C8,$E$7:$F$18,2,FALSE)</f>
        <v>155</v>
      </c>
      <c r="H8" s="121">
        <f t="shared" ref="H8:H17" si="11">(G8-$G$21)^2</f>
        <v>1018.190082644628</v>
      </c>
      <c r="I8" s="69"/>
      <c r="K8" s="68"/>
      <c r="L8" s="36">
        <v>2</v>
      </c>
      <c r="M8" s="57">
        <f t="shared" ref="M8:M17" si="12">L8/($G$20+1)</f>
        <v>0.16666666666666666</v>
      </c>
      <c r="N8" s="57">
        <f t="shared" ref="N8:N17" si="13">1/M8</f>
        <v>6</v>
      </c>
      <c r="O8" s="79">
        <f t="shared" ref="O8:O17" si="14">-LN(LN(N8/(N8-1)))</f>
        <v>1.7019833552815005</v>
      </c>
      <c r="P8" s="203">
        <f t="shared" ref="P8:P17" si="15">G8</f>
        <v>155</v>
      </c>
      <c r="Q8" s="200">
        <f t="shared" ref="Q8:Q17" si="16">$G$21+(((O8-G$27)/$G$28)*$G$22)</f>
        <v>158.81540722377511</v>
      </c>
      <c r="R8" s="58">
        <f t="shared" ref="R8:R17" si="17">ABS((Q8-P8)/P8)*100</f>
        <v>2.4615530475968455</v>
      </c>
      <c r="S8" s="82"/>
      <c r="T8" s="82"/>
      <c r="V8" s="36">
        <f t="shared" ref="V8:V17" si="18">L8</f>
        <v>2</v>
      </c>
      <c r="W8" s="79">
        <f t="shared" ref="W8:W17" si="19">M8</f>
        <v>0.16666666666666666</v>
      </c>
      <c r="X8" s="79">
        <f t="shared" ref="X8:X17" si="20">N8</f>
        <v>6</v>
      </c>
      <c r="Y8" s="79">
        <f t="shared" ref="Y8:Y17" si="21">O8</f>
        <v>1.7019833552815005</v>
      </c>
      <c r="Z8" s="200">
        <f t="shared" ref="Z8:Z17" si="22">P8</f>
        <v>155</v>
      </c>
      <c r="AA8" s="203">
        <f t="shared" ref="AA8:AA17" si="23">Q8</f>
        <v>158.81540722377511</v>
      </c>
      <c r="AB8" s="58">
        <f t="shared" ref="AB8:AB17" si="24">(AA8-Z8)^2</f>
        <v>14.557332283235299</v>
      </c>
      <c r="AD8" s="69"/>
    </row>
    <row r="9" spans="1:30" x14ac:dyDescent="0.3">
      <c r="B9" s="68"/>
      <c r="C9" s="36">
        <v>3</v>
      </c>
      <c r="D9" s="35">
        <f>'Rainfall Max'!V6</f>
        <v>2016</v>
      </c>
      <c r="E9" s="38">
        <f t="shared" si="9"/>
        <v>11</v>
      </c>
      <c r="F9" s="203">
        <f>'Rainfall Max'!W6</f>
        <v>74</v>
      </c>
      <c r="G9" s="203">
        <f t="shared" si="10"/>
        <v>141</v>
      </c>
      <c r="H9" s="121">
        <f t="shared" si="11"/>
        <v>320.73553719008254</v>
      </c>
      <c r="I9" s="69"/>
      <c r="K9" s="68"/>
      <c r="L9" s="36">
        <v>3</v>
      </c>
      <c r="M9" s="57">
        <f t="shared" si="12"/>
        <v>0.25</v>
      </c>
      <c r="N9" s="57">
        <f t="shared" si="13"/>
        <v>4</v>
      </c>
      <c r="O9" s="79">
        <f t="shared" si="14"/>
        <v>1.2458993237072384</v>
      </c>
      <c r="P9" s="203">
        <f t="shared" si="15"/>
        <v>141</v>
      </c>
      <c r="Q9" s="200">
        <f t="shared" si="16"/>
        <v>145.26451011360166</v>
      </c>
      <c r="R9" s="58">
        <f t="shared" si="17"/>
        <v>3.024475257873517</v>
      </c>
      <c r="S9" s="82"/>
      <c r="T9" s="82"/>
      <c r="V9" s="36">
        <f t="shared" si="18"/>
        <v>3</v>
      </c>
      <c r="W9" s="79">
        <f t="shared" si="19"/>
        <v>0.25</v>
      </c>
      <c r="X9" s="79">
        <f t="shared" si="20"/>
        <v>4</v>
      </c>
      <c r="Y9" s="79">
        <f t="shared" si="21"/>
        <v>1.2458993237072384</v>
      </c>
      <c r="Z9" s="200">
        <f t="shared" si="22"/>
        <v>141</v>
      </c>
      <c r="AA9" s="203">
        <f t="shared" si="23"/>
        <v>145.26451011360166</v>
      </c>
      <c r="AB9" s="58">
        <f t="shared" si="24"/>
        <v>18.186046509010836</v>
      </c>
      <c r="AD9" s="69"/>
    </row>
    <row r="10" spans="1:30" x14ac:dyDescent="0.3">
      <c r="B10" s="68"/>
      <c r="C10" s="36">
        <v>4</v>
      </c>
      <c r="D10" s="35">
        <f>'Rainfall Max'!V7</f>
        <v>2017</v>
      </c>
      <c r="E10" s="38">
        <f t="shared" si="9"/>
        <v>9</v>
      </c>
      <c r="F10" s="203">
        <f>'Rainfall Max'!W7</f>
        <v>100</v>
      </c>
      <c r="G10" s="203">
        <f t="shared" si="10"/>
        <v>139</v>
      </c>
      <c r="H10" s="121">
        <f t="shared" si="11"/>
        <v>253.09917355371891</v>
      </c>
      <c r="I10" s="69"/>
      <c r="K10" s="68"/>
      <c r="L10" s="36">
        <v>4</v>
      </c>
      <c r="M10" s="57">
        <f t="shared" si="12"/>
        <v>0.33333333333333331</v>
      </c>
      <c r="N10" s="57">
        <f t="shared" si="13"/>
        <v>3</v>
      </c>
      <c r="O10" s="79">
        <f t="shared" si="14"/>
        <v>0.90272045571787995</v>
      </c>
      <c r="P10" s="203">
        <f t="shared" si="15"/>
        <v>139</v>
      </c>
      <c r="Q10" s="200">
        <f t="shared" si="16"/>
        <v>135.06818397945068</v>
      </c>
      <c r="R10" s="58">
        <f t="shared" si="17"/>
        <v>2.8286446191002299</v>
      </c>
      <c r="S10" s="82"/>
      <c r="T10" s="82"/>
      <c r="V10" s="36">
        <f t="shared" si="18"/>
        <v>4</v>
      </c>
      <c r="W10" s="79">
        <f t="shared" si="19"/>
        <v>0.33333333333333331</v>
      </c>
      <c r="X10" s="79">
        <f t="shared" si="20"/>
        <v>3</v>
      </c>
      <c r="Y10" s="79">
        <f t="shared" si="21"/>
        <v>0.90272045571787995</v>
      </c>
      <c r="Z10" s="200">
        <f t="shared" si="22"/>
        <v>139</v>
      </c>
      <c r="AA10" s="203">
        <f t="shared" si="23"/>
        <v>135.06818397945068</v>
      </c>
      <c r="AB10" s="58">
        <f t="shared" si="24"/>
        <v>15.459177219448291</v>
      </c>
      <c r="AD10" s="69"/>
    </row>
    <row r="11" spans="1:30" x14ac:dyDescent="0.3">
      <c r="B11" s="68"/>
      <c r="C11" s="36">
        <v>5</v>
      </c>
      <c r="D11" s="35">
        <f>'Rainfall Max'!V8</f>
        <v>2018</v>
      </c>
      <c r="E11" s="38">
        <f t="shared" si="9"/>
        <v>4</v>
      </c>
      <c r="F11" s="203">
        <f>'Rainfall Max'!W8</f>
        <v>139</v>
      </c>
      <c r="G11" s="203">
        <f t="shared" si="10"/>
        <v>134</v>
      </c>
      <c r="H11" s="121">
        <f t="shared" si="11"/>
        <v>119.00826446280986</v>
      </c>
      <c r="I11" s="69"/>
      <c r="K11" s="68"/>
      <c r="L11" s="36">
        <v>5</v>
      </c>
      <c r="M11" s="57">
        <f t="shared" si="12"/>
        <v>0.41666666666666669</v>
      </c>
      <c r="N11" s="57">
        <f t="shared" si="13"/>
        <v>2.4</v>
      </c>
      <c r="O11" s="79">
        <f t="shared" si="14"/>
        <v>0.61804620024136214</v>
      </c>
      <c r="P11" s="203">
        <f t="shared" si="15"/>
        <v>134</v>
      </c>
      <c r="Q11" s="200">
        <f t="shared" si="16"/>
        <v>126.61011204792023</v>
      </c>
      <c r="R11" s="58">
        <f t="shared" si="17"/>
        <v>5.5148417552834141</v>
      </c>
      <c r="S11" s="82"/>
      <c r="T11" s="82"/>
      <c r="V11" s="36">
        <f t="shared" si="18"/>
        <v>5</v>
      </c>
      <c r="W11" s="79">
        <f t="shared" si="19"/>
        <v>0.41666666666666669</v>
      </c>
      <c r="X11" s="79">
        <f t="shared" si="20"/>
        <v>2.4</v>
      </c>
      <c r="Y11" s="79">
        <f t="shared" si="21"/>
        <v>0.61804620024136214</v>
      </c>
      <c r="Z11" s="200">
        <f t="shared" si="22"/>
        <v>134</v>
      </c>
      <c r="AA11" s="203">
        <f t="shared" si="23"/>
        <v>126.61011204792023</v>
      </c>
      <c r="AB11" s="58">
        <f t="shared" si="24"/>
        <v>54.610443944293806</v>
      </c>
      <c r="AD11" s="69"/>
    </row>
    <row r="12" spans="1:30" x14ac:dyDescent="0.3">
      <c r="B12" s="68"/>
      <c r="C12" s="36">
        <v>6</v>
      </c>
      <c r="D12" s="35">
        <f>'Rainfall Max'!V9</f>
        <v>2019</v>
      </c>
      <c r="E12" s="38">
        <f t="shared" si="9"/>
        <v>10</v>
      </c>
      <c r="F12" s="203">
        <f>'Rainfall Max'!W9</f>
        <v>93</v>
      </c>
      <c r="G12" s="203">
        <f t="shared" si="10"/>
        <v>121</v>
      </c>
      <c r="H12" s="121">
        <f t="shared" si="11"/>
        <v>4.371900826446292</v>
      </c>
      <c r="I12" s="69"/>
      <c r="K12" s="68"/>
      <c r="L12" s="36">
        <v>6</v>
      </c>
      <c r="M12" s="57">
        <f t="shared" si="12"/>
        <v>0.5</v>
      </c>
      <c r="N12" s="57">
        <f t="shared" si="13"/>
        <v>2</v>
      </c>
      <c r="O12" s="79">
        <f t="shared" si="14"/>
        <v>0.36651292058166435</v>
      </c>
      <c r="P12" s="203">
        <f t="shared" si="15"/>
        <v>121</v>
      </c>
      <c r="Q12" s="200">
        <f t="shared" si="16"/>
        <v>119.13670505165257</v>
      </c>
      <c r="R12" s="58">
        <f t="shared" si="17"/>
        <v>1.539913180452422</v>
      </c>
      <c r="S12" s="82"/>
      <c r="T12" s="82"/>
      <c r="V12" s="36">
        <f t="shared" si="18"/>
        <v>6</v>
      </c>
      <c r="W12" s="79">
        <f t="shared" si="19"/>
        <v>0.5</v>
      </c>
      <c r="X12" s="79">
        <f t="shared" si="20"/>
        <v>2</v>
      </c>
      <c r="Y12" s="79">
        <f t="shared" si="21"/>
        <v>0.36651292058166435</v>
      </c>
      <c r="Z12" s="200">
        <f t="shared" si="22"/>
        <v>121</v>
      </c>
      <c r="AA12" s="203">
        <f t="shared" si="23"/>
        <v>119.13670505165257</v>
      </c>
      <c r="AB12" s="58">
        <f t="shared" si="24"/>
        <v>3.4718680645370541</v>
      </c>
      <c r="AD12" s="69"/>
    </row>
    <row r="13" spans="1:30" x14ac:dyDescent="0.3">
      <c r="B13" s="68"/>
      <c r="C13" s="36">
        <v>7</v>
      </c>
      <c r="D13" s="35">
        <f>'Rainfall Max'!V10</f>
        <v>2020</v>
      </c>
      <c r="E13" s="38">
        <f t="shared" si="9"/>
        <v>8</v>
      </c>
      <c r="F13" s="203">
        <f>'Rainfall Max'!W10</f>
        <v>106</v>
      </c>
      <c r="G13" s="203">
        <f t="shared" si="10"/>
        <v>119</v>
      </c>
      <c r="H13" s="121">
        <f t="shared" si="11"/>
        <v>16.735537190082667</v>
      </c>
      <c r="I13" s="69"/>
      <c r="K13" s="68"/>
      <c r="L13" s="36">
        <v>7</v>
      </c>
      <c r="M13" s="57">
        <f t="shared" si="12"/>
        <v>0.58333333333333337</v>
      </c>
      <c r="N13" s="57">
        <f t="shared" si="13"/>
        <v>1.7142857142857142</v>
      </c>
      <c r="O13" s="79">
        <f t="shared" si="14"/>
        <v>0.13299583622742608</v>
      </c>
      <c r="P13" s="203">
        <f t="shared" si="15"/>
        <v>119</v>
      </c>
      <c r="Q13" s="200">
        <f t="shared" si="16"/>
        <v>112.19858452015851</v>
      </c>
      <c r="R13" s="58">
        <f t="shared" si="17"/>
        <v>5.7154751931441137</v>
      </c>
      <c r="S13" s="82"/>
      <c r="T13" s="82"/>
      <c r="V13" s="36">
        <f t="shared" si="18"/>
        <v>7</v>
      </c>
      <c r="W13" s="79">
        <f t="shared" si="19"/>
        <v>0.58333333333333337</v>
      </c>
      <c r="X13" s="79">
        <f t="shared" si="20"/>
        <v>1.7142857142857142</v>
      </c>
      <c r="Y13" s="79">
        <f t="shared" si="21"/>
        <v>0.13299583622742608</v>
      </c>
      <c r="Z13" s="200">
        <f t="shared" si="22"/>
        <v>119</v>
      </c>
      <c r="AA13" s="203">
        <f t="shared" si="23"/>
        <v>112.19858452015851</v>
      </c>
      <c r="AB13" s="58">
        <f t="shared" si="24"/>
        <v>46.259252529427513</v>
      </c>
      <c r="AD13" s="69"/>
    </row>
    <row r="14" spans="1:30" x14ac:dyDescent="0.3">
      <c r="B14" s="68"/>
      <c r="C14" s="36">
        <v>8</v>
      </c>
      <c r="D14" s="35">
        <f>'Rainfall Max'!V11</f>
        <v>2021</v>
      </c>
      <c r="E14" s="38">
        <f t="shared" si="9"/>
        <v>2</v>
      </c>
      <c r="F14" s="203">
        <f>'Rainfall Max'!W11</f>
        <v>155</v>
      </c>
      <c r="G14" s="203">
        <f t="shared" si="10"/>
        <v>106</v>
      </c>
      <c r="H14" s="121">
        <f t="shared" si="11"/>
        <v>292.09917355371908</v>
      </c>
      <c r="I14" s="69"/>
      <c r="K14" s="68"/>
      <c r="L14" s="36">
        <v>8</v>
      </c>
      <c r="M14" s="57">
        <f t="shared" si="12"/>
        <v>0.66666666666666663</v>
      </c>
      <c r="N14" s="57">
        <f t="shared" si="13"/>
        <v>1.5</v>
      </c>
      <c r="O14" s="79">
        <f t="shared" si="14"/>
        <v>-9.4047827616699095E-2</v>
      </c>
      <c r="P14" s="203">
        <f t="shared" si="15"/>
        <v>106</v>
      </c>
      <c r="Q14" s="200">
        <f t="shared" si="16"/>
        <v>105.45279840340078</v>
      </c>
      <c r="R14" s="58">
        <f t="shared" si="17"/>
        <v>0.51622792132002149</v>
      </c>
      <c r="S14" s="82"/>
      <c r="T14" s="82"/>
      <c r="V14" s="36">
        <f t="shared" si="18"/>
        <v>8</v>
      </c>
      <c r="W14" s="79">
        <f t="shared" si="19"/>
        <v>0.66666666666666663</v>
      </c>
      <c r="X14" s="79">
        <f t="shared" si="20"/>
        <v>1.5</v>
      </c>
      <c r="Y14" s="79">
        <f t="shared" si="21"/>
        <v>-9.4047827616699095E-2</v>
      </c>
      <c r="Z14" s="200">
        <f t="shared" si="22"/>
        <v>106</v>
      </c>
      <c r="AA14" s="203">
        <f t="shared" si="23"/>
        <v>105.45279840340078</v>
      </c>
      <c r="AB14" s="58">
        <f t="shared" si="24"/>
        <v>0.29942958732073849</v>
      </c>
      <c r="AD14" s="69"/>
    </row>
    <row r="15" spans="1:30" x14ac:dyDescent="0.3">
      <c r="B15" s="68"/>
      <c r="C15" s="36">
        <v>9</v>
      </c>
      <c r="D15" s="35">
        <f>'Rainfall Max'!V12</f>
        <v>2022</v>
      </c>
      <c r="E15" s="38">
        <f t="shared" si="9"/>
        <v>5</v>
      </c>
      <c r="F15" s="203">
        <f>'Rainfall Max'!W12</f>
        <v>134</v>
      </c>
      <c r="G15" s="203">
        <f t="shared" si="10"/>
        <v>100</v>
      </c>
      <c r="H15" s="121">
        <f t="shared" si="11"/>
        <v>533.19008264462821</v>
      </c>
      <c r="I15" s="69"/>
      <c r="K15" s="68"/>
      <c r="L15" s="36">
        <v>9</v>
      </c>
      <c r="M15" s="57">
        <f t="shared" si="12"/>
        <v>0.75</v>
      </c>
      <c r="N15" s="57">
        <f t="shared" si="13"/>
        <v>1.3333333333333333</v>
      </c>
      <c r="O15" s="79">
        <f t="shared" si="14"/>
        <v>-0.32663425997828111</v>
      </c>
      <c r="P15" s="203">
        <f t="shared" si="15"/>
        <v>100</v>
      </c>
      <c r="Q15" s="200">
        <f t="shared" si="16"/>
        <v>98.542328849631872</v>
      </c>
      <c r="R15" s="58">
        <f t="shared" si="17"/>
        <v>1.4576711503681281</v>
      </c>
      <c r="S15" s="82"/>
      <c r="T15" s="82"/>
      <c r="V15" s="36">
        <f t="shared" si="18"/>
        <v>9</v>
      </c>
      <c r="W15" s="79">
        <f t="shared" si="19"/>
        <v>0.75</v>
      </c>
      <c r="X15" s="79">
        <f t="shared" si="20"/>
        <v>1.3333333333333333</v>
      </c>
      <c r="Y15" s="79">
        <f t="shared" si="21"/>
        <v>-0.32663425997828111</v>
      </c>
      <c r="Z15" s="200">
        <f t="shared" si="22"/>
        <v>100</v>
      </c>
      <c r="AA15" s="203">
        <f t="shared" si="23"/>
        <v>98.542328849631872</v>
      </c>
      <c r="AB15" s="58">
        <f t="shared" si="24"/>
        <v>2.1248051826155421</v>
      </c>
      <c r="AD15" s="69"/>
    </row>
    <row r="16" spans="1:30" x14ac:dyDescent="0.3">
      <c r="B16" s="68"/>
      <c r="C16" s="36">
        <v>10</v>
      </c>
      <c r="D16" s="35">
        <f>'Rainfall Max'!V13</f>
        <v>2023</v>
      </c>
      <c r="E16" s="38">
        <f t="shared" si="9"/>
        <v>3</v>
      </c>
      <c r="F16" s="203">
        <f>'Rainfall Max'!W13</f>
        <v>141</v>
      </c>
      <c r="G16" s="203">
        <f t="shared" si="10"/>
        <v>93</v>
      </c>
      <c r="H16" s="121">
        <f t="shared" si="11"/>
        <v>905.46280991735557</v>
      </c>
      <c r="I16" s="69"/>
      <c r="K16" s="68"/>
      <c r="L16" s="36">
        <v>10</v>
      </c>
      <c r="M16" s="57">
        <f t="shared" si="12"/>
        <v>0.83333333333333337</v>
      </c>
      <c r="N16" s="57">
        <f t="shared" si="13"/>
        <v>1.2</v>
      </c>
      <c r="O16" s="79">
        <f t="shared" si="14"/>
        <v>-0.58319808078265944</v>
      </c>
      <c r="P16" s="203">
        <f t="shared" si="15"/>
        <v>93</v>
      </c>
      <c r="Q16" s="200">
        <f t="shared" si="16"/>
        <v>90.919457410978993</v>
      </c>
      <c r="R16" s="58">
        <f t="shared" si="17"/>
        <v>2.237142568839793</v>
      </c>
      <c r="S16" s="82"/>
      <c r="T16" s="82"/>
      <c r="V16" s="36">
        <f t="shared" si="18"/>
        <v>10</v>
      </c>
      <c r="W16" s="79">
        <f t="shared" si="19"/>
        <v>0.83333333333333337</v>
      </c>
      <c r="X16" s="79">
        <f t="shared" si="20"/>
        <v>1.2</v>
      </c>
      <c r="Y16" s="79">
        <f t="shared" si="21"/>
        <v>-0.58319808078265944</v>
      </c>
      <c r="Z16" s="200">
        <f t="shared" si="22"/>
        <v>93</v>
      </c>
      <c r="AA16" s="203">
        <f t="shared" si="23"/>
        <v>90.919457410978993</v>
      </c>
      <c r="AB16" s="58">
        <f t="shared" si="24"/>
        <v>4.3286574647302363</v>
      </c>
      <c r="AD16" s="69"/>
    </row>
    <row r="17" spans="2:30" x14ac:dyDescent="0.3">
      <c r="B17" s="68"/>
      <c r="C17" s="36">
        <v>11</v>
      </c>
      <c r="D17" s="35">
        <f>'Rainfall Max'!V14</f>
        <v>2024</v>
      </c>
      <c r="E17" s="38">
        <f t="shared" si="9"/>
        <v>1</v>
      </c>
      <c r="F17" s="203">
        <f>'Rainfall Max'!W14</f>
        <v>172</v>
      </c>
      <c r="G17" s="203">
        <f t="shared" si="10"/>
        <v>74</v>
      </c>
      <c r="H17" s="121">
        <f t="shared" si="11"/>
        <v>2409.9173553719011</v>
      </c>
      <c r="I17" s="69"/>
      <c r="K17" s="68"/>
      <c r="L17" s="36">
        <v>11</v>
      </c>
      <c r="M17" s="57">
        <f t="shared" si="12"/>
        <v>0.91666666666666663</v>
      </c>
      <c r="N17" s="57">
        <f t="shared" si="13"/>
        <v>1.0909090909090911</v>
      </c>
      <c r="O17" s="79">
        <f t="shared" si="14"/>
        <v>-0.91023509336532549</v>
      </c>
      <c r="P17" s="203">
        <f t="shared" si="15"/>
        <v>74</v>
      </c>
      <c r="Q17" s="200">
        <f t="shared" si="16"/>
        <v>81.202728470854652</v>
      </c>
      <c r="R17" s="58">
        <f t="shared" si="17"/>
        <v>9.7334168525062861</v>
      </c>
      <c r="S17" s="82"/>
      <c r="T17" s="82"/>
      <c r="V17" s="36">
        <f t="shared" si="18"/>
        <v>11</v>
      </c>
      <c r="W17" s="79">
        <f t="shared" si="19"/>
        <v>0.91666666666666663</v>
      </c>
      <c r="X17" s="79">
        <f t="shared" si="20"/>
        <v>1.0909090909090911</v>
      </c>
      <c r="Y17" s="79">
        <f t="shared" si="21"/>
        <v>-0.91023509336532549</v>
      </c>
      <c r="Z17" s="200">
        <f t="shared" si="22"/>
        <v>74</v>
      </c>
      <c r="AA17" s="203">
        <f t="shared" si="23"/>
        <v>81.202728470854652</v>
      </c>
      <c r="AB17" s="58">
        <f t="shared" si="24"/>
        <v>51.879297424860191</v>
      </c>
      <c r="AD17" s="69"/>
    </row>
    <row r="18" spans="2:30" ht="15" thickBot="1" x14ac:dyDescent="0.35">
      <c r="B18" s="68"/>
      <c r="C18" s="42"/>
      <c r="D18" s="43"/>
      <c r="E18" s="43"/>
      <c r="F18" s="43"/>
      <c r="G18" s="43"/>
      <c r="H18" s="121"/>
      <c r="I18" s="69"/>
      <c r="K18" s="68"/>
      <c r="L18" s="42"/>
      <c r="M18" s="78"/>
      <c r="N18" s="78"/>
      <c r="O18" s="126"/>
      <c r="P18" s="43"/>
      <c r="Q18" s="126"/>
      <c r="R18" s="59"/>
      <c r="S18" s="82"/>
      <c r="T18" s="82"/>
      <c r="V18" s="42"/>
      <c r="W18" s="78"/>
      <c r="X18" s="78"/>
      <c r="Y18" s="126"/>
      <c r="Z18" s="43"/>
      <c r="AA18" s="78"/>
      <c r="AB18" s="59"/>
      <c r="AD18" s="69"/>
    </row>
    <row r="19" spans="2:30" x14ac:dyDescent="0.3">
      <c r="B19" s="68"/>
      <c r="I19" s="69"/>
      <c r="K19" s="68"/>
      <c r="AD19" s="69"/>
    </row>
    <row r="20" spans="2:30" x14ac:dyDescent="0.3">
      <c r="B20" s="68"/>
      <c r="C20" s="880" t="s">
        <v>17</v>
      </c>
      <c r="D20" s="881"/>
      <c r="E20" s="882"/>
      <c r="F20" s="56" t="s">
        <v>20</v>
      </c>
      <c r="G20" s="38">
        <f>COUNT(D7:D18)</f>
        <v>11</v>
      </c>
      <c r="I20" s="69"/>
      <c r="K20" s="68"/>
      <c r="M20" s="855" t="s">
        <v>37</v>
      </c>
      <c r="N20" s="855"/>
      <c r="O20" s="855"/>
      <c r="P20" s="855"/>
      <c r="Q20" s="855"/>
      <c r="R20" s="80">
        <f>SUM(R7:R18)</f>
        <v>40.142102734092894</v>
      </c>
      <c r="S20" s="85"/>
      <c r="T20" s="85"/>
      <c r="V20" s="856" t="s">
        <v>39</v>
      </c>
      <c r="W20" s="856"/>
      <c r="X20" s="856"/>
      <c r="Y20" s="856"/>
      <c r="Z20" s="856"/>
      <c r="AA20" s="856"/>
      <c r="AB20" s="83">
        <f>SUM(AB7:AB18)</f>
        <v>288.50924846989227</v>
      </c>
      <c r="AD20" s="69"/>
    </row>
    <row r="21" spans="2:30" x14ac:dyDescent="0.3">
      <c r="B21" s="68"/>
      <c r="C21" s="880" t="s">
        <v>18</v>
      </c>
      <c r="D21" s="881"/>
      <c r="E21" s="882"/>
      <c r="F21" s="64" t="s">
        <v>21</v>
      </c>
      <c r="G21" s="57">
        <f>AVERAGE(F7:F17)</f>
        <v>123.09090909090909</v>
      </c>
      <c r="I21" s="69"/>
      <c r="K21" s="68"/>
      <c r="M21" s="855" t="s">
        <v>17</v>
      </c>
      <c r="N21" s="855"/>
      <c r="O21" s="855"/>
      <c r="P21" s="855"/>
      <c r="Q21" s="855"/>
      <c r="R21" s="81">
        <f>COUNT(P7:P18)</f>
        <v>11</v>
      </c>
      <c r="S21" s="85"/>
      <c r="T21" s="85"/>
      <c r="V21" s="856" t="s">
        <v>17</v>
      </c>
      <c r="W21" s="856"/>
      <c r="X21" s="856"/>
      <c r="Y21" s="856"/>
      <c r="Z21" s="856"/>
      <c r="AA21" s="856"/>
      <c r="AB21" s="84">
        <f>COUNT(Z7:Z18)</f>
        <v>11</v>
      </c>
      <c r="AD21" s="69"/>
    </row>
    <row r="22" spans="2:30" x14ac:dyDescent="0.3">
      <c r="B22" s="68"/>
      <c r="C22" s="880" t="s">
        <v>19</v>
      </c>
      <c r="D22" s="881"/>
      <c r="E22" s="882"/>
      <c r="F22" s="56" t="s">
        <v>62</v>
      </c>
      <c r="G22" s="57">
        <f>_xlfn.STDEV.S(F7:F17)</f>
        <v>28.748754913750766</v>
      </c>
      <c r="I22" s="69"/>
      <c r="K22" s="68"/>
      <c r="M22" s="855" t="s">
        <v>40</v>
      </c>
      <c r="N22" s="855"/>
      <c r="O22" s="855"/>
      <c r="P22" s="855"/>
      <c r="Q22" s="855"/>
      <c r="R22" s="80">
        <f>R20/R21</f>
        <v>3.6492820667357178</v>
      </c>
      <c r="S22" s="86"/>
      <c r="T22" s="86"/>
      <c r="V22" s="856" t="s">
        <v>41</v>
      </c>
      <c r="W22" s="856"/>
      <c r="X22" s="856"/>
      <c r="Y22" s="856"/>
      <c r="Z22" s="856"/>
      <c r="AA22" s="856"/>
      <c r="AB22" s="83">
        <f>(AB20/(AB21-1))^0.5</f>
        <v>5.3713056929380985</v>
      </c>
      <c r="AD22" s="69"/>
    </row>
    <row r="23" spans="2:30" ht="15.6" x14ac:dyDescent="0.35">
      <c r="B23" s="68"/>
      <c r="C23" s="880" t="s">
        <v>124</v>
      </c>
      <c r="D23" s="881"/>
      <c r="E23" s="882"/>
      <c r="F23" s="56" t="s">
        <v>128</v>
      </c>
      <c r="G23" s="203">
        <f>MAX(G7:G17)</f>
        <v>172</v>
      </c>
      <c r="I23" s="69"/>
      <c r="K23" s="68"/>
      <c r="M23" s="120"/>
      <c r="N23" s="120"/>
      <c r="O23" s="120"/>
      <c r="P23" s="120"/>
      <c r="Q23" s="120"/>
      <c r="R23" s="86"/>
      <c r="S23" s="86"/>
      <c r="T23" s="86"/>
      <c r="V23" s="86"/>
      <c r="W23" s="86"/>
      <c r="X23" s="86"/>
      <c r="Y23" s="86"/>
      <c r="Z23" s="86"/>
      <c r="AA23" s="86"/>
      <c r="AB23" s="86"/>
      <c r="AD23" s="69"/>
    </row>
    <row r="24" spans="2:30" ht="15.6" x14ac:dyDescent="0.35">
      <c r="B24" s="68"/>
      <c r="C24" s="880" t="s">
        <v>127</v>
      </c>
      <c r="D24" s="881"/>
      <c r="E24" s="882"/>
      <c r="F24" s="56" t="s">
        <v>129</v>
      </c>
      <c r="G24" s="203">
        <f>MIN(G7:G17)</f>
        <v>74</v>
      </c>
      <c r="I24" s="69"/>
      <c r="K24" s="68"/>
      <c r="S24" s="86"/>
      <c r="T24" s="86"/>
      <c r="AD24" s="69"/>
    </row>
    <row r="25" spans="2:30" ht="16.2" thickBot="1" x14ac:dyDescent="0.4">
      <c r="B25" s="68"/>
      <c r="C25" s="880" t="s">
        <v>55</v>
      </c>
      <c r="D25" s="881"/>
      <c r="E25" s="882"/>
      <c r="F25" s="56" t="s">
        <v>56</v>
      </c>
      <c r="G25" s="203">
        <f>SUM(F7:F17)</f>
        <v>1354</v>
      </c>
      <c r="I25" s="69"/>
      <c r="K25" s="68"/>
      <c r="M25" s="120"/>
      <c r="N25" s="120"/>
      <c r="O25" s="120"/>
      <c r="P25" s="120"/>
      <c r="Q25" s="120"/>
      <c r="R25" s="86"/>
      <c r="S25" s="86"/>
      <c r="T25" s="86"/>
      <c r="V25" s="86"/>
      <c r="W25" s="86"/>
      <c r="X25" s="86"/>
      <c r="Y25" s="86"/>
      <c r="Z25" s="86"/>
      <c r="AA25" s="86"/>
      <c r="AB25" s="86"/>
      <c r="AD25" s="69"/>
    </row>
    <row r="26" spans="2:30" ht="36" customHeight="1" x14ac:dyDescent="0.3">
      <c r="B26" s="68"/>
      <c r="C26" s="877" t="s">
        <v>57</v>
      </c>
      <c r="D26" s="878"/>
      <c r="E26" s="879"/>
      <c r="F26" s="122" t="s">
        <v>58</v>
      </c>
      <c r="G26" s="123">
        <f>SUM(H7:H17)</f>
        <v>8264.9090909090919</v>
      </c>
      <c r="I26" s="69"/>
      <c r="K26" s="68"/>
      <c r="L26" s="864" t="s">
        <v>188</v>
      </c>
      <c r="M26" s="865"/>
      <c r="N26" s="865"/>
      <c r="O26" s="865"/>
      <c r="P26" s="865"/>
      <c r="Q26" s="865"/>
      <c r="R26" s="865"/>
      <c r="S26" s="866"/>
      <c r="T26" s="68"/>
      <c r="U26" s="69"/>
      <c r="V26" s="864" t="s">
        <v>113</v>
      </c>
      <c r="W26" s="865"/>
      <c r="X26" s="865"/>
      <c r="Y26" s="865"/>
      <c r="Z26" s="865"/>
      <c r="AA26" s="865"/>
      <c r="AB26" s="865"/>
      <c r="AC26" s="866"/>
      <c r="AD26" s="69"/>
    </row>
    <row r="27" spans="2:30" x14ac:dyDescent="0.3">
      <c r="B27" s="68"/>
      <c r="C27" s="880" t="s">
        <v>59</v>
      </c>
      <c r="D27" s="881"/>
      <c r="E27" s="882"/>
      <c r="F27" s="124" t="s">
        <v>50</v>
      </c>
      <c r="G27" s="125">
        <f>VLOOKUP(11,'Tabel Yn &amp; Sn Gumbel'!$M$7:$O$52,2,FALSE)</f>
        <v>0.49959999999999999</v>
      </c>
      <c r="I27" s="69"/>
      <c r="K27" s="68"/>
      <c r="L27" s="867" t="s">
        <v>53</v>
      </c>
      <c r="M27" s="868"/>
      <c r="N27" s="868"/>
      <c r="O27" s="868"/>
      <c r="P27" s="868"/>
      <c r="Q27" s="868"/>
      <c r="R27" s="868"/>
      <c r="S27" s="869"/>
      <c r="T27" s="74"/>
      <c r="U27" s="74"/>
      <c r="V27" s="867" t="s">
        <v>16</v>
      </c>
      <c r="W27" s="868"/>
      <c r="X27" s="868"/>
      <c r="Y27" s="868"/>
      <c r="Z27" s="868"/>
      <c r="AA27" s="868"/>
      <c r="AB27" s="868"/>
      <c r="AC27" s="869"/>
      <c r="AD27" s="69"/>
    </row>
    <row r="28" spans="2:30" ht="16.2" thickBot="1" x14ac:dyDescent="0.4">
      <c r="B28" s="68"/>
      <c r="C28" s="880" t="s">
        <v>60</v>
      </c>
      <c r="D28" s="881"/>
      <c r="E28" s="882"/>
      <c r="F28" s="124" t="s">
        <v>51</v>
      </c>
      <c r="G28" s="125">
        <f>VLOOKUP(11,'Tabel Yn &amp; Sn Gumbel'!$M$7:$O$52,3,FALSE)</f>
        <v>0.96760000000000002</v>
      </c>
      <c r="I28" s="69"/>
      <c r="K28" s="68"/>
      <c r="L28" s="53" t="s">
        <v>21</v>
      </c>
      <c r="M28" s="54" t="s">
        <v>26</v>
      </c>
      <c r="N28" s="54" t="s">
        <v>201</v>
      </c>
      <c r="O28" s="54" t="s">
        <v>182</v>
      </c>
      <c r="P28" s="54" t="s">
        <v>183</v>
      </c>
      <c r="Q28" s="54" t="s">
        <v>184</v>
      </c>
      <c r="R28" s="54" t="s">
        <v>185</v>
      </c>
      <c r="S28" s="55" t="s">
        <v>186</v>
      </c>
      <c r="T28" s="74"/>
      <c r="U28" s="74"/>
      <c r="V28" s="215"/>
      <c r="AC28" s="69"/>
      <c r="AD28" s="69"/>
    </row>
    <row r="29" spans="2:30" ht="15.6" thickTop="1" thickBot="1" x14ac:dyDescent="0.35">
      <c r="B29" s="68"/>
      <c r="I29" s="69"/>
      <c r="K29" s="68"/>
      <c r="L29" s="36">
        <f>L7</f>
        <v>1</v>
      </c>
      <c r="M29" s="57">
        <f t="shared" ref="M29:M32" si="25">L29/($G$20+1)</f>
        <v>8.3333333333333329E-2</v>
      </c>
      <c r="N29" s="203">
        <f>G7</f>
        <v>172</v>
      </c>
      <c r="O29" s="169">
        <f t="shared" ref="O29:O32" si="26">$L$29-M29</f>
        <v>0.91666666666666663</v>
      </c>
      <c r="P29" s="163">
        <f t="shared" ref="P29:P39" si="27">(N29-AVERAGE($G$7:$G$18))/_xlfn.STDEV.S($G$7:$G$18)</f>
        <v>1.7012594477855905</v>
      </c>
      <c r="Q29" s="163">
        <f t="shared" ref="Q29:Q39" si="28">1-_xlfn.NORM.DIST(N29,AVERAGE($G$7:$G$18),_xlfn.STDEV.S($G$7:$G$18),TRUE)</f>
        <v>4.4447139601364927E-2</v>
      </c>
      <c r="R29" s="169">
        <f t="shared" ref="R29:R39" si="29">$L$29-Q29</f>
        <v>0.95555286039863507</v>
      </c>
      <c r="S29" s="306">
        <f t="shared" ref="S29:S39" si="30">ABS(R29-O29)</f>
        <v>3.8886193731968444E-2</v>
      </c>
      <c r="T29" s="74"/>
      <c r="U29" s="74"/>
      <c r="V29" s="870" t="s">
        <v>135</v>
      </c>
      <c r="W29" s="871"/>
      <c r="X29" s="208" t="s">
        <v>130</v>
      </c>
      <c r="Y29" s="290">
        <f>ROUNDUP(1+1.33*LN(G20),0)</f>
        <v>5</v>
      </c>
      <c r="Z29" s="872" t="s">
        <v>133</v>
      </c>
      <c r="AA29" s="871"/>
      <c r="AB29" s="208" t="s">
        <v>118</v>
      </c>
      <c r="AC29" s="231">
        <f>G20/Y29</f>
        <v>2.2000000000000002</v>
      </c>
      <c r="AD29" s="69"/>
    </row>
    <row r="30" spans="2:30" ht="16.2" thickBot="1" x14ac:dyDescent="0.4">
      <c r="B30" s="68"/>
      <c r="D30" s="61" t="s">
        <v>23</v>
      </c>
      <c r="E30" s="62" t="s">
        <v>25</v>
      </c>
      <c r="F30" s="63" t="s">
        <v>203</v>
      </c>
      <c r="I30" s="69"/>
      <c r="K30" s="68"/>
      <c r="L30" s="36">
        <v>2</v>
      </c>
      <c r="M30" s="57">
        <f t="shared" si="25"/>
        <v>0.16666666666666666</v>
      </c>
      <c r="N30" s="203">
        <f t="shared" ref="N30:N39" si="31">G8</f>
        <v>155</v>
      </c>
      <c r="O30" s="169">
        <f t="shared" si="26"/>
        <v>0.83333333333333337</v>
      </c>
      <c r="P30" s="163">
        <f t="shared" si="27"/>
        <v>1.1099294910274018</v>
      </c>
      <c r="Q30" s="163">
        <f t="shared" si="28"/>
        <v>0.13351470557086464</v>
      </c>
      <c r="R30" s="169">
        <f t="shared" si="29"/>
        <v>0.86648529442913536</v>
      </c>
      <c r="S30" s="306">
        <f t="shared" si="30"/>
        <v>3.3151961095801985E-2</v>
      </c>
      <c r="T30" s="74"/>
      <c r="U30" s="74"/>
      <c r="V30" s="870" t="s">
        <v>134</v>
      </c>
      <c r="W30" s="871"/>
      <c r="X30" s="208" t="s">
        <v>131</v>
      </c>
      <c r="Y30" s="385">
        <f>Y29-(2+1)</f>
        <v>2</v>
      </c>
      <c r="Z30" s="229" t="s">
        <v>138</v>
      </c>
      <c r="AA30" s="230"/>
      <c r="AB30" s="208" t="s">
        <v>137</v>
      </c>
      <c r="AC30" s="41">
        <f>ROUND((G23-G24)/(Y29-1),0)</f>
        <v>25</v>
      </c>
      <c r="AD30" s="69"/>
    </row>
    <row r="31" spans="2:30" ht="16.2" thickTop="1" x14ac:dyDescent="0.35">
      <c r="B31" s="68"/>
      <c r="D31" s="36">
        <v>2</v>
      </c>
      <c r="E31" s="79">
        <f>-LN(LN(D31/(D31-1)))</f>
        <v>0.36651292058166435</v>
      </c>
      <c r="F31" s="60">
        <f>$G$21+(((E31-$G$27)/$G$28)*$G$22)</f>
        <v>119.13670505165257</v>
      </c>
      <c r="I31" s="69"/>
      <c r="K31" s="68"/>
      <c r="L31" s="36">
        <v>3</v>
      </c>
      <c r="M31" s="57">
        <f t="shared" si="25"/>
        <v>0.25</v>
      </c>
      <c r="N31" s="203">
        <f t="shared" si="31"/>
        <v>141</v>
      </c>
      <c r="O31" s="169">
        <f t="shared" si="26"/>
        <v>0.75</v>
      </c>
      <c r="P31" s="163">
        <f t="shared" si="27"/>
        <v>0.62295187957948195</v>
      </c>
      <c r="Q31" s="163">
        <f t="shared" si="28"/>
        <v>0.26665807212059844</v>
      </c>
      <c r="R31" s="169">
        <f t="shared" si="29"/>
        <v>0.73334192787940156</v>
      </c>
      <c r="S31" s="306">
        <f t="shared" si="30"/>
        <v>1.6658072120598444E-2</v>
      </c>
      <c r="T31" s="74"/>
      <c r="U31" s="74"/>
      <c r="V31" s="873" t="s">
        <v>144</v>
      </c>
      <c r="W31" s="874"/>
      <c r="X31" s="289">
        <v>0.05</v>
      </c>
      <c r="Y31" s="232">
        <f>IF(X31='Tabel Alfa Chi Square'!C5,2,IF(X31='Tabel Alfa Chi Square'!D5,3,IF(X31='Tabel Alfa Chi Square'!E5,4,IF(X31='Tabel Alfa Chi Square'!F5,5,IF(X31='Tabel Alfa Chi Square'!G5,6,IF(X31='Tabel Alfa Chi Square'!H5,7,IF(X31='Tabel Alfa Chi Square'!I5,8,IF(X31='Tabel Alfa Chi Square'!J5,9))))))))</f>
        <v>6</v>
      </c>
      <c r="Z31" s="229" t="s">
        <v>139</v>
      </c>
      <c r="AA31" s="230"/>
      <c r="AB31" s="208" t="s">
        <v>125</v>
      </c>
      <c r="AC31" s="41">
        <f>ROUND(G24-0.5*AC30,0)</f>
        <v>62</v>
      </c>
      <c r="AD31" s="69"/>
    </row>
    <row r="32" spans="2:30" ht="15.6" x14ac:dyDescent="0.35">
      <c r="B32" s="68"/>
      <c r="D32" s="40">
        <v>5</v>
      </c>
      <c r="E32" s="79">
        <f t="shared" ref="E32:E38" si="32">-LN(LN(D32/(D32-1)))</f>
        <v>1.4999399867595156</v>
      </c>
      <c r="F32" s="60">
        <f t="shared" ref="F32:F38" si="33">$G$21+(((E32-$G$27)/$G$28)*$G$22)</f>
        <v>152.81241499187436</v>
      </c>
      <c r="I32" s="69"/>
      <c r="K32" s="68"/>
      <c r="L32" s="36">
        <v>4</v>
      </c>
      <c r="M32" s="57">
        <f t="shared" si="25"/>
        <v>0.33333333333333331</v>
      </c>
      <c r="N32" s="203">
        <f t="shared" si="31"/>
        <v>139</v>
      </c>
      <c r="O32" s="169">
        <f t="shared" si="26"/>
        <v>0.66666666666666674</v>
      </c>
      <c r="P32" s="163">
        <f t="shared" si="27"/>
        <v>0.55338364937263618</v>
      </c>
      <c r="Q32" s="163">
        <f t="shared" si="28"/>
        <v>0.29000036632811244</v>
      </c>
      <c r="R32" s="169">
        <f t="shared" si="29"/>
        <v>0.70999963367188756</v>
      </c>
      <c r="S32" s="306">
        <f t="shared" si="30"/>
        <v>4.3332967005220824E-2</v>
      </c>
      <c r="T32" s="74"/>
      <c r="U32" s="74"/>
      <c r="V32" s="870" t="s">
        <v>132</v>
      </c>
      <c r="W32" s="871"/>
      <c r="X32" s="204" t="s">
        <v>112</v>
      </c>
      <c r="Y32" s="38">
        <f>VLOOKUP(Y30,'Tabel Alfa Chi Square'!$B$7:$J$36,Y31,FALSE)</f>
        <v>5.9909999999999997</v>
      </c>
      <c r="Z32" s="229" t="s">
        <v>140</v>
      </c>
      <c r="AA32" s="230"/>
      <c r="AB32" s="208" t="s">
        <v>126</v>
      </c>
      <c r="AC32" s="41">
        <f>ROUND(G23+0.5*AC30,0)</f>
        <v>185</v>
      </c>
      <c r="AD32" s="69"/>
    </row>
    <row r="33" spans="2:30" x14ac:dyDescent="0.3">
      <c r="B33" s="68"/>
      <c r="D33" s="40">
        <v>10</v>
      </c>
      <c r="E33" s="79">
        <f t="shared" si="32"/>
        <v>2.2503673273124449</v>
      </c>
      <c r="F33" s="60">
        <f t="shared" si="33"/>
        <v>175.10866519250885</v>
      </c>
      <c r="I33" s="69"/>
      <c r="K33" s="68"/>
      <c r="L33" s="36">
        <v>5</v>
      </c>
      <c r="M33" s="57">
        <f t="shared" ref="M33:M39" si="34">L33/($G$20+1)</f>
        <v>0.41666666666666669</v>
      </c>
      <c r="N33" s="203">
        <f t="shared" si="31"/>
        <v>134</v>
      </c>
      <c r="O33" s="169">
        <f t="shared" ref="O33:O39" si="35">$L$29-M33</f>
        <v>0.58333333333333326</v>
      </c>
      <c r="P33" s="163">
        <f t="shared" si="27"/>
        <v>0.37946307385552197</v>
      </c>
      <c r="Q33" s="163">
        <f t="shared" si="28"/>
        <v>0.3521720101190644</v>
      </c>
      <c r="R33" s="169">
        <f t="shared" si="29"/>
        <v>0.6478279898809356</v>
      </c>
      <c r="S33" s="306">
        <f t="shared" si="30"/>
        <v>6.4494656547602336E-2</v>
      </c>
      <c r="T33" s="74"/>
      <c r="U33" s="74"/>
      <c r="V33" s="68"/>
      <c r="AC33" s="69"/>
      <c r="AD33" s="69"/>
    </row>
    <row r="34" spans="2:30" ht="16.8" thickBot="1" x14ac:dyDescent="0.35">
      <c r="B34" s="68"/>
      <c r="D34" s="782">
        <v>25</v>
      </c>
      <c r="E34" s="783">
        <f t="shared" si="32"/>
        <v>3.198534261445384</v>
      </c>
      <c r="F34" s="784">
        <f>$G$21+(((E34-$G$27)/$G$28)*$G$22)</f>
        <v>203.28003642722399</v>
      </c>
      <c r="G34" s="1">
        <f>(F34/24) * (24/1)^0.66667</f>
        <v>70.473999116866821</v>
      </c>
      <c r="I34" s="69"/>
      <c r="K34" s="68"/>
      <c r="L34" s="36">
        <v>6</v>
      </c>
      <c r="M34" s="57">
        <f t="shared" si="34"/>
        <v>0.5</v>
      </c>
      <c r="N34" s="203">
        <f t="shared" si="31"/>
        <v>121</v>
      </c>
      <c r="O34" s="169">
        <f t="shared" si="35"/>
        <v>0.5</v>
      </c>
      <c r="P34" s="163">
        <f t="shared" si="27"/>
        <v>-7.2730422488975155E-2</v>
      </c>
      <c r="Q34" s="163">
        <f t="shared" si="28"/>
        <v>0.52898968049735573</v>
      </c>
      <c r="R34" s="169">
        <f t="shared" si="29"/>
        <v>0.47101031950264427</v>
      </c>
      <c r="S34" s="306">
        <f t="shared" si="30"/>
        <v>2.898968049735573E-2</v>
      </c>
      <c r="T34" s="74"/>
      <c r="U34" s="74"/>
      <c r="V34" s="216" t="s">
        <v>114</v>
      </c>
      <c r="W34" s="214" t="s">
        <v>115</v>
      </c>
      <c r="X34" s="214" t="s">
        <v>116</v>
      </c>
      <c r="Y34" s="214" t="s">
        <v>117</v>
      </c>
      <c r="Z34" s="214" t="s">
        <v>118</v>
      </c>
      <c r="AA34" s="214" t="s">
        <v>119</v>
      </c>
      <c r="AB34" s="214" t="s">
        <v>120</v>
      </c>
      <c r="AC34" s="217" t="s">
        <v>143</v>
      </c>
      <c r="AD34" s="69"/>
    </row>
    <row r="35" spans="2:30" ht="15" thickTop="1" x14ac:dyDescent="0.3">
      <c r="B35" s="68"/>
      <c r="D35" s="40">
        <v>50</v>
      </c>
      <c r="E35" s="79">
        <f t="shared" si="32"/>
        <v>3.9019386579358333</v>
      </c>
      <c r="F35" s="60">
        <f>$G$21+(((E35-$G$27)/$G$28)*$G$22)</f>
        <v>224.1791689199469</v>
      </c>
      <c r="I35" s="69"/>
      <c r="K35" s="68"/>
      <c r="L35" s="36">
        <v>7</v>
      </c>
      <c r="M35" s="57">
        <f t="shared" si="34"/>
        <v>0.58333333333333337</v>
      </c>
      <c r="N35" s="203">
        <f t="shared" si="31"/>
        <v>119</v>
      </c>
      <c r="O35" s="169">
        <f t="shared" si="35"/>
        <v>0.41666666666666663</v>
      </c>
      <c r="P35" s="163">
        <f t="shared" si="27"/>
        <v>-0.14229865269582084</v>
      </c>
      <c r="Q35" s="163">
        <f t="shared" si="28"/>
        <v>0.55657794465481514</v>
      </c>
      <c r="R35" s="169">
        <f t="shared" si="29"/>
        <v>0.44342205534518486</v>
      </c>
      <c r="S35" s="306">
        <f t="shared" si="30"/>
        <v>2.6755388678518233E-2</v>
      </c>
      <c r="T35" s="74"/>
      <c r="U35" s="74"/>
      <c r="V35" s="218">
        <v>1</v>
      </c>
      <c r="W35" s="211">
        <f>AC31</f>
        <v>62</v>
      </c>
      <c r="X35" s="211">
        <f>W35+AC30</f>
        <v>87</v>
      </c>
      <c r="Y35" s="211" t="str">
        <f>ROUND(W35,0)&amp;" &lt;= P &lt;= " &amp; ROUND(X35,0)</f>
        <v>62 &lt;= P &lt;= 87</v>
      </c>
      <c r="Z35" s="212">
        <f>$AC$29</f>
        <v>2.2000000000000002</v>
      </c>
      <c r="AA35" s="35">
        <f>COUNTIFS($F$7:$F$17,"&gt;=" &amp;W35,$F$7:$F$17,"&lt;=" &amp;X35)</f>
        <v>1</v>
      </c>
      <c r="AB35" s="213">
        <f>Z35-AA35</f>
        <v>1.2000000000000002</v>
      </c>
      <c r="AC35" s="219">
        <f>AB35^2/Z35</f>
        <v>0.65454545454545465</v>
      </c>
      <c r="AD35" s="69"/>
    </row>
    <row r="36" spans="2:30" x14ac:dyDescent="0.3">
      <c r="B36" s="68"/>
      <c r="D36" s="40">
        <v>100</v>
      </c>
      <c r="E36" s="79">
        <f t="shared" si="32"/>
        <v>4.6001492267765736</v>
      </c>
      <c r="F36" s="60">
        <f t="shared" si="33"/>
        <v>244.92398549889785</v>
      </c>
      <c r="I36" s="69"/>
      <c r="K36" s="68"/>
      <c r="L36" s="36">
        <v>8</v>
      </c>
      <c r="M36" s="57">
        <f t="shared" si="34"/>
        <v>0.66666666666666663</v>
      </c>
      <c r="N36" s="203">
        <f t="shared" si="31"/>
        <v>106</v>
      </c>
      <c r="O36" s="169">
        <f t="shared" si="35"/>
        <v>0.33333333333333337</v>
      </c>
      <c r="P36" s="163">
        <f t="shared" si="27"/>
        <v>-0.594492149040318</v>
      </c>
      <c r="Q36" s="163">
        <f t="shared" si="28"/>
        <v>0.72390850410764007</v>
      </c>
      <c r="R36" s="169">
        <f t="shared" si="29"/>
        <v>0.27609149589235993</v>
      </c>
      <c r="S36" s="306">
        <f t="shared" si="30"/>
        <v>5.7241837440973442E-2</v>
      </c>
      <c r="T36" s="74"/>
      <c r="U36" s="74"/>
      <c r="V36" s="220">
        <v>2</v>
      </c>
      <c r="W36" s="210">
        <f>X35</f>
        <v>87</v>
      </c>
      <c r="X36" s="210">
        <f>W36+$AC$30</f>
        <v>112</v>
      </c>
      <c r="Y36" s="210" t="str">
        <f>ROUND(W36,0)&amp;" &lt; P &lt;= " &amp; ROUND(X36,0)</f>
        <v>87 &lt; P &lt;= 112</v>
      </c>
      <c r="Z36" s="212">
        <f t="shared" ref="Z36:Z39" si="36">$AC$29</f>
        <v>2.2000000000000002</v>
      </c>
      <c r="AA36" s="38">
        <f>COUNTIFS($F$7:$F$17,"&gt;" &amp;W36,$F$7:$F$17,"&lt;=" &amp;X36)</f>
        <v>3</v>
      </c>
      <c r="AB36" s="123">
        <f t="shared" ref="AB36:AB39" si="37">Z36-AA36</f>
        <v>-0.79999999999999982</v>
      </c>
      <c r="AC36" s="221">
        <f t="shared" ref="AC36:AC39" si="38">AB36^2/Z36</f>
        <v>0.29090909090909073</v>
      </c>
      <c r="AD36" s="69"/>
    </row>
    <row r="37" spans="2:30" x14ac:dyDescent="0.3">
      <c r="B37" s="68"/>
      <c r="D37" s="40">
        <v>200</v>
      </c>
      <c r="E37" s="79">
        <f t="shared" si="32"/>
        <v>5.295812142535044</v>
      </c>
      <c r="F37" s="60">
        <f t="shared" si="33"/>
        <v>265.5931077268076</v>
      </c>
      <c r="I37" s="69"/>
      <c r="K37" s="68"/>
      <c r="L37" s="36">
        <v>9</v>
      </c>
      <c r="M37" s="57">
        <f t="shared" si="34"/>
        <v>0.75</v>
      </c>
      <c r="N37" s="203">
        <f t="shared" si="31"/>
        <v>100</v>
      </c>
      <c r="O37" s="169">
        <f t="shared" si="35"/>
        <v>0.25</v>
      </c>
      <c r="P37" s="163">
        <f t="shared" si="27"/>
        <v>-0.80319683966085509</v>
      </c>
      <c r="Q37" s="163">
        <f t="shared" si="28"/>
        <v>0.78906951406237769</v>
      </c>
      <c r="R37" s="169">
        <f t="shared" si="29"/>
        <v>0.21093048593762231</v>
      </c>
      <c r="S37" s="306">
        <f t="shared" si="30"/>
        <v>3.9069514062377686E-2</v>
      </c>
      <c r="T37" s="74"/>
      <c r="U37" s="74"/>
      <c r="V37" s="220">
        <v>3</v>
      </c>
      <c r="W37" s="210">
        <f t="shared" ref="W37:W39" si="39">X36</f>
        <v>112</v>
      </c>
      <c r="X37" s="210">
        <f t="shared" ref="X37:X39" si="40">W37+$AC$30</f>
        <v>137</v>
      </c>
      <c r="Y37" s="210" t="str">
        <f>ROUND(W37,0)&amp;" &lt; P &lt;= " &amp; ROUND(X37,0)</f>
        <v>112 &lt; P &lt;= 137</v>
      </c>
      <c r="Z37" s="212">
        <f t="shared" si="36"/>
        <v>2.2000000000000002</v>
      </c>
      <c r="AA37" s="38">
        <f>COUNTIFS($F$7:$F$17,"&gt;" &amp;W37,$F$7:$F$17,"&lt;=" &amp;X37)</f>
        <v>3</v>
      </c>
      <c r="AB37" s="123">
        <f t="shared" si="37"/>
        <v>-0.79999999999999982</v>
      </c>
      <c r="AC37" s="221">
        <f t="shared" si="38"/>
        <v>0.29090909090909073</v>
      </c>
      <c r="AD37" s="69"/>
    </row>
    <row r="38" spans="2:30" ht="15" thickBot="1" x14ac:dyDescent="0.35">
      <c r="B38" s="68"/>
      <c r="D38" s="42">
        <v>1000</v>
      </c>
      <c r="E38" s="126">
        <f t="shared" si="32"/>
        <v>6.907255070523628</v>
      </c>
      <c r="F38" s="194">
        <f t="shared" si="33"/>
        <v>313.47134025496052</v>
      </c>
      <c r="I38" s="69"/>
      <c r="K38" s="68"/>
      <c r="L38" s="36">
        <v>10</v>
      </c>
      <c r="M38" s="305">
        <f t="shared" si="34"/>
        <v>0.83333333333333337</v>
      </c>
      <c r="N38" s="203">
        <f t="shared" si="31"/>
        <v>93</v>
      </c>
      <c r="O38" s="308">
        <f t="shared" si="35"/>
        <v>0.16666666666666663</v>
      </c>
      <c r="P38" s="163">
        <f t="shared" si="27"/>
        <v>-1.046685645384815</v>
      </c>
      <c r="Q38" s="163">
        <f t="shared" si="28"/>
        <v>0.85237770679691793</v>
      </c>
      <c r="R38" s="169">
        <f t="shared" si="29"/>
        <v>0.14762229320308207</v>
      </c>
      <c r="S38" s="306">
        <f t="shared" si="30"/>
        <v>1.9044373463584563E-2</v>
      </c>
      <c r="T38" s="74"/>
      <c r="U38" s="74"/>
      <c r="V38" s="220">
        <v>4</v>
      </c>
      <c r="W38" s="210">
        <f t="shared" si="39"/>
        <v>137</v>
      </c>
      <c r="X38" s="210">
        <f t="shared" si="40"/>
        <v>162</v>
      </c>
      <c r="Y38" s="210" t="str">
        <f>ROUND(W38,0)&amp;" &lt; P &lt;= " &amp; ROUND(X38,0)</f>
        <v>137 &lt; P &lt;= 162</v>
      </c>
      <c r="Z38" s="212">
        <f t="shared" si="36"/>
        <v>2.2000000000000002</v>
      </c>
      <c r="AA38" s="38">
        <f>COUNTIFS($F$7:$F$17,"&gt;" &amp;W38,$F$7:$F$17,"&lt;=" &amp;X38)</f>
        <v>3</v>
      </c>
      <c r="AB38" s="123">
        <f t="shared" si="37"/>
        <v>-0.79999999999999982</v>
      </c>
      <c r="AC38" s="221">
        <f t="shared" si="38"/>
        <v>0.29090909090909073</v>
      </c>
      <c r="AD38" s="69"/>
    </row>
    <row r="39" spans="2:30" ht="15" thickBot="1" x14ac:dyDescent="0.35">
      <c r="B39" s="70"/>
      <c r="C39" s="71"/>
      <c r="D39" s="71"/>
      <c r="E39" s="71"/>
      <c r="F39" s="71"/>
      <c r="G39" s="71"/>
      <c r="H39" s="71"/>
      <c r="I39" s="72"/>
      <c r="K39" s="68"/>
      <c r="L39" s="310">
        <v>11</v>
      </c>
      <c r="M39" s="311">
        <f t="shared" si="34"/>
        <v>0.91666666666666663</v>
      </c>
      <c r="N39" s="203">
        <f t="shared" si="31"/>
        <v>74</v>
      </c>
      <c r="O39" s="311">
        <f t="shared" si="35"/>
        <v>8.333333333333337E-2</v>
      </c>
      <c r="P39" s="163">
        <f t="shared" si="27"/>
        <v>-1.7075838323498493</v>
      </c>
      <c r="Q39" s="163">
        <f t="shared" si="28"/>
        <v>0.95614320479243353</v>
      </c>
      <c r="R39" s="169">
        <f t="shared" si="29"/>
        <v>4.3856795207566468E-2</v>
      </c>
      <c r="S39" s="306">
        <f t="shared" si="30"/>
        <v>3.9476538125766902E-2</v>
      </c>
      <c r="T39" s="74"/>
      <c r="U39" s="74"/>
      <c r="V39" s="220">
        <v>5</v>
      </c>
      <c r="W39" s="210">
        <f t="shared" si="39"/>
        <v>162</v>
      </c>
      <c r="X39" s="210">
        <f t="shared" si="40"/>
        <v>187</v>
      </c>
      <c r="Y39" s="210" t="str">
        <f>ROUND(W39,0)&amp;" &lt; P &lt;= " &amp; ROUND(X39,0)</f>
        <v>162 &lt; P &lt;= 187</v>
      </c>
      <c r="Z39" s="212">
        <f t="shared" si="36"/>
        <v>2.2000000000000002</v>
      </c>
      <c r="AA39" s="38">
        <f t="shared" ref="AA39" si="41">COUNTIFS($F$7:$F$17,"&gt;=" &amp;W39,$F$7:$F$17,"&lt;=" &amp;X39)</f>
        <v>1</v>
      </c>
      <c r="AB39" s="123">
        <f t="shared" si="37"/>
        <v>1.2000000000000002</v>
      </c>
      <c r="AC39" s="221">
        <f t="shared" si="38"/>
        <v>0.65454545454545465</v>
      </c>
      <c r="AD39" s="69"/>
    </row>
    <row r="40" spans="2:30" ht="15" thickBot="1" x14ac:dyDescent="0.35">
      <c r="K40" s="68"/>
      <c r="L40" s="74"/>
      <c r="M40" s="74"/>
      <c r="N40" s="74"/>
      <c r="O40" s="74"/>
      <c r="P40" s="74"/>
      <c r="Q40" s="74"/>
      <c r="R40" s="312" t="s">
        <v>187</v>
      </c>
      <c r="S40" s="313">
        <f>ROUND(MAX(S29:S38),3)</f>
        <v>6.4000000000000001E-2</v>
      </c>
      <c r="T40" s="74"/>
      <c r="U40" s="74"/>
      <c r="V40" s="220"/>
      <c r="W40" s="210"/>
      <c r="X40" s="210"/>
      <c r="Y40" s="210"/>
      <c r="Z40" s="210"/>
      <c r="AA40" s="210"/>
      <c r="AB40" s="210"/>
      <c r="AC40" s="222"/>
      <c r="AD40" s="69"/>
    </row>
    <row r="41" spans="2:30" ht="15" thickBot="1" x14ac:dyDescent="0.35">
      <c r="K41" s="68"/>
      <c r="L41" s="74" t="s">
        <v>189</v>
      </c>
      <c r="M41" s="74"/>
      <c r="N41" s="74"/>
      <c r="O41" s="314">
        <v>0.05</v>
      </c>
      <c r="P41" s="327">
        <f>IF(O41=0.2,2,IF(O41=0.1,3,IF(O41=0.05,4,IF(O41=0.01,5))))</f>
        <v>4</v>
      </c>
      <c r="Q41" s="74"/>
      <c r="R41" s="74"/>
      <c r="S41" s="74"/>
      <c r="T41" s="74"/>
      <c r="U41" s="74"/>
      <c r="V41" s="223"/>
      <c r="W41" s="224"/>
      <c r="X41" s="224"/>
      <c r="Y41" s="224"/>
      <c r="Z41" s="224"/>
      <c r="AA41" s="224"/>
      <c r="AB41" s="224"/>
      <c r="AC41" s="225"/>
      <c r="AD41" s="69"/>
    </row>
    <row r="42" spans="2:30" ht="17.399999999999999" thickTop="1" thickBot="1" x14ac:dyDescent="0.35">
      <c r="K42" s="68"/>
      <c r="L42" s="74" t="s">
        <v>190</v>
      </c>
      <c r="M42" s="74"/>
      <c r="N42" s="74"/>
      <c r="O42" s="74">
        <f>VLOOKUP(G20,'Tabel Do Smirnov-Kolmogorov'!$B$6:$F$49,'RTr Normal'!O41,FALSE)</f>
        <v>0.39100000000000001</v>
      </c>
      <c r="P42" s="74"/>
      <c r="Q42" s="74"/>
      <c r="R42" s="74"/>
      <c r="S42" s="74"/>
      <c r="T42" s="74"/>
      <c r="U42" s="74"/>
      <c r="V42" s="853" t="s">
        <v>122</v>
      </c>
      <c r="W42" s="854"/>
      <c r="X42" s="226"/>
      <c r="Y42" s="226"/>
      <c r="Z42" s="269">
        <f>SUM(Z35:Z41)</f>
        <v>11</v>
      </c>
      <c r="AA42" s="269">
        <f>SUM(AA35:AA41)</f>
        <v>11</v>
      </c>
      <c r="AB42" s="227" t="s">
        <v>123</v>
      </c>
      <c r="AC42" s="228">
        <f>SUM(AC35:AC41)</f>
        <v>2.1818181818181817</v>
      </c>
      <c r="AD42" s="69"/>
    </row>
    <row r="43" spans="2:30" x14ac:dyDescent="0.3">
      <c r="K43" s="68"/>
      <c r="L43" s="74" t="str">
        <f>"Nilai D max = " &amp;S40 &amp; ", maka uji ini:"</f>
        <v>Nilai D max = 0.064, maka uji ini:</v>
      </c>
      <c r="M43" s="74"/>
      <c r="N43" s="74"/>
      <c r="O43" s="328" t="str">
        <f>IF(S40&lt;O42,"MEMENUHI SYARAT","TIDAK MEMENUHI SYARAT")</f>
        <v>MEMENUHI SYARAT</v>
      </c>
      <c r="P43" s="74"/>
      <c r="Q43" s="74"/>
      <c r="R43" s="74"/>
      <c r="S43" s="74"/>
      <c r="T43" s="74"/>
      <c r="U43" s="74"/>
      <c r="AD43" s="69"/>
    </row>
    <row r="44" spans="2:30" ht="16.2" x14ac:dyDescent="0.3">
      <c r="K44" s="68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t="s">
        <v>136</v>
      </c>
      <c r="W44" s="82">
        <f>AC42</f>
        <v>2.1818181818181817</v>
      </c>
      <c r="X44" t="s">
        <v>121</v>
      </c>
      <c r="Y44" s="209" t="str">
        <f>IF(W44&lt;Y32,"MEMENUHI SYARAT","TIDAK MEMENUHI SYARAT")</f>
        <v>MEMENUHI SYARAT</v>
      </c>
      <c r="AA44"/>
      <c r="AD44" s="69"/>
    </row>
    <row r="45" spans="2:30" ht="15" thickBot="1" x14ac:dyDescent="0.35">
      <c r="K45" s="70"/>
      <c r="L45" s="329"/>
      <c r="M45" s="329"/>
      <c r="N45" s="329"/>
      <c r="O45" s="329"/>
      <c r="P45" s="329"/>
      <c r="Q45" s="329"/>
      <c r="R45" s="329"/>
      <c r="S45" s="329"/>
      <c r="T45" s="329"/>
      <c r="U45" s="329"/>
      <c r="V45" s="329"/>
      <c r="W45" s="71"/>
      <c r="X45" s="71"/>
      <c r="Y45" s="71"/>
      <c r="Z45" s="71"/>
      <c r="AA45" s="71"/>
      <c r="AB45" s="71"/>
      <c r="AC45" s="71"/>
      <c r="AD45" s="72"/>
    </row>
    <row r="47" spans="2:30" x14ac:dyDescent="0.3">
      <c r="V47" s="1" t="s">
        <v>4820</v>
      </c>
      <c r="W47" s="1" t="s">
        <v>4610</v>
      </c>
      <c r="X47" s="1" t="s">
        <v>27</v>
      </c>
      <c r="Y47" s="1" t="s">
        <v>4821</v>
      </c>
      <c r="Z47" s="1" t="s">
        <v>24</v>
      </c>
      <c r="AA47" s="1" t="s">
        <v>4818</v>
      </c>
    </row>
    <row r="48" spans="2:30" x14ac:dyDescent="0.3">
      <c r="V48" s="1">
        <v>1</v>
      </c>
      <c r="W48" s="1">
        <f>V48/COUNT($V$48:$V$52)</f>
        <v>0.2</v>
      </c>
      <c r="X48" s="1">
        <f>1/W48</f>
        <v>5</v>
      </c>
      <c r="Y48" s="1">
        <f>-LN(-LN((X48-1)/(X48)))</f>
        <v>1.4999399867595158</v>
      </c>
      <c r="Z48" s="1">
        <f>(Y48-$G$27)/$G$28</f>
        <v>1.0338362823062379</v>
      </c>
      <c r="AA48" s="1">
        <f>$G$21+Z48*$G$22</f>
        <v>152.81241499187436</v>
      </c>
    </row>
    <row r="49" spans="13:29" x14ac:dyDescent="0.3">
      <c r="M49" s="82"/>
      <c r="V49" s="1">
        <v>2</v>
      </c>
      <c r="W49" s="1">
        <f t="shared" ref="W49:W52" si="42">V49/COUNT($V$48:$V$52)</f>
        <v>0.4</v>
      </c>
      <c r="X49" s="1">
        <f t="shared" ref="X49:X52" si="43">1/W49</f>
        <v>2.5</v>
      </c>
      <c r="Y49" s="1">
        <f t="shared" ref="Y49:Y52" si="44">-LN(-LN((X49-1)/(X49)))</f>
        <v>0.67172699209212194</v>
      </c>
      <c r="Z49" s="1">
        <f t="shared" ref="Z49:Z51" si="45">(Y49-$G$27)/$G$28</f>
        <v>0.17789064912373084</v>
      </c>
      <c r="AA49" s="1">
        <f t="shared" ref="AA49:AA51" si="46">$G$21+Z49*$G$22</f>
        <v>128.20504376401527</v>
      </c>
    </row>
    <row r="50" spans="13:29" x14ac:dyDescent="0.3">
      <c r="V50" s="1">
        <v>3</v>
      </c>
      <c r="W50" s="1">
        <f t="shared" si="42"/>
        <v>0.6</v>
      </c>
      <c r="X50" s="1">
        <f t="shared" si="43"/>
        <v>1.6666666666666667</v>
      </c>
      <c r="Y50" s="1">
        <f t="shared" si="44"/>
        <v>8.7421571790755173E-2</v>
      </c>
      <c r="Z50" s="1">
        <f t="shared" si="45"/>
        <v>-0.42598018624353534</v>
      </c>
      <c r="AA50" s="1">
        <f t="shared" si="46"/>
        <v>110.84450911847979</v>
      </c>
    </row>
    <row r="51" spans="13:29" x14ac:dyDescent="0.3">
      <c r="V51" s="1">
        <v>4</v>
      </c>
      <c r="W51" s="1">
        <f t="shared" si="42"/>
        <v>0.8</v>
      </c>
      <c r="X51" s="1">
        <f t="shared" si="43"/>
        <v>1.25</v>
      </c>
      <c r="Y51" s="1">
        <f t="shared" si="44"/>
        <v>-0.47588499532711054</v>
      </c>
      <c r="Z51" s="1">
        <f t="shared" si="45"/>
        <v>-1.0081490236948227</v>
      </c>
      <c r="AA51" s="1">
        <f t="shared" si="46"/>
        <v>94.107879892169521</v>
      </c>
    </row>
    <row r="52" spans="13:29" x14ac:dyDescent="0.3">
      <c r="V52" s="1">
        <v>5</v>
      </c>
    </row>
    <row r="53" spans="13:29" x14ac:dyDescent="0.3">
      <c r="M53" s="82"/>
    </row>
    <row r="57" spans="13:29" x14ac:dyDescent="0.3">
      <c r="M57" s="82"/>
    </row>
    <row r="61" spans="13:29" x14ac:dyDescent="0.3">
      <c r="M61" s="82"/>
    </row>
    <row r="62" spans="13:29" ht="16.8" thickBot="1" x14ac:dyDescent="0.35">
      <c r="V62" s="216" t="s">
        <v>114</v>
      </c>
      <c r="W62" s="214" t="s">
        <v>115</v>
      </c>
      <c r="X62" s="214" t="s">
        <v>116</v>
      </c>
      <c r="Y62" s="214" t="s">
        <v>117</v>
      </c>
      <c r="Z62" s="214" t="s">
        <v>118</v>
      </c>
      <c r="AA62" s="214" t="s">
        <v>119</v>
      </c>
      <c r="AB62" s="214" t="s">
        <v>120</v>
      </c>
      <c r="AC62" s="217" t="s">
        <v>143</v>
      </c>
    </row>
    <row r="63" spans="13:29" ht="15" thickTop="1" x14ac:dyDescent="0.3">
      <c r="V63" s="218">
        <v>1</v>
      </c>
      <c r="W63" s="213">
        <f>AA48</f>
        <v>152.81241499187436</v>
      </c>
      <c r="X63" s="213"/>
      <c r="Y63" s="211" t="str">
        <f>" P &gt; "&amp;ROUND(W63,2)</f>
        <v xml:space="preserve"> P &gt; 152.81</v>
      </c>
      <c r="Z63" s="212">
        <f>$AC$29</f>
        <v>2.2000000000000002</v>
      </c>
      <c r="AA63" s="35">
        <f>COUNTIFS($F$7:$F$17,"&gt;=" &amp;W63)</f>
        <v>2</v>
      </c>
      <c r="AB63" s="213">
        <f>Z63-AA63</f>
        <v>0.20000000000000018</v>
      </c>
      <c r="AC63" s="219">
        <f>AB63^2/Z63</f>
        <v>1.8181818181818212E-2</v>
      </c>
    </row>
    <row r="64" spans="13:29" x14ac:dyDescent="0.3">
      <c r="V64" s="220">
        <v>2</v>
      </c>
      <c r="W64" s="123">
        <f>AA49</f>
        <v>128.20504376401527</v>
      </c>
      <c r="X64" s="123">
        <f>W63</f>
        <v>152.81241499187436</v>
      </c>
      <c r="Y64" s="210" t="str">
        <f>ROUND(W64,2)&amp;" &lt; P &lt;= " &amp; ROUND(X64,2)</f>
        <v>128.21 &lt; P &lt;= 152.81</v>
      </c>
      <c r="Z64" s="212">
        <f t="shared" ref="Z64:Z67" si="47">$AC$29</f>
        <v>2.2000000000000002</v>
      </c>
      <c r="AA64" s="38">
        <f>COUNTIFS($F$7:$F$17,"&gt;" &amp;W64,$F$7:$F$17,"&lt;=" &amp;X64)</f>
        <v>3</v>
      </c>
      <c r="AB64" s="123">
        <f t="shared" ref="AB64:AB67" si="48">Z64-AA64</f>
        <v>-0.79999999999999982</v>
      </c>
      <c r="AC64" s="221">
        <f t="shared" ref="AC64:AC67" si="49">AB64^2/Z64</f>
        <v>0.29090909090909073</v>
      </c>
    </row>
    <row r="65" spans="13:29" x14ac:dyDescent="0.3">
      <c r="M65" s="82"/>
      <c r="V65" s="220">
        <v>3</v>
      </c>
      <c r="W65" s="123">
        <f>AA50</f>
        <v>110.84450911847979</v>
      </c>
      <c r="X65" s="123">
        <f>W64</f>
        <v>128.20504376401527</v>
      </c>
      <c r="Y65" s="210" t="str">
        <f>ROUND(W65,2)&amp;" &lt; P &lt;= " &amp; ROUND(X65,2)</f>
        <v>110.84 &lt; P &lt;= 128.21</v>
      </c>
      <c r="Z65" s="212">
        <f t="shared" si="47"/>
        <v>2.2000000000000002</v>
      </c>
      <c r="AA65" s="38">
        <f>COUNTIFS($F$7:$F$17,"&gt;" &amp;W65,$F$7:$F$17,"&lt;=" &amp;X65)</f>
        <v>2</v>
      </c>
      <c r="AB65" s="123">
        <f t="shared" si="48"/>
        <v>0.20000000000000018</v>
      </c>
      <c r="AC65" s="221">
        <f t="shared" si="49"/>
        <v>1.8181818181818212E-2</v>
      </c>
    </row>
    <row r="66" spans="13:29" x14ac:dyDescent="0.3">
      <c r="V66" s="220">
        <v>4</v>
      </c>
      <c r="W66" s="123">
        <f>AA51</f>
        <v>94.107879892169521</v>
      </c>
      <c r="X66" s="123">
        <f>W65</f>
        <v>110.84450911847979</v>
      </c>
      <c r="Y66" s="210" t="str">
        <f>ROUND(W66,2)&amp;" &lt; P &lt;= " &amp; ROUND(X66,2)</f>
        <v>94.11 &lt; P &lt;= 110.84</v>
      </c>
      <c r="Z66" s="212">
        <f t="shared" si="47"/>
        <v>2.2000000000000002</v>
      </c>
      <c r="AA66" s="38">
        <f>COUNTIFS($F$7:$F$17,"&gt;" &amp;W66,$F$7:$F$17,"&lt;=" &amp;X66)</f>
        <v>2</v>
      </c>
      <c r="AB66" s="123">
        <f t="shared" si="48"/>
        <v>0.20000000000000018</v>
      </c>
      <c r="AC66" s="221">
        <f t="shared" si="49"/>
        <v>1.8181818181818212E-2</v>
      </c>
    </row>
    <row r="67" spans="13:29" x14ac:dyDescent="0.3">
      <c r="V67" s="220">
        <v>5</v>
      </c>
      <c r="W67" s="123"/>
      <c r="X67" s="123">
        <f>W66</f>
        <v>94.107879892169521</v>
      </c>
      <c r="Y67" s="210" t="str">
        <f>"P &lt;= " &amp; ROUND(X67,2)</f>
        <v>P &lt;= 94.11</v>
      </c>
      <c r="Z67" s="212">
        <f t="shared" si="47"/>
        <v>2.2000000000000002</v>
      </c>
      <c r="AA67" s="38">
        <f>COUNTIFS($F$7:$F$17,"&lt;=" &amp;X67)</f>
        <v>2</v>
      </c>
      <c r="AB67" s="123">
        <f t="shared" si="48"/>
        <v>0.20000000000000018</v>
      </c>
      <c r="AC67" s="221">
        <f t="shared" si="49"/>
        <v>1.8181818181818212E-2</v>
      </c>
    </row>
    <row r="68" spans="13:29" x14ac:dyDescent="0.3">
      <c r="V68" s="220"/>
      <c r="W68" s="210"/>
      <c r="X68" s="210"/>
      <c r="Y68" s="210"/>
      <c r="Z68" s="210"/>
      <c r="AA68" s="210"/>
      <c r="AB68" s="210"/>
      <c r="AC68" s="222"/>
    </row>
    <row r="69" spans="13:29" ht="15" thickBot="1" x14ac:dyDescent="0.35">
      <c r="M69" s="82"/>
      <c r="V69" s="223"/>
      <c r="W69" s="224"/>
      <c r="X69" s="224"/>
      <c r="Y69" s="224"/>
      <c r="Z69" s="224"/>
      <c r="AA69" s="224"/>
      <c r="AB69" s="224"/>
      <c r="AC69" s="225"/>
    </row>
    <row r="70" spans="13:29" ht="17.399999999999999" thickTop="1" thickBot="1" x14ac:dyDescent="0.35">
      <c r="V70" s="1010" t="s">
        <v>122</v>
      </c>
      <c r="W70" s="1011"/>
      <c r="X70" s="226"/>
      <c r="Y70" s="226"/>
      <c r="Z70" s="269">
        <f>SUM(Z63:Z69)</f>
        <v>11</v>
      </c>
      <c r="AA70" s="269">
        <f>SUM(AA63:AA69)</f>
        <v>11</v>
      </c>
      <c r="AB70" s="227" t="s">
        <v>123</v>
      </c>
      <c r="AC70" s="1012">
        <f>SUM(AC63:AC69)</f>
        <v>0.36363636363636348</v>
      </c>
    </row>
    <row r="73" spans="13:29" x14ac:dyDescent="0.3">
      <c r="M73" s="82"/>
    </row>
    <row r="77" spans="13:29" x14ac:dyDescent="0.3">
      <c r="M77" s="82"/>
    </row>
    <row r="81" spans="13:13" x14ac:dyDescent="0.3">
      <c r="M81" s="82"/>
    </row>
    <row r="85" spans="13:13" x14ac:dyDescent="0.3">
      <c r="M85" s="82"/>
    </row>
  </sheetData>
  <mergeCells count="32">
    <mergeCell ref="V70:W70"/>
    <mergeCell ref="V32:W32"/>
    <mergeCell ref="V42:W42"/>
    <mergeCell ref="V27:AC27"/>
    <mergeCell ref="V29:W29"/>
    <mergeCell ref="Z29:AA29"/>
    <mergeCell ref="V30:W30"/>
    <mergeCell ref="V31:W31"/>
    <mergeCell ref="C28:E28"/>
    <mergeCell ref="C27:E27"/>
    <mergeCell ref="V22:AA22"/>
    <mergeCell ref="C4:H4"/>
    <mergeCell ref="C5:H5"/>
    <mergeCell ref="M20:Q20"/>
    <mergeCell ref="V20:AA20"/>
    <mergeCell ref="M21:Q21"/>
    <mergeCell ref="V21:AA21"/>
    <mergeCell ref="L4:R4"/>
    <mergeCell ref="V4:AB4"/>
    <mergeCell ref="L5:R5"/>
    <mergeCell ref="V5:AB5"/>
    <mergeCell ref="L26:S26"/>
    <mergeCell ref="V26:AC26"/>
    <mergeCell ref="L27:S27"/>
    <mergeCell ref="M22:Q22"/>
    <mergeCell ref="C26:E26"/>
    <mergeCell ref="C20:E20"/>
    <mergeCell ref="C25:E25"/>
    <mergeCell ref="C24:E24"/>
    <mergeCell ref="C23:E23"/>
    <mergeCell ref="C22:E22"/>
    <mergeCell ref="C21:E21"/>
  </mergeCells>
  <pageMargins left="0.7" right="0.7" top="0.75" bottom="0.75" header="0.3" footer="0.3"/>
  <pageSetup orientation="portrait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B87"/>
  <sheetViews>
    <sheetView topLeftCell="N72" zoomScale="85" zoomScaleNormal="85" workbookViewId="0">
      <selection activeCell="T87" sqref="T87"/>
    </sheetView>
  </sheetViews>
  <sheetFormatPr defaultColWidth="9.109375" defaultRowHeight="14.4" x14ac:dyDescent="0.3"/>
  <cols>
    <col min="1" max="1" width="9.109375" style="9"/>
    <col min="2" max="3" width="0.88671875" style="9" customWidth="1"/>
    <col min="4" max="4" width="9.33203125" style="9" bestFit="1" customWidth="1"/>
    <col min="5" max="6" width="0.88671875" style="9" customWidth="1"/>
    <col min="7" max="14" width="9.6640625" style="9" customWidth="1"/>
    <col min="15" max="16" width="0.88671875" style="9" customWidth="1"/>
    <col min="17" max="16384" width="9.109375" style="9"/>
  </cols>
  <sheetData>
    <row r="1" spans="2:19" ht="16.2" thickBot="1" x14ac:dyDescent="0.35">
      <c r="B1" s="883" t="s">
        <v>68</v>
      </c>
      <c r="C1" s="883"/>
      <c r="D1" s="883"/>
      <c r="E1" s="883"/>
      <c r="F1" s="883"/>
      <c r="G1" s="883"/>
      <c r="H1" s="883"/>
      <c r="I1" s="883"/>
      <c r="J1" s="883"/>
      <c r="K1" s="883"/>
      <c r="L1" s="883"/>
      <c r="M1" s="883"/>
      <c r="N1" s="883"/>
      <c r="O1" s="883"/>
      <c r="P1" s="883"/>
      <c r="Q1" s="127"/>
    </row>
    <row r="2" spans="2:19" ht="5.25" customHeight="1" thickTop="1" thickBot="1" x14ac:dyDescent="0.35">
      <c r="B2" s="87"/>
      <c r="C2" s="87"/>
      <c r="D2" s="88"/>
      <c r="E2" s="89"/>
      <c r="F2" s="89"/>
      <c r="G2" s="87"/>
      <c r="H2" s="87"/>
      <c r="K2" s="87"/>
      <c r="L2" s="87"/>
      <c r="M2" s="88"/>
      <c r="N2" s="88"/>
      <c r="O2" s="89"/>
      <c r="P2" s="89"/>
      <c r="Q2" s="87"/>
    </row>
    <row r="3" spans="2:19" ht="5.0999999999999996" customHeight="1" x14ac:dyDescent="0.3">
      <c r="B3" s="128"/>
      <c r="C3" s="129"/>
      <c r="D3" s="130"/>
      <c r="E3" s="130"/>
      <c r="F3" s="130"/>
      <c r="G3" s="131"/>
      <c r="H3" s="131"/>
      <c r="I3" s="131"/>
      <c r="J3" s="131"/>
      <c r="K3" s="131"/>
      <c r="L3" s="131"/>
      <c r="M3" s="131"/>
      <c r="N3" s="131"/>
      <c r="O3" s="131"/>
      <c r="P3" s="132"/>
      <c r="Q3" s="127"/>
    </row>
    <row r="4" spans="2:19" ht="5.0999999999999996" customHeight="1" x14ac:dyDescent="0.3">
      <c r="B4" s="133"/>
      <c r="C4" s="127"/>
      <c r="D4" s="134"/>
      <c r="E4" s="134"/>
      <c r="F4" s="134"/>
      <c r="G4" s="135"/>
      <c r="H4" s="135"/>
      <c r="I4" s="135"/>
      <c r="J4" s="135"/>
      <c r="K4" s="135"/>
      <c r="L4" s="135"/>
      <c r="M4" s="135"/>
      <c r="N4" s="135"/>
      <c r="O4" s="135"/>
      <c r="P4" s="136"/>
      <c r="Q4" s="127"/>
    </row>
    <row r="5" spans="2:19" x14ac:dyDescent="0.3">
      <c r="B5" s="133"/>
      <c r="C5" s="127"/>
      <c r="D5" s="137" t="s">
        <v>63</v>
      </c>
      <c r="E5" s="138"/>
      <c r="F5" s="134"/>
      <c r="G5" s="884" t="s">
        <v>64</v>
      </c>
      <c r="H5" s="884"/>
      <c r="I5" s="884"/>
      <c r="J5" s="884"/>
      <c r="K5" s="884"/>
      <c r="L5" s="884"/>
      <c r="M5" s="884"/>
      <c r="N5" s="139"/>
      <c r="O5" s="135"/>
      <c r="P5" s="136"/>
      <c r="Q5" s="127"/>
    </row>
    <row r="6" spans="2:19" x14ac:dyDescent="0.3">
      <c r="B6" s="133"/>
      <c r="C6" s="127"/>
      <c r="D6" s="137" t="s">
        <v>65</v>
      </c>
      <c r="E6" s="138"/>
      <c r="F6" s="134"/>
      <c r="G6" s="139">
        <v>2</v>
      </c>
      <c r="H6" s="139">
        <v>5</v>
      </c>
      <c r="I6" s="139">
        <v>10</v>
      </c>
      <c r="J6" s="139">
        <v>25</v>
      </c>
      <c r="K6" s="139">
        <v>50</v>
      </c>
      <c r="L6" s="139">
        <v>100</v>
      </c>
      <c r="M6" s="139">
        <v>200</v>
      </c>
      <c r="N6" s="139">
        <v>1000</v>
      </c>
      <c r="O6" s="140"/>
      <c r="P6" s="141"/>
      <c r="Q6" s="127"/>
    </row>
    <row r="7" spans="2:19" ht="5.0999999999999996" customHeight="1" x14ac:dyDescent="0.3">
      <c r="B7" s="133"/>
      <c r="C7" s="127"/>
      <c r="D7" s="137"/>
      <c r="E7" s="138"/>
      <c r="F7" s="134"/>
      <c r="G7" s="142"/>
      <c r="H7" s="142"/>
      <c r="I7" s="142"/>
      <c r="J7" s="142"/>
      <c r="K7" s="142"/>
      <c r="L7" s="142"/>
      <c r="M7" s="142"/>
      <c r="N7" s="142"/>
      <c r="O7" s="140"/>
      <c r="P7" s="141"/>
      <c r="Q7" s="127"/>
    </row>
    <row r="8" spans="2:19" ht="5.0999999999999996" customHeight="1" x14ac:dyDescent="0.3">
      <c r="B8" s="133"/>
      <c r="C8" s="127"/>
      <c r="D8" s="137"/>
      <c r="E8" s="138"/>
      <c r="F8" s="134"/>
      <c r="G8" s="143"/>
      <c r="H8" s="143"/>
      <c r="I8" s="143"/>
      <c r="J8" s="143"/>
      <c r="K8" s="143"/>
      <c r="L8" s="143"/>
      <c r="M8" s="143"/>
      <c r="N8" s="143"/>
      <c r="O8" s="143"/>
      <c r="P8" s="144"/>
      <c r="Q8" s="127"/>
    </row>
    <row r="9" spans="2:19" x14ac:dyDescent="0.3">
      <c r="B9" s="133"/>
      <c r="C9" s="127"/>
      <c r="D9" s="137" t="s">
        <v>66</v>
      </c>
      <c r="E9" s="145"/>
      <c r="F9" s="146"/>
      <c r="G9" s="884" t="s">
        <v>67</v>
      </c>
      <c r="H9" s="884"/>
      <c r="I9" s="884"/>
      <c r="J9" s="884"/>
      <c r="K9" s="884"/>
      <c r="L9" s="884"/>
      <c r="M9" s="884"/>
      <c r="N9" s="139"/>
      <c r="O9" s="135"/>
      <c r="P9" s="136"/>
      <c r="Q9" s="127"/>
    </row>
    <row r="10" spans="2:19" x14ac:dyDescent="0.3">
      <c r="B10" s="133"/>
      <c r="C10" s="127"/>
      <c r="D10" s="137" t="s">
        <v>45</v>
      </c>
      <c r="E10" s="145"/>
      <c r="F10" s="146"/>
      <c r="G10" s="147">
        <v>50</v>
      </c>
      <c r="H10" s="147">
        <v>20</v>
      </c>
      <c r="I10" s="147">
        <v>10</v>
      </c>
      <c r="J10" s="147">
        <v>4</v>
      </c>
      <c r="K10" s="147">
        <v>2</v>
      </c>
      <c r="L10" s="147">
        <v>1</v>
      </c>
      <c r="M10" s="137">
        <v>0.5</v>
      </c>
      <c r="N10" s="137">
        <v>0.1</v>
      </c>
      <c r="O10" s="148"/>
      <c r="P10" s="149"/>
      <c r="Q10" s="127"/>
    </row>
    <row r="11" spans="2:19" ht="5.0999999999999996" customHeight="1" x14ac:dyDescent="0.3">
      <c r="B11" s="133"/>
      <c r="C11" s="127"/>
      <c r="D11" s="150"/>
      <c r="E11" s="146"/>
      <c r="F11" s="146"/>
      <c r="G11" s="151"/>
      <c r="H11" s="151"/>
      <c r="I11" s="151"/>
      <c r="J11" s="151"/>
      <c r="K11" s="151"/>
      <c r="L11" s="151"/>
      <c r="M11" s="151"/>
      <c r="N11" s="151"/>
      <c r="O11" s="148"/>
      <c r="P11" s="149"/>
      <c r="Q11" s="127"/>
    </row>
    <row r="12" spans="2:19" ht="5.0999999999999996" customHeight="1" x14ac:dyDescent="0.3">
      <c r="B12" s="133"/>
      <c r="C12" s="127"/>
      <c r="D12" s="152"/>
      <c r="E12" s="152"/>
      <c r="F12" s="152"/>
      <c r="G12" s="127"/>
      <c r="H12" s="127"/>
      <c r="I12" s="127"/>
      <c r="J12" s="127"/>
      <c r="K12" s="127"/>
      <c r="L12" s="127"/>
      <c r="M12" s="127"/>
      <c r="N12" s="127"/>
      <c r="O12" s="127"/>
      <c r="P12" s="153"/>
      <c r="Q12" s="127"/>
    </row>
    <row r="13" spans="2:19" x14ac:dyDescent="0.3">
      <c r="B13" s="133"/>
      <c r="C13" s="127"/>
      <c r="D13" s="152">
        <v>-3</v>
      </c>
      <c r="E13" s="154"/>
      <c r="F13" s="152"/>
      <c r="G13" s="155">
        <v>0.39600000000000002</v>
      </c>
      <c r="H13" s="155">
        <v>0.63600000000000001</v>
      </c>
      <c r="I13" s="155">
        <v>0.66600000000000004</v>
      </c>
      <c r="J13" s="155">
        <v>0.66600000000000004</v>
      </c>
      <c r="K13" s="155">
        <v>0.66600000000000004</v>
      </c>
      <c r="L13" s="155">
        <v>0.66700000000000004</v>
      </c>
      <c r="M13" s="155">
        <v>0.66700000000000004</v>
      </c>
      <c r="N13" s="155">
        <v>0.66800000000000004</v>
      </c>
      <c r="O13" s="155"/>
      <c r="P13" s="156"/>
      <c r="Q13" s="127"/>
      <c r="R13" s="152"/>
      <c r="S13" s="155"/>
    </row>
    <row r="14" spans="2:19" x14ac:dyDescent="0.3">
      <c r="B14" s="133"/>
      <c r="C14" s="127"/>
      <c r="D14" s="152">
        <v>-2.9</v>
      </c>
      <c r="E14" s="154"/>
      <c r="F14" s="152"/>
      <c r="G14" s="155">
        <v>0.39</v>
      </c>
      <c r="H14" s="155">
        <v>0.65100000000000002</v>
      </c>
      <c r="I14" s="155">
        <v>0.68100000000000005</v>
      </c>
      <c r="J14" s="155">
        <v>0.68300000000000005</v>
      </c>
      <c r="K14" s="155">
        <v>0.68899999999999995</v>
      </c>
      <c r="L14" s="155">
        <v>0.69</v>
      </c>
      <c r="M14" s="155">
        <v>0.69</v>
      </c>
      <c r="N14" s="28">
        <v>0.69480000000000008</v>
      </c>
      <c r="O14" s="155"/>
      <c r="P14" s="156"/>
      <c r="Q14" s="127"/>
      <c r="R14" s="152"/>
      <c r="S14" s="28"/>
    </row>
    <row r="15" spans="2:19" x14ac:dyDescent="0.3">
      <c r="B15" s="133"/>
      <c r="C15" s="127"/>
      <c r="D15" s="152">
        <v>-2.8</v>
      </c>
      <c r="E15" s="154"/>
      <c r="F15" s="152"/>
      <c r="G15" s="155">
        <v>0.38400000000000001</v>
      </c>
      <c r="H15" s="155">
        <v>0.66600000000000004</v>
      </c>
      <c r="I15" s="155">
        <v>0.70199999999999996</v>
      </c>
      <c r="J15" s="155">
        <v>0.71199999999999997</v>
      </c>
      <c r="K15" s="155">
        <v>0.71399999999999997</v>
      </c>
      <c r="L15" s="155">
        <v>0.71399999999999997</v>
      </c>
      <c r="M15" s="155">
        <v>0.71399999999999997</v>
      </c>
      <c r="N15" s="28">
        <v>0.72160000000000013</v>
      </c>
      <c r="O15" s="155"/>
      <c r="P15" s="156"/>
      <c r="Q15" s="127"/>
      <c r="R15" s="157"/>
      <c r="S15" s="28"/>
    </row>
    <row r="16" spans="2:19" x14ac:dyDescent="0.3">
      <c r="B16" s="133"/>
      <c r="C16" s="127"/>
      <c r="D16" s="152">
        <v>-2.7</v>
      </c>
      <c r="E16" s="154"/>
      <c r="F16" s="152"/>
      <c r="G16" s="155">
        <v>0.376</v>
      </c>
      <c r="H16" s="155">
        <v>0.68100000000000005</v>
      </c>
      <c r="I16" s="155">
        <v>0.747</v>
      </c>
      <c r="J16" s="155">
        <v>0.73799999999999999</v>
      </c>
      <c r="K16" s="155">
        <v>0.74</v>
      </c>
      <c r="L16" s="155">
        <v>0.74</v>
      </c>
      <c r="M16" s="155">
        <v>0.74099999999999999</v>
      </c>
      <c r="N16" s="28">
        <v>0.74839999999999995</v>
      </c>
      <c r="O16" s="155"/>
      <c r="P16" s="156"/>
      <c r="Q16" s="127"/>
      <c r="R16" s="152"/>
      <c r="S16" s="28"/>
    </row>
    <row r="17" spans="2:19" x14ac:dyDescent="0.3">
      <c r="B17" s="133"/>
      <c r="C17" s="127"/>
      <c r="D17" s="152">
        <v>-2.6</v>
      </c>
      <c r="E17" s="154"/>
      <c r="F17" s="152"/>
      <c r="G17" s="155">
        <v>0.36799999999999999</v>
      </c>
      <c r="H17" s="155">
        <v>0.69599999999999995</v>
      </c>
      <c r="I17" s="155">
        <v>0.77100000000000002</v>
      </c>
      <c r="J17" s="155">
        <v>0.76400000000000001</v>
      </c>
      <c r="K17" s="155">
        <v>0.76800000000000002</v>
      </c>
      <c r="L17" s="155">
        <v>0.76900000000000002</v>
      </c>
      <c r="M17" s="155">
        <v>0.76900000000000002</v>
      </c>
      <c r="N17" s="28">
        <v>0.7752</v>
      </c>
      <c r="O17" s="155"/>
      <c r="P17" s="156"/>
      <c r="Q17" s="127"/>
      <c r="R17" s="152"/>
      <c r="S17" s="28"/>
    </row>
    <row r="18" spans="2:19" x14ac:dyDescent="0.3">
      <c r="B18" s="133"/>
      <c r="C18" s="127"/>
      <c r="D18" s="152">
        <v>-2.5</v>
      </c>
      <c r="E18" s="154"/>
      <c r="F18" s="152"/>
      <c r="G18" s="155">
        <v>0.36</v>
      </c>
      <c r="H18" s="155">
        <v>0.71099999999999997</v>
      </c>
      <c r="I18" s="155">
        <v>0.79500000000000004</v>
      </c>
      <c r="J18" s="155">
        <v>0.79300000000000004</v>
      </c>
      <c r="K18" s="155">
        <v>0.79800000000000004</v>
      </c>
      <c r="L18" s="155">
        <v>0.79900000000000004</v>
      </c>
      <c r="M18" s="155">
        <v>0.8</v>
      </c>
      <c r="N18" s="155">
        <v>0.80200000000000005</v>
      </c>
      <c r="O18" s="155"/>
      <c r="P18" s="156"/>
      <c r="Q18" s="127"/>
      <c r="R18" s="152"/>
      <c r="S18" s="155"/>
    </row>
    <row r="19" spans="2:19" x14ac:dyDescent="0.3">
      <c r="B19" s="133"/>
      <c r="C19" s="127"/>
      <c r="D19" s="152">
        <v>-2.4</v>
      </c>
      <c r="E19" s="154"/>
      <c r="F19" s="152"/>
      <c r="G19" s="155">
        <v>0.35099999999999998</v>
      </c>
      <c r="H19" s="155">
        <v>0.72499999999999998</v>
      </c>
      <c r="I19" s="155">
        <v>0.81899999999999995</v>
      </c>
      <c r="J19" s="155">
        <v>0.82299999999999995</v>
      </c>
      <c r="K19" s="155">
        <v>0.83</v>
      </c>
      <c r="L19" s="155">
        <v>0.83199999999999996</v>
      </c>
      <c r="M19" s="155">
        <v>0.83299999999999996</v>
      </c>
      <c r="N19" s="28">
        <v>0.83800000000000008</v>
      </c>
      <c r="O19" s="155"/>
      <c r="P19" s="156"/>
      <c r="Q19" s="127"/>
      <c r="R19" s="152"/>
      <c r="S19" s="28"/>
    </row>
    <row r="20" spans="2:19" x14ac:dyDescent="0.3">
      <c r="B20" s="133"/>
      <c r="C20" s="127"/>
      <c r="D20" s="152">
        <v>-2.2999999999999998</v>
      </c>
      <c r="E20" s="154"/>
      <c r="F20" s="152"/>
      <c r="G20" s="155">
        <v>0.34100000000000003</v>
      </c>
      <c r="H20" s="155">
        <v>0.73899999999999999</v>
      </c>
      <c r="I20" s="155">
        <v>0.84399999999999997</v>
      </c>
      <c r="J20" s="155">
        <v>0.85499999999999998</v>
      </c>
      <c r="K20" s="155">
        <v>0.86399999999999999</v>
      </c>
      <c r="L20" s="155">
        <v>0.86699999999999999</v>
      </c>
      <c r="M20" s="155">
        <v>1.869</v>
      </c>
      <c r="N20" s="28">
        <v>0.87400000000000011</v>
      </c>
      <c r="O20" s="155"/>
      <c r="P20" s="156"/>
      <c r="Q20" s="127"/>
      <c r="R20" s="152"/>
      <c r="S20" s="28"/>
    </row>
    <row r="21" spans="2:19" x14ac:dyDescent="0.3">
      <c r="B21" s="133"/>
      <c r="C21" s="127"/>
      <c r="D21" s="152">
        <v>-2.2000000000000002</v>
      </c>
      <c r="E21" s="154"/>
      <c r="F21" s="152"/>
      <c r="G21" s="155">
        <v>0.33</v>
      </c>
      <c r="H21" s="155">
        <v>0.752</v>
      </c>
      <c r="I21" s="155">
        <v>0.86899999999999999</v>
      </c>
      <c r="J21" s="155">
        <v>0.88800000000000001</v>
      </c>
      <c r="K21" s="155">
        <v>0.9</v>
      </c>
      <c r="L21" s="155">
        <v>0.90500000000000003</v>
      </c>
      <c r="M21" s="155">
        <v>0.90700000000000003</v>
      </c>
      <c r="N21" s="155">
        <v>0.91</v>
      </c>
      <c r="O21" s="155"/>
      <c r="P21" s="156"/>
      <c r="Q21" s="127"/>
      <c r="R21" s="152"/>
      <c r="S21" s="155"/>
    </row>
    <row r="22" spans="2:19" x14ac:dyDescent="0.3">
      <c r="B22" s="133"/>
      <c r="C22" s="127"/>
      <c r="D22" s="152">
        <v>-2.1</v>
      </c>
      <c r="E22" s="154"/>
      <c r="F22" s="152"/>
      <c r="G22" s="155">
        <v>0.31900000000000001</v>
      </c>
      <c r="H22" s="155">
        <v>0.76500000000000001</v>
      </c>
      <c r="I22" s="155">
        <v>0.89500000000000002</v>
      </c>
      <c r="J22" s="155">
        <v>0.92300000000000004</v>
      </c>
      <c r="K22" s="155">
        <v>0.93899999999999995</v>
      </c>
      <c r="L22" s="155">
        <v>0.94599999999999995</v>
      </c>
      <c r="M22" s="155">
        <v>0.94899999999999995</v>
      </c>
      <c r="N22" s="28">
        <v>0.95499999999999996</v>
      </c>
      <c r="O22" s="155"/>
      <c r="P22" s="156"/>
      <c r="Q22" s="127"/>
      <c r="R22" s="152"/>
      <c r="S22" s="28"/>
    </row>
    <row r="23" spans="2:19" x14ac:dyDescent="0.3">
      <c r="B23" s="133"/>
      <c r="C23" s="127"/>
      <c r="D23" s="152">
        <v>-2</v>
      </c>
      <c r="E23" s="154"/>
      <c r="F23" s="152"/>
      <c r="G23" s="155">
        <v>0.307</v>
      </c>
      <c r="H23" s="155">
        <v>0.77700000000000002</v>
      </c>
      <c r="I23" s="155">
        <v>0.92</v>
      </c>
      <c r="J23" s="155">
        <v>0.95899999999999996</v>
      </c>
      <c r="K23" s="155">
        <v>0.98</v>
      </c>
      <c r="L23" s="155">
        <v>0.99</v>
      </c>
      <c r="M23" s="155">
        <v>0.995</v>
      </c>
      <c r="N23" s="155">
        <v>1</v>
      </c>
      <c r="O23" s="155"/>
      <c r="P23" s="156"/>
      <c r="Q23" s="127"/>
      <c r="R23" s="152"/>
      <c r="S23" s="155"/>
    </row>
    <row r="24" spans="2:19" x14ac:dyDescent="0.3">
      <c r="B24" s="133"/>
      <c r="C24" s="127"/>
      <c r="D24" s="152">
        <v>-1.9</v>
      </c>
      <c r="E24" s="154"/>
      <c r="F24" s="152"/>
      <c r="G24" s="155">
        <v>0.29399999999999998</v>
      </c>
      <c r="H24" s="155">
        <v>0.78800000000000003</v>
      </c>
      <c r="I24" s="155">
        <v>0.94499999999999995</v>
      </c>
      <c r="J24" s="155">
        <v>0.996</v>
      </c>
      <c r="K24" s="155">
        <v>1.0229999999999999</v>
      </c>
      <c r="L24" s="155">
        <v>1.038</v>
      </c>
      <c r="M24" s="155">
        <v>1.044</v>
      </c>
      <c r="N24" s="28">
        <v>1.0649999999999999</v>
      </c>
      <c r="O24" s="155"/>
      <c r="P24" s="156"/>
      <c r="Q24" s="127"/>
      <c r="R24" s="152"/>
      <c r="S24" s="28"/>
    </row>
    <row r="25" spans="2:19" x14ac:dyDescent="0.3">
      <c r="B25" s="133"/>
      <c r="C25" s="127"/>
      <c r="D25" s="152">
        <v>-1.8</v>
      </c>
      <c r="E25" s="154"/>
      <c r="F25" s="152"/>
      <c r="G25" s="155">
        <v>0.28199999999999997</v>
      </c>
      <c r="H25" s="155">
        <v>0.79900000000000004</v>
      </c>
      <c r="I25" s="155">
        <v>0.97</v>
      </c>
      <c r="J25" s="155">
        <v>1.0349999999999999</v>
      </c>
      <c r="K25" s="155">
        <v>1.069</v>
      </c>
      <c r="L25" s="155">
        <v>1.087</v>
      </c>
      <c r="M25" s="155">
        <v>1.097</v>
      </c>
      <c r="N25" s="155">
        <v>1.1299999999999999</v>
      </c>
      <c r="O25" s="155"/>
      <c r="P25" s="156"/>
      <c r="Q25" s="127"/>
      <c r="R25" s="152"/>
      <c r="S25" s="155"/>
    </row>
    <row r="26" spans="2:19" x14ac:dyDescent="0.3">
      <c r="B26" s="133"/>
      <c r="C26" s="127"/>
      <c r="D26" s="152">
        <v>-1.7</v>
      </c>
      <c r="E26" s="154"/>
      <c r="F26" s="152"/>
      <c r="G26" s="155">
        <v>0.26800000000000002</v>
      </c>
      <c r="H26" s="155">
        <v>0.80800000000000005</v>
      </c>
      <c r="I26" s="155">
        <v>0.88400000000000001</v>
      </c>
      <c r="J26" s="155">
        <v>1.075</v>
      </c>
      <c r="K26" s="155">
        <v>1.1160000000000001</v>
      </c>
      <c r="L26" s="155">
        <v>1.1399999999999999</v>
      </c>
      <c r="M26" s="155">
        <v>1.155</v>
      </c>
      <c r="N26" s="28">
        <v>1.2050000000000001</v>
      </c>
      <c r="O26" s="155"/>
      <c r="P26" s="156"/>
      <c r="Q26" s="127"/>
      <c r="R26" s="152"/>
      <c r="S26" s="28"/>
    </row>
    <row r="27" spans="2:19" x14ac:dyDescent="0.3">
      <c r="B27" s="133"/>
      <c r="C27" s="127"/>
      <c r="D27" s="152">
        <v>-1.6</v>
      </c>
      <c r="E27" s="154"/>
      <c r="F27" s="152"/>
      <c r="G27" s="155">
        <v>0.254</v>
      </c>
      <c r="H27" s="155">
        <v>0.81699999999999995</v>
      </c>
      <c r="I27" s="155">
        <v>0.99399999999999999</v>
      </c>
      <c r="J27" s="155">
        <v>1.1160000000000001</v>
      </c>
      <c r="K27" s="155">
        <v>1.1659999999999999</v>
      </c>
      <c r="L27" s="155">
        <v>1.1970000000000001</v>
      </c>
      <c r="M27" s="155">
        <v>1.216</v>
      </c>
      <c r="N27" s="155">
        <v>1.28</v>
      </c>
      <c r="O27" s="155"/>
      <c r="P27" s="156"/>
      <c r="Q27" s="127"/>
      <c r="R27" s="152"/>
      <c r="S27" s="155"/>
    </row>
    <row r="28" spans="2:19" x14ac:dyDescent="0.3">
      <c r="B28" s="133"/>
      <c r="C28" s="127"/>
      <c r="D28" s="152">
        <v>-1.5</v>
      </c>
      <c r="E28" s="154"/>
      <c r="F28" s="152"/>
      <c r="G28" s="155">
        <v>0.24</v>
      </c>
      <c r="H28" s="155">
        <v>0.82499999999999996</v>
      </c>
      <c r="I28" s="155">
        <v>1.018</v>
      </c>
      <c r="J28" s="155">
        <v>1.157</v>
      </c>
      <c r="K28" s="155">
        <v>1.2170000000000001</v>
      </c>
      <c r="L28" s="155">
        <v>1.256</v>
      </c>
      <c r="M28" s="155">
        <v>1.282</v>
      </c>
      <c r="N28" s="28">
        <v>1.3725000000000001</v>
      </c>
      <c r="O28" s="155"/>
      <c r="P28" s="156"/>
      <c r="Q28" s="127"/>
      <c r="R28" s="152"/>
      <c r="S28" s="28"/>
    </row>
    <row r="29" spans="2:19" x14ac:dyDescent="0.3">
      <c r="B29" s="133"/>
      <c r="C29" s="127"/>
      <c r="D29" s="152">
        <v>-1.4</v>
      </c>
      <c r="E29" s="154"/>
      <c r="F29" s="152"/>
      <c r="G29" s="155">
        <v>0.22500000000000001</v>
      </c>
      <c r="H29" s="155">
        <v>0.83199999999999996</v>
      </c>
      <c r="I29" s="155">
        <v>1.0409999999999999</v>
      </c>
      <c r="J29" s="155">
        <v>1.198</v>
      </c>
      <c r="K29" s="155">
        <v>1.27</v>
      </c>
      <c r="L29" s="155">
        <v>1.3180000000000001</v>
      </c>
      <c r="M29" s="155">
        <v>1.351</v>
      </c>
      <c r="N29" s="155">
        <v>1.4650000000000001</v>
      </c>
      <c r="O29" s="155"/>
      <c r="P29" s="156"/>
      <c r="Q29" s="127"/>
      <c r="R29" s="152"/>
      <c r="S29" s="155"/>
    </row>
    <row r="30" spans="2:19" x14ac:dyDescent="0.3">
      <c r="B30" s="133"/>
      <c r="C30" s="127"/>
      <c r="D30" s="152">
        <v>-1.3</v>
      </c>
      <c r="E30" s="154"/>
      <c r="F30" s="152"/>
      <c r="G30" s="155">
        <v>0.21</v>
      </c>
      <c r="H30" s="155">
        <v>0.83799999999999997</v>
      </c>
      <c r="I30" s="155">
        <v>1.0640000000000001</v>
      </c>
      <c r="J30" s="155">
        <v>1.24</v>
      </c>
      <c r="K30" s="155">
        <v>1.3240000000000001</v>
      </c>
      <c r="L30" s="155">
        <v>1.383</v>
      </c>
      <c r="M30" s="155">
        <v>1.4239999999999999</v>
      </c>
      <c r="N30" s="28">
        <v>1.5449999999999999</v>
      </c>
      <c r="O30" s="155"/>
      <c r="P30" s="156"/>
      <c r="Q30" s="127"/>
      <c r="R30" s="152"/>
      <c r="S30" s="28"/>
    </row>
    <row r="31" spans="2:19" x14ac:dyDescent="0.3">
      <c r="B31" s="133"/>
      <c r="C31" s="127"/>
      <c r="D31" s="152">
        <v>-1.2</v>
      </c>
      <c r="E31" s="154"/>
      <c r="F31" s="152"/>
      <c r="G31" s="155">
        <v>0.19500000000000001</v>
      </c>
      <c r="H31" s="155">
        <v>0.84399999999999997</v>
      </c>
      <c r="I31" s="155">
        <v>1.0860000000000001</v>
      </c>
      <c r="J31" s="155">
        <v>1.282</v>
      </c>
      <c r="K31" s="155">
        <v>1.379</v>
      </c>
      <c r="L31" s="155">
        <v>1.4490000000000001</v>
      </c>
      <c r="M31" s="155">
        <v>1.5009999999999999</v>
      </c>
      <c r="N31" s="155">
        <v>1.625</v>
      </c>
      <c r="O31" s="155"/>
      <c r="P31" s="156"/>
      <c r="Q31" s="127"/>
      <c r="R31" s="152"/>
      <c r="S31" s="155"/>
    </row>
    <row r="32" spans="2:19" x14ac:dyDescent="0.3">
      <c r="B32" s="133"/>
      <c r="C32" s="127"/>
      <c r="D32" s="152">
        <v>-1.1000000000000001</v>
      </c>
      <c r="E32" s="154"/>
      <c r="F32" s="152"/>
      <c r="G32" s="155">
        <v>0.18</v>
      </c>
      <c r="H32" s="155">
        <v>0.84799999999999998</v>
      </c>
      <c r="I32" s="155">
        <v>1.107</v>
      </c>
      <c r="J32" s="155">
        <v>1.3240000000000001</v>
      </c>
      <c r="K32" s="155">
        <v>1.4350000000000001</v>
      </c>
      <c r="L32" s="155">
        <v>1.518</v>
      </c>
      <c r="M32" s="155">
        <v>1.581</v>
      </c>
      <c r="N32" s="28">
        <v>1.7124999999999999</v>
      </c>
      <c r="O32" s="155"/>
      <c r="P32" s="156"/>
      <c r="Q32" s="127"/>
      <c r="R32" s="152"/>
      <c r="S32" s="28"/>
    </row>
    <row r="33" spans="2:19" x14ac:dyDescent="0.3">
      <c r="B33" s="133"/>
      <c r="C33" s="127"/>
      <c r="D33" s="152">
        <v>-1</v>
      </c>
      <c r="E33" s="154"/>
      <c r="F33" s="152"/>
      <c r="G33" s="155">
        <v>0.16400000000000001</v>
      </c>
      <c r="H33" s="155">
        <v>0.85199999999999998</v>
      </c>
      <c r="I33" s="155">
        <v>1.1279999999999999</v>
      </c>
      <c r="J33" s="155">
        <v>1.3660000000000001</v>
      </c>
      <c r="K33" s="155">
        <v>1.492</v>
      </c>
      <c r="L33" s="155">
        <v>1.5880000000000001</v>
      </c>
      <c r="M33" s="155">
        <v>1.6639999999999999</v>
      </c>
      <c r="N33" s="155">
        <v>1.8</v>
      </c>
      <c r="O33" s="155"/>
      <c r="P33" s="156"/>
      <c r="Q33" s="127"/>
      <c r="R33" s="152"/>
      <c r="S33" s="155"/>
    </row>
    <row r="34" spans="2:19" x14ac:dyDescent="0.3">
      <c r="B34" s="133"/>
      <c r="C34" s="127"/>
      <c r="D34" s="152">
        <v>-0.9</v>
      </c>
      <c r="E34" s="154"/>
      <c r="F34" s="152"/>
      <c r="G34" s="155">
        <v>0.14799999999999999</v>
      </c>
      <c r="H34" s="155">
        <v>0.85399999999999998</v>
      </c>
      <c r="I34" s="155">
        <v>1.147</v>
      </c>
      <c r="J34" s="155">
        <v>1.407</v>
      </c>
      <c r="K34" s="155">
        <v>1.5489999999999999</v>
      </c>
      <c r="L34" s="155">
        <v>1.66</v>
      </c>
      <c r="M34" s="155">
        <v>1.7490000000000001</v>
      </c>
      <c r="N34" s="155">
        <v>1.91</v>
      </c>
      <c r="O34" s="155"/>
      <c r="P34" s="156"/>
      <c r="Q34" s="127"/>
      <c r="R34" s="152"/>
      <c r="S34" s="155"/>
    </row>
    <row r="35" spans="2:19" x14ac:dyDescent="0.3">
      <c r="B35" s="133"/>
      <c r="C35" s="127"/>
      <c r="D35" s="152">
        <v>-0.8</v>
      </c>
      <c r="E35" s="154"/>
      <c r="F35" s="152"/>
      <c r="G35" s="155">
        <v>0.13200000000000001</v>
      </c>
      <c r="H35" s="155">
        <v>0.85599999999999998</v>
      </c>
      <c r="I35" s="155">
        <v>1.1659999999999999</v>
      </c>
      <c r="J35" s="155">
        <v>1.448</v>
      </c>
      <c r="K35" s="155">
        <v>1.6060000000000001</v>
      </c>
      <c r="L35" s="155">
        <v>1.7330000000000001</v>
      </c>
      <c r="M35" s="155">
        <v>1.837</v>
      </c>
      <c r="N35" s="155">
        <v>2.0350000000000001</v>
      </c>
      <c r="O35" s="155"/>
      <c r="P35" s="156"/>
      <c r="Q35" s="127"/>
      <c r="R35" s="152"/>
      <c r="S35" s="155"/>
    </row>
    <row r="36" spans="2:19" x14ac:dyDescent="0.3">
      <c r="B36" s="133"/>
      <c r="C36" s="127"/>
      <c r="D36" s="152">
        <v>-0.7</v>
      </c>
      <c r="E36" s="154"/>
      <c r="F36" s="152"/>
      <c r="G36" s="155">
        <v>0.11600000000000001</v>
      </c>
      <c r="H36" s="155">
        <v>0.85699999999999998</v>
      </c>
      <c r="I36" s="155">
        <v>1.1830000000000001</v>
      </c>
      <c r="J36" s="155">
        <v>1.488</v>
      </c>
      <c r="K36" s="155">
        <v>1.663</v>
      </c>
      <c r="L36" s="155">
        <v>1.806</v>
      </c>
      <c r="M36" s="155">
        <v>1.9259999999999999</v>
      </c>
      <c r="N36" s="155">
        <v>2.15</v>
      </c>
      <c r="O36" s="155"/>
      <c r="P36" s="156"/>
      <c r="Q36" s="127"/>
      <c r="R36" s="152"/>
      <c r="S36" s="155"/>
    </row>
    <row r="37" spans="2:19" x14ac:dyDescent="0.3">
      <c r="B37" s="133"/>
      <c r="C37" s="127"/>
      <c r="D37" s="1015">
        <v>-0.6</v>
      </c>
      <c r="E37" s="154"/>
      <c r="F37" s="152"/>
      <c r="G37" s="155">
        <v>9.9000000000000005E-2</v>
      </c>
      <c r="H37" s="155">
        <v>0.85699999999999998</v>
      </c>
      <c r="I37" s="155">
        <v>1.2</v>
      </c>
      <c r="J37" s="155">
        <v>1.528</v>
      </c>
      <c r="K37" s="155">
        <v>1.72</v>
      </c>
      <c r="L37" s="155">
        <v>1.88</v>
      </c>
      <c r="M37" s="155">
        <v>2.016</v>
      </c>
      <c r="N37" s="155">
        <v>2.2749999999999999</v>
      </c>
      <c r="O37" s="155"/>
      <c r="P37" s="156"/>
      <c r="Q37" s="127"/>
      <c r="R37" s="152"/>
      <c r="S37" s="155"/>
    </row>
    <row r="38" spans="2:19" x14ac:dyDescent="0.3">
      <c r="B38" s="133"/>
      <c r="C38" s="127"/>
      <c r="D38" s="1016">
        <v>-0.5</v>
      </c>
      <c r="E38" s="154"/>
      <c r="F38" s="152"/>
      <c r="G38" s="155">
        <v>8.3000000000000004E-2</v>
      </c>
      <c r="H38" s="155">
        <v>0.85599999999999998</v>
      </c>
      <c r="I38" s="155">
        <v>1.216</v>
      </c>
      <c r="J38" s="155">
        <v>1.5669999999999999</v>
      </c>
      <c r="K38" s="155">
        <v>1.77</v>
      </c>
      <c r="L38" s="155">
        <v>1.9550000000000001</v>
      </c>
      <c r="M38" s="155">
        <v>2.1080000000000001</v>
      </c>
      <c r="N38" s="155">
        <v>2.4</v>
      </c>
      <c r="O38" s="155"/>
      <c r="P38" s="156"/>
      <c r="Q38" s="127"/>
      <c r="R38" s="152"/>
      <c r="S38" s="155"/>
    </row>
    <row r="39" spans="2:19" x14ac:dyDescent="0.3">
      <c r="B39" s="133"/>
      <c r="C39" s="127"/>
      <c r="D39" s="1017">
        <v>-0.4</v>
      </c>
      <c r="E39" s="154"/>
      <c r="F39" s="152"/>
      <c r="G39" s="155">
        <v>6.6000000000000003E-2</v>
      </c>
      <c r="H39" s="155">
        <v>0.85499999999999998</v>
      </c>
      <c r="I39" s="155">
        <v>1.2310000000000001</v>
      </c>
      <c r="J39" s="155">
        <v>1.6060000000000001</v>
      </c>
      <c r="K39" s="155">
        <v>1.8340000000000001</v>
      </c>
      <c r="L39" s="155">
        <v>2.0289999999999999</v>
      </c>
      <c r="M39" s="155">
        <v>2.2010000000000001</v>
      </c>
      <c r="N39" s="155">
        <v>2.54</v>
      </c>
      <c r="O39" s="155"/>
      <c r="P39" s="156"/>
      <c r="Q39" s="127"/>
      <c r="R39" s="152"/>
      <c r="S39" s="155"/>
    </row>
    <row r="40" spans="2:19" x14ac:dyDescent="0.3">
      <c r="B40" s="133"/>
      <c r="C40" s="127"/>
      <c r="D40" s="152">
        <v>-0.3</v>
      </c>
      <c r="E40" s="154"/>
      <c r="F40" s="152"/>
      <c r="G40" s="155">
        <v>0.5</v>
      </c>
      <c r="H40" s="155">
        <v>0.85299999999999998</v>
      </c>
      <c r="I40" s="155">
        <v>1.2450000000000001</v>
      </c>
      <c r="J40" s="155">
        <v>1.643</v>
      </c>
      <c r="K40" s="155">
        <v>1.89</v>
      </c>
      <c r="L40" s="155">
        <v>2.1040000000000001</v>
      </c>
      <c r="M40" s="155">
        <v>2.294</v>
      </c>
      <c r="N40" s="155">
        <v>2.6749999999999998</v>
      </c>
      <c r="O40" s="155"/>
      <c r="P40" s="156"/>
      <c r="Q40" s="127"/>
      <c r="R40" s="152"/>
      <c r="S40" s="155"/>
    </row>
    <row r="41" spans="2:19" x14ac:dyDescent="0.3">
      <c r="B41" s="133"/>
      <c r="C41" s="127"/>
      <c r="D41" s="152">
        <v>-0.2</v>
      </c>
      <c r="E41" s="154"/>
      <c r="F41" s="152"/>
      <c r="G41" s="155">
        <v>3.3000000000000002E-2</v>
      </c>
      <c r="H41" s="155">
        <v>0.85</v>
      </c>
      <c r="I41" s="155">
        <v>1.258</v>
      </c>
      <c r="J41" s="155">
        <v>1.68</v>
      </c>
      <c r="K41" s="155">
        <v>1.9450000000000001</v>
      </c>
      <c r="L41" s="155">
        <v>2.1779999999999999</v>
      </c>
      <c r="M41" s="155">
        <v>2.3879999999999999</v>
      </c>
      <c r="N41" s="155">
        <v>2.81</v>
      </c>
      <c r="O41" s="155"/>
      <c r="P41" s="156"/>
      <c r="Q41" s="127"/>
      <c r="R41" s="152"/>
      <c r="S41" s="155"/>
    </row>
    <row r="42" spans="2:19" x14ac:dyDescent="0.3">
      <c r="B42" s="133"/>
      <c r="C42" s="127"/>
      <c r="D42" s="152">
        <v>-0.1</v>
      </c>
      <c r="E42" s="154"/>
      <c r="F42" s="152"/>
      <c r="G42" s="155">
        <v>1.7000000000000001E-2</v>
      </c>
      <c r="H42" s="155">
        <v>0.84599999999999997</v>
      </c>
      <c r="I42" s="155">
        <v>1.27</v>
      </c>
      <c r="J42" s="155">
        <v>1.716</v>
      </c>
      <c r="K42" s="155">
        <v>2</v>
      </c>
      <c r="L42" s="155">
        <v>2.2519999999999998</v>
      </c>
      <c r="M42" s="155">
        <v>2.4820000000000002</v>
      </c>
      <c r="N42" s="155">
        <v>2.95</v>
      </c>
      <c r="O42" s="155"/>
      <c r="P42" s="156"/>
      <c r="Q42" s="127"/>
      <c r="R42" s="152"/>
      <c r="S42" s="155"/>
    </row>
    <row r="43" spans="2:19" x14ac:dyDescent="0.3">
      <c r="B43" s="133"/>
      <c r="C43" s="127"/>
      <c r="D43" s="152">
        <v>0</v>
      </c>
      <c r="E43" s="154"/>
      <c r="F43" s="152"/>
      <c r="G43" s="155">
        <v>0</v>
      </c>
      <c r="H43" s="155">
        <v>0.84199999999999997</v>
      </c>
      <c r="I43" s="155">
        <v>1.282</v>
      </c>
      <c r="J43" s="155">
        <v>1.7509999999999999</v>
      </c>
      <c r="K43" s="155">
        <v>2.0539999999999998</v>
      </c>
      <c r="L43" s="155">
        <v>2.3260000000000001</v>
      </c>
      <c r="M43" s="155">
        <v>2.5760000000000001</v>
      </c>
      <c r="N43" s="155">
        <v>3.09</v>
      </c>
      <c r="O43" s="155"/>
      <c r="P43" s="156"/>
      <c r="Q43" s="127"/>
      <c r="R43" s="152"/>
      <c r="S43" s="155"/>
    </row>
    <row r="44" spans="2:19" x14ac:dyDescent="0.3">
      <c r="B44" s="133"/>
      <c r="C44" s="127"/>
      <c r="D44" s="152">
        <v>0.1</v>
      </c>
      <c r="E44" s="154"/>
      <c r="F44" s="152"/>
      <c r="G44" s="155">
        <v>-1.7000000000000001E-2</v>
      </c>
      <c r="H44" s="155">
        <v>0.83599999999999997</v>
      </c>
      <c r="I44" s="155">
        <v>1.292</v>
      </c>
      <c r="J44" s="155">
        <v>1.7849999999999999</v>
      </c>
      <c r="K44" s="155">
        <v>2.1070000000000002</v>
      </c>
      <c r="L44" s="155">
        <v>2.4</v>
      </c>
      <c r="M44" s="155">
        <v>2.67</v>
      </c>
      <c r="N44" s="155">
        <v>3.2349999999999999</v>
      </c>
      <c r="O44" s="155"/>
      <c r="P44" s="156"/>
      <c r="Q44" s="127"/>
      <c r="R44" s="152"/>
      <c r="S44" s="155"/>
    </row>
    <row r="45" spans="2:19" x14ac:dyDescent="0.3">
      <c r="B45" s="133"/>
      <c r="C45" s="127"/>
      <c r="D45" s="152">
        <v>0.2</v>
      </c>
      <c r="E45" s="154"/>
      <c r="F45" s="152"/>
      <c r="G45" s="155">
        <v>-3.3000000000000002E-2</v>
      </c>
      <c r="H45" s="155">
        <v>0.83</v>
      </c>
      <c r="I45" s="155">
        <v>1.3009999999999999</v>
      </c>
      <c r="J45" s="155">
        <v>1.8180000000000001</v>
      </c>
      <c r="K45" s="155">
        <v>2.1589999999999998</v>
      </c>
      <c r="L45" s="155">
        <v>2.472</v>
      </c>
      <c r="M45" s="155">
        <v>2.7629999999999999</v>
      </c>
      <c r="N45" s="155">
        <v>3.38</v>
      </c>
      <c r="O45" s="155"/>
      <c r="P45" s="156"/>
      <c r="Q45" s="127"/>
      <c r="R45" s="152"/>
      <c r="S45" s="155"/>
    </row>
    <row r="46" spans="2:19" x14ac:dyDescent="0.3">
      <c r="B46" s="133"/>
      <c r="C46" s="127"/>
      <c r="D46" s="152">
        <v>0.3</v>
      </c>
      <c r="E46" s="154"/>
      <c r="F46" s="152"/>
      <c r="G46" s="155">
        <v>-0.05</v>
      </c>
      <c r="H46" s="155">
        <v>0.82399999999999995</v>
      </c>
      <c r="I46" s="155">
        <v>1.3089999999999999</v>
      </c>
      <c r="J46" s="155">
        <v>1.849</v>
      </c>
      <c r="K46" s="155">
        <v>2.2109999999999999</v>
      </c>
      <c r="L46" s="155">
        <v>2.544</v>
      </c>
      <c r="M46" s="155">
        <v>2.8559999999999999</v>
      </c>
      <c r="N46" s="155">
        <v>3.5249999999999999</v>
      </c>
      <c r="O46" s="155"/>
      <c r="P46" s="156"/>
      <c r="Q46" s="127"/>
      <c r="R46" s="152"/>
      <c r="S46" s="155"/>
    </row>
    <row r="47" spans="2:19" x14ac:dyDescent="0.3">
      <c r="B47" s="133"/>
      <c r="C47" s="127"/>
      <c r="D47" s="152">
        <v>0.4</v>
      </c>
      <c r="E47" s="154"/>
      <c r="F47" s="152"/>
      <c r="G47" s="155">
        <v>-6.6000000000000003E-2</v>
      </c>
      <c r="H47" s="155">
        <v>0.81599999999999995</v>
      </c>
      <c r="I47" s="155">
        <v>1.3169999999999999</v>
      </c>
      <c r="J47" s="155">
        <v>1.88</v>
      </c>
      <c r="K47" s="155">
        <v>2.2610000000000001</v>
      </c>
      <c r="L47" s="155">
        <v>2.6150000000000002</v>
      </c>
      <c r="M47" s="155">
        <v>2.9489999999999998</v>
      </c>
      <c r="N47" s="155">
        <v>3.67</v>
      </c>
      <c r="O47" s="155"/>
      <c r="P47" s="156"/>
      <c r="Q47" s="127"/>
      <c r="R47" s="152"/>
      <c r="S47" s="155"/>
    </row>
    <row r="48" spans="2:19" x14ac:dyDescent="0.3">
      <c r="B48" s="133"/>
      <c r="C48" s="127"/>
      <c r="D48" s="152">
        <v>0.5</v>
      </c>
      <c r="E48" s="154"/>
      <c r="F48" s="152"/>
      <c r="G48" s="155">
        <v>-8.3000000000000004E-2</v>
      </c>
      <c r="H48" s="155">
        <v>0.80800000000000005</v>
      </c>
      <c r="I48" s="155">
        <v>1.323</v>
      </c>
      <c r="J48" s="155">
        <v>1.91</v>
      </c>
      <c r="K48" s="155">
        <v>2.3109999999999999</v>
      </c>
      <c r="L48" s="155">
        <v>2.6859999999999999</v>
      </c>
      <c r="M48" s="155">
        <v>3.0409999999999999</v>
      </c>
      <c r="N48" s="155">
        <v>3.8149999999999999</v>
      </c>
      <c r="O48" s="155"/>
      <c r="P48" s="156"/>
      <c r="Q48" s="127"/>
      <c r="R48" s="152"/>
      <c r="S48" s="155"/>
    </row>
    <row r="49" spans="2:19" x14ac:dyDescent="0.3">
      <c r="B49" s="133"/>
      <c r="C49" s="127"/>
      <c r="D49" s="152">
        <v>0.6</v>
      </c>
      <c r="E49" s="154"/>
      <c r="F49" s="152"/>
      <c r="G49" s="155">
        <v>-9.9000000000000005E-2</v>
      </c>
      <c r="H49" s="155">
        <v>0.8</v>
      </c>
      <c r="I49" s="155">
        <v>1.3280000000000001</v>
      </c>
      <c r="J49" s="155">
        <v>1.9390000000000001</v>
      </c>
      <c r="K49" s="155">
        <v>2.359</v>
      </c>
      <c r="L49" s="155">
        <v>2.7549999999999999</v>
      </c>
      <c r="M49" s="155">
        <v>3.1320000000000001</v>
      </c>
      <c r="N49" s="155">
        <v>3.96</v>
      </c>
      <c r="O49" s="155"/>
      <c r="P49" s="156"/>
      <c r="Q49" s="127"/>
      <c r="R49" s="152"/>
      <c r="S49" s="155"/>
    </row>
    <row r="50" spans="2:19" x14ac:dyDescent="0.3">
      <c r="B50" s="133"/>
      <c r="C50" s="127"/>
      <c r="D50" s="152">
        <v>0.7</v>
      </c>
      <c r="E50" s="154"/>
      <c r="F50" s="152"/>
      <c r="G50" s="155">
        <v>-0.11600000000000001</v>
      </c>
      <c r="H50" s="155">
        <v>0.79</v>
      </c>
      <c r="I50" s="155">
        <v>1.333</v>
      </c>
      <c r="J50" s="155">
        <v>1.9670000000000001</v>
      </c>
      <c r="K50" s="155">
        <v>2.407</v>
      </c>
      <c r="L50" s="155">
        <v>2.8239999999999998</v>
      </c>
      <c r="M50" s="155">
        <v>3.2229999999999999</v>
      </c>
      <c r="N50" s="155">
        <v>4.1050000000000004</v>
      </c>
      <c r="O50" s="155"/>
      <c r="P50" s="156"/>
      <c r="Q50" s="127"/>
      <c r="R50" s="152"/>
      <c r="S50" s="155"/>
    </row>
    <row r="51" spans="2:19" x14ac:dyDescent="0.3">
      <c r="B51" s="133"/>
      <c r="C51" s="127"/>
      <c r="D51" s="152">
        <v>0.8</v>
      </c>
      <c r="E51" s="154"/>
      <c r="F51" s="152"/>
      <c r="G51" s="155">
        <v>-0.13200000000000001</v>
      </c>
      <c r="H51" s="155">
        <v>0.78</v>
      </c>
      <c r="I51" s="155">
        <v>1.3360000000000001</v>
      </c>
      <c r="J51" s="155">
        <v>1.998</v>
      </c>
      <c r="K51" s="155">
        <v>2.4529999999999998</v>
      </c>
      <c r="L51" s="155">
        <v>2.891</v>
      </c>
      <c r="M51" s="155">
        <v>3.3119999999999998</v>
      </c>
      <c r="N51" s="155">
        <v>4.25</v>
      </c>
      <c r="O51" s="155"/>
      <c r="P51" s="156"/>
      <c r="Q51" s="127"/>
      <c r="R51" s="152"/>
      <c r="S51" s="155"/>
    </row>
    <row r="52" spans="2:19" x14ac:dyDescent="0.3">
      <c r="B52" s="133"/>
      <c r="C52" s="127"/>
      <c r="D52" s="152">
        <v>0.9</v>
      </c>
      <c r="E52" s="154"/>
      <c r="F52" s="152"/>
      <c r="G52" s="155">
        <v>-0.14799999999999999</v>
      </c>
      <c r="H52" s="155">
        <v>0.76900000000000002</v>
      </c>
      <c r="I52" s="155">
        <v>1.339</v>
      </c>
      <c r="J52" s="155">
        <v>2.0179999999999998</v>
      </c>
      <c r="K52" s="155">
        <v>2.4980000000000002</v>
      </c>
      <c r="L52" s="155">
        <v>2.9569999999999999</v>
      </c>
      <c r="M52" s="155">
        <v>3.4009999999999998</v>
      </c>
      <c r="N52" s="155">
        <v>4.3949999999999996</v>
      </c>
      <c r="O52" s="155"/>
      <c r="P52" s="156"/>
      <c r="Q52" s="127"/>
      <c r="R52" s="152"/>
      <c r="S52" s="155"/>
    </row>
    <row r="53" spans="2:19" x14ac:dyDescent="0.3">
      <c r="B53" s="133"/>
      <c r="C53" s="127"/>
      <c r="D53" s="152">
        <v>1</v>
      </c>
      <c r="E53" s="154"/>
      <c r="F53" s="152"/>
      <c r="G53" s="155">
        <v>-0.16400000000000001</v>
      </c>
      <c r="H53" s="155">
        <v>0.75800000000000001</v>
      </c>
      <c r="I53" s="155">
        <v>1.34</v>
      </c>
      <c r="J53" s="155">
        <v>2.0430000000000001</v>
      </c>
      <c r="K53" s="155">
        <v>2.5419999999999998</v>
      </c>
      <c r="L53" s="155">
        <v>3.0219999999999998</v>
      </c>
      <c r="M53" s="155">
        <v>3.4889999999999999</v>
      </c>
      <c r="N53" s="155">
        <v>4.54</v>
      </c>
      <c r="O53" s="155"/>
      <c r="P53" s="156"/>
      <c r="Q53" s="127"/>
      <c r="R53" s="152"/>
      <c r="S53" s="155"/>
    </row>
    <row r="54" spans="2:19" x14ac:dyDescent="0.3">
      <c r="B54" s="133"/>
      <c r="C54" s="127"/>
      <c r="D54" s="152">
        <v>1.1000000000000001</v>
      </c>
      <c r="E54" s="154"/>
      <c r="F54" s="152"/>
      <c r="G54" s="155">
        <v>-0.18</v>
      </c>
      <c r="H54" s="155">
        <v>0.745</v>
      </c>
      <c r="I54" s="155">
        <v>1.341</v>
      </c>
      <c r="J54" s="155">
        <v>2.0659999999999998</v>
      </c>
      <c r="K54" s="155">
        <v>2.585</v>
      </c>
      <c r="L54" s="155">
        <v>3.0870000000000002</v>
      </c>
      <c r="M54" s="155">
        <v>3.5750000000000002</v>
      </c>
      <c r="N54" s="155">
        <v>4.68</v>
      </c>
      <c r="O54" s="155"/>
      <c r="P54" s="156"/>
      <c r="Q54" s="127"/>
      <c r="R54" s="152"/>
      <c r="S54" s="28"/>
    </row>
    <row r="55" spans="2:19" x14ac:dyDescent="0.3">
      <c r="B55" s="133"/>
      <c r="C55" s="127"/>
      <c r="D55" s="152">
        <v>1.2</v>
      </c>
      <c r="E55" s="154"/>
      <c r="F55" s="152"/>
      <c r="G55" s="155">
        <v>-0.19500000000000001</v>
      </c>
      <c r="H55" s="155">
        <v>0.73199999999999998</v>
      </c>
      <c r="I55" s="155">
        <v>1.34</v>
      </c>
      <c r="J55" s="155">
        <v>2.0870000000000002</v>
      </c>
      <c r="K55" s="155">
        <v>2.6259999999999999</v>
      </c>
      <c r="L55" s="155">
        <v>3.149</v>
      </c>
      <c r="M55" s="155">
        <v>3.661</v>
      </c>
      <c r="N55" s="155">
        <v>4.82</v>
      </c>
      <c r="O55" s="155"/>
      <c r="P55" s="156"/>
      <c r="Q55" s="127"/>
      <c r="R55" s="152"/>
      <c r="S55" s="155"/>
    </row>
    <row r="56" spans="2:19" x14ac:dyDescent="0.3">
      <c r="B56" s="133"/>
      <c r="C56" s="127"/>
      <c r="D56" s="152">
        <v>1.3</v>
      </c>
      <c r="E56" s="154"/>
      <c r="F56" s="152"/>
      <c r="G56" s="155">
        <v>-0.21</v>
      </c>
      <c r="H56" s="155">
        <v>0.71899999999999997</v>
      </c>
      <c r="I56" s="155">
        <v>1.339</v>
      </c>
      <c r="J56" s="155">
        <v>2.1080000000000001</v>
      </c>
      <c r="K56" s="155">
        <v>2.6659999999999999</v>
      </c>
      <c r="L56" s="155">
        <v>3.2109999999999999</v>
      </c>
      <c r="M56" s="155">
        <v>3.7450000000000001</v>
      </c>
      <c r="N56" s="155">
        <v>4.9649999999999999</v>
      </c>
      <c r="O56" s="155"/>
      <c r="P56" s="156"/>
      <c r="Q56" s="127"/>
      <c r="R56" s="152"/>
      <c r="S56" s="28"/>
    </row>
    <row r="57" spans="2:19" x14ac:dyDescent="0.3">
      <c r="B57" s="133"/>
      <c r="C57" s="127"/>
      <c r="D57" s="152">
        <v>1.4</v>
      </c>
      <c r="E57" s="154"/>
      <c r="F57" s="152"/>
      <c r="G57" s="155">
        <v>-0.22500000000000001</v>
      </c>
      <c r="H57" s="155">
        <v>0.70499999999999996</v>
      </c>
      <c r="I57" s="155">
        <v>1.337</v>
      </c>
      <c r="J57" s="155">
        <v>2.1280000000000001</v>
      </c>
      <c r="K57" s="155">
        <v>2.706</v>
      </c>
      <c r="L57" s="155">
        <v>3.2709999999999999</v>
      </c>
      <c r="M57" s="155">
        <v>3.8279999999999998</v>
      </c>
      <c r="N57" s="155">
        <v>5.1100000000000003</v>
      </c>
      <c r="O57" s="155"/>
      <c r="P57" s="156"/>
      <c r="Q57" s="127"/>
      <c r="R57" s="152"/>
      <c r="S57" s="155"/>
    </row>
    <row r="58" spans="2:19" x14ac:dyDescent="0.3">
      <c r="B58" s="133"/>
      <c r="C58" s="127"/>
      <c r="D58" s="152">
        <v>1.5</v>
      </c>
      <c r="E58" s="154"/>
      <c r="F58" s="152"/>
      <c r="G58" s="155">
        <v>-0.24</v>
      </c>
      <c r="H58" s="155">
        <v>0.69</v>
      </c>
      <c r="I58" s="155">
        <v>1.333</v>
      </c>
      <c r="J58" s="155">
        <v>2.1459999999999999</v>
      </c>
      <c r="K58" s="155">
        <v>2.7429999999999999</v>
      </c>
      <c r="L58" s="155">
        <v>3.33</v>
      </c>
      <c r="M58" s="155">
        <v>3.91</v>
      </c>
      <c r="N58" s="155">
        <v>5.25</v>
      </c>
      <c r="O58" s="155"/>
      <c r="P58" s="156"/>
      <c r="Q58" s="127"/>
      <c r="R58" s="152"/>
      <c r="S58" s="28"/>
    </row>
    <row r="59" spans="2:19" x14ac:dyDescent="0.3">
      <c r="B59" s="133"/>
      <c r="C59" s="127"/>
      <c r="D59" s="152">
        <v>1.6</v>
      </c>
      <c r="E59" s="154"/>
      <c r="F59" s="152"/>
      <c r="G59" s="155">
        <v>-0.254</v>
      </c>
      <c r="H59" s="155">
        <v>0.67500000000000004</v>
      </c>
      <c r="I59" s="155">
        <v>1.329</v>
      </c>
      <c r="J59" s="155">
        <v>2.1629999999999998</v>
      </c>
      <c r="K59" s="155">
        <v>2.78</v>
      </c>
      <c r="L59" s="155">
        <v>3.3879999999999999</v>
      </c>
      <c r="M59" s="155">
        <v>3.99</v>
      </c>
      <c r="N59" s="155">
        <v>5.39</v>
      </c>
      <c r="O59" s="155"/>
      <c r="P59" s="156"/>
      <c r="Q59" s="127"/>
      <c r="R59" s="152"/>
      <c r="S59" s="155"/>
    </row>
    <row r="60" spans="2:19" x14ac:dyDescent="0.3">
      <c r="B60" s="133"/>
      <c r="C60" s="127"/>
      <c r="D60" s="152">
        <v>1.7</v>
      </c>
      <c r="E60" s="154"/>
      <c r="F60" s="152"/>
      <c r="G60" s="155">
        <v>-0.26800000000000002</v>
      </c>
      <c r="H60" s="155">
        <v>0.66</v>
      </c>
      <c r="I60" s="155">
        <v>1.3240000000000001</v>
      </c>
      <c r="J60" s="155">
        <v>2.1789999999999998</v>
      </c>
      <c r="K60" s="155">
        <v>2.8149999999999999</v>
      </c>
      <c r="L60" s="155">
        <v>3.444</v>
      </c>
      <c r="M60" s="155">
        <v>4.069</v>
      </c>
      <c r="N60" s="155">
        <v>5.5250000000000004</v>
      </c>
      <c r="O60" s="155"/>
      <c r="P60" s="156"/>
      <c r="Q60" s="127"/>
      <c r="R60" s="152"/>
      <c r="S60" s="28"/>
    </row>
    <row r="61" spans="2:19" x14ac:dyDescent="0.3">
      <c r="B61" s="133"/>
      <c r="C61" s="127"/>
      <c r="D61" s="152">
        <v>1.8</v>
      </c>
      <c r="E61" s="154"/>
      <c r="F61" s="152"/>
      <c r="G61" s="155">
        <v>-0.28199999999999997</v>
      </c>
      <c r="H61" s="155">
        <v>0.64300000000000002</v>
      </c>
      <c r="I61" s="155">
        <v>1.3180000000000001</v>
      </c>
      <c r="J61" s="155">
        <v>2.1930000000000001</v>
      </c>
      <c r="K61" s="155">
        <v>2.8279999999999998</v>
      </c>
      <c r="L61" s="155">
        <v>3.4990000000000001</v>
      </c>
      <c r="M61" s="155">
        <v>4.1470000000000002</v>
      </c>
      <c r="N61" s="155">
        <v>5.66</v>
      </c>
      <c r="O61" s="155"/>
      <c r="P61" s="156"/>
      <c r="Q61" s="127"/>
      <c r="R61" s="152"/>
      <c r="S61" s="155"/>
    </row>
    <row r="62" spans="2:19" x14ac:dyDescent="0.3">
      <c r="B62" s="133"/>
      <c r="C62" s="127"/>
      <c r="D62" s="152">
        <v>1.9</v>
      </c>
      <c r="E62" s="154"/>
      <c r="F62" s="152"/>
      <c r="G62" s="155">
        <v>-0.28199999999999997</v>
      </c>
      <c r="H62" s="155">
        <v>0.627</v>
      </c>
      <c r="I62" s="155">
        <v>1.31</v>
      </c>
      <c r="J62" s="155">
        <v>2.2069999999999999</v>
      </c>
      <c r="K62" s="155">
        <v>2.8809999999999998</v>
      </c>
      <c r="L62" s="155">
        <v>3.5529999999999999</v>
      </c>
      <c r="M62" s="155">
        <v>4.2229999999999999</v>
      </c>
      <c r="N62" s="155">
        <v>5.7850000000000001</v>
      </c>
      <c r="O62" s="155"/>
      <c r="P62" s="156"/>
      <c r="Q62" s="127"/>
      <c r="R62" s="152"/>
      <c r="S62" s="28"/>
    </row>
    <row r="63" spans="2:19" x14ac:dyDescent="0.3">
      <c r="B63" s="133"/>
      <c r="C63" s="127"/>
      <c r="D63" s="152">
        <v>2</v>
      </c>
      <c r="E63" s="154"/>
      <c r="F63" s="152"/>
      <c r="G63" s="155">
        <v>-0.307</v>
      </c>
      <c r="H63" s="155">
        <v>0.60899999999999999</v>
      </c>
      <c r="I63" s="155">
        <v>1.302</v>
      </c>
      <c r="J63" s="155">
        <v>2.2189999999999999</v>
      </c>
      <c r="K63" s="155">
        <v>2.9119999999999999</v>
      </c>
      <c r="L63" s="155">
        <v>3.605</v>
      </c>
      <c r="M63" s="155">
        <v>4.298</v>
      </c>
      <c r="N63" s="155">
        <v>5.91</v>
      </c>
      <c r="O63" s="155"/>
      <c r="P63" s="156"/>
      <c r="Q63" s="127"/>
      <c r="R63" s="152"/>
      <c r="S63" s="155"/>
    </row>
    <row r="64" spans="2:19" x14ac:dyDescent="0.3">
      <c r="B64" s="133"/>
      <c r="C64" s="127"/>
      <c r="D64" s="152">
        <v>2.1</v>
      </c>
      <c r="E64" s="154"/>
      <c r="F64" s="152"/>
      <c r="G64" s="155">
        <v>-0.31900000000000001</v>
      </c>
      <c r="H64" s="155">
        <v>0.59199999999999997</v>
      </c>
      <c r="I64" s="155">
        <v>1.294</v>
      </c>
      <c r="J64" s="155">
        <v>2.23</v>
      </c>
      <c r="K64" s="155">
        <v>2.9420000000000002</v>
      </c>
      <c r="L64" s="155">
        <v>3.6560000000000001</v>
      </c>
      <c r="M64" s="155">
        <v>4.3719999999999999</v>
      </c>
      <c r="N64" s="155">
        <v>6.0549999999999997</v>
      </c>
      <c r="O64" s="155"/>
      <c r="P64" s="156"/>
      <c r="Q64" s="127"/>
      <c r="R64" s="152"/>
      <c r="S64" s="28"/>
    </row>
    <row r="65" spans="2:19" x14ac:dyDescent="0.3">
      <c r="B65" s="133"/>
      <c r="C65" s="127"/>
      <c r="D65" s="152">
        <v>2.2000000000000002</v>
      </c>
      <c r="E65" s="154"/>
      <c r="F65" s="152"/>
      <c r="G65" s="155">
        <v>-0.33</v>
      </c>
      <c r="H65" s="155">
        <v>0.57399999999999995</v>
      </c>
      <c r="I65" s="155">
        <v>1.284</v>
      </c>
      <c r="J65" s="155">
        <v>2.2400000000000002</v>
      </c>
      <c r="K65" s="155">
        <v>2.97</v>
      </c>
      <c r="L65" s="155">
        <v>3.7050000000000001</v>
      </c>
      <c r="M65" s="155">
        <v>4.444</v>
      </c>
      <c r="N65" s="155">
        <v>6.2</v>
      </c>
      <c r="O65" s="155"/>
      <c r="P65" s="156"/>
      <c r="Q65" s="127"/>
      <c r="R65" s="152"/>
      <c r="S65" s="155"/>
    </row>
    <row r="66" spans="2:19" x14ac:dyDescent="0.3">
      <c r="B66" s="133"/>
      <c r="C66" s="127"/>
      <c r="D66" s="152">
        <v>2.2999999999999998</v>
      </c>
      <c r="E66" s="154"/>
      <c r="F66" s="152"/>
      <c r="G66" s="155">
        <v>-0.34100000000000003</v>
      </c>
      <c r="H66" s="155">
        <v>0.55500000000000005</v>
      </c>
      <c r="I66" s="155">
        <v>1.274</v>
      </c>
      <c r="J66" s="155">
        <v>2.2480000000000002</v>
      </c>
      <c r="K66" s="155">
        <v>2.9969999999999999</v>
      </c>
      <c r="L66" s="155">
        <v>3.7530000000000001</v>
      </c>
      <c r="M66" s="155">
        <v>4.5149999999999997</v>
      </c>
      <c r="N66" s="155">
        <v>6.333333333333333</v>
      </c>
      <c r="O66" s="155"/>
      <c r="P66" s="156"/>
      <c r="Q66" s="127"/>
      <c r="R66" s="152"/>
      <c r="S66" s="28"/>
    </row>
    <row r="67" spans="2:19" x14ac:dyDescent="0.3">
      <c r="B67" s="133"/>
      <c r="C67" s="127"/>
      <c r="D67" s="152">
        <v>2.4</v>
      </c>
      <c r="E67" s="154"/>
      <c r="F67" s="152"/>
      <c r="G67" s="155">
        <v>-0.35099999999999998</v>
      </c>
      <c r="H67" s="155">
        <v>0.53700000000000003</v>
      </c>
      <c r="I67" s="155">
        <v>1.262</v>
      </c>
      <c r="J67" s="155">
        <v>2.2559999999999998</v>
      </c>
      <c r="K67" s="155">
        <v>3.0230000000000001</v>
      </c>
      <c r="L67" s="155">
        <v>3.8</v>
      </c>
      <c r="M67" s="155">
        <v>4.5839999999999996</v>
      </c>
      <c r="N67" s="155">
        <v>6.4666666666666659</v>
      </c>
      <c r="O67" s="155"/>
      <c r="P67" s="156"/>
      <c r="Q67" s="127"/>
      <c r="R67" s="152"/>
      <c r="S67" s="28"/>
    </row>
    <row r="68" spans="2:19" x14ac:dyDescent="0.3">
      <c r="B68" s="133"/>
      <c r="C68" s="127"/>
      <c r="D68" s="152">
        <v>2.5</v>
      </c>
      <c r="E68" s="154"/>
      <c r="F68" s="152"/>
      <c r="G68" s="155">
        <v>-0.36</v>
      </c>
      <c r="H68" s="155">
        <v>0.51800000000000002</v>
      </c>
      <c r="I68" s="155">
        <v>1.25</v>
      </c>
      <c r="J68" s="155">
        <v>2.262</v>
      </c>
      <c r="K68" s="155">
        <v>3.048</v>
      </c>
      <c r="L68" s="155">
        <v>3.8450000000000002</v>
      </c>
      <c r="M68" s="155">
        <v>4.6520000000000001</v>
      </c>
      <c r="N68" s="155">
        <v>6.6</v>
      </c>
      <c r="O68" s="155"/>
      <c r="P68" s="156"/>
      <c r="Q68" s="127"/>
      <c r="R68" s="152"/>
      <c r="S68" s="155"/>
    </row>
    <row r="69" spans="2:19" x14ac:dyDescent="0.3">
      <c r="B69" s="133"/>
      <c r="C69" s="127"/>
      <c r="D69" s="152">
        <v>2.6</v>
      </c>
      <c r="E69" s="154"/>
      <c r="F69" s="152"/>
      <c r="G69" s="155">
        <v>-0.36799999999999999</v>
      </c>
      <c r="H69" s="155">
        <v>0.79900000000000004</v>
      </c>
      <c r="I69" s="155">
        <v>1.238</v>
      </c>
      <c r="J69" s="155">
        <v>2.2669999999999999</v>
      </c>
      <c r="K69" s="155">
        <v>3.0169999999999999</v>
      </c>
      <c r="L69" s="155">
        <v>3.899</v>
      </c>
      <c r="M69" s="155">
        <v>4.718</v>
      </c>
      <c r="N69" s="155">
        <v>6.73</v>
      </c>
      <c r="O69" s="155"/>
      <c r="P69" s="156"/>
      <c r="Q69" s="127"/>
      <c r="R69" s="152"/>
      <c r="S69" s="28"/>
    </row>
    <row r="70" spans="2:19" x14ac:dyDescent="0.3">
      <c r="B70" s="133"/>
      <c r="C70" s="127"/>
      <c r="D70" s="152">
        <v>2.7</v>
      </c>
      <c r="E70" s="154"/>
      <c r="F70" s="152"/>
      <c r="G70" s="155">
        <v>-0.38400000000000001</v>
      </c>
      <c r="H70" s="155">
        <v>0.46</v>
      </c>
      <c r="I70" s="155">
        <v>1.21</v>
      </c>
      <c r="J70" s="155">
        <v>2.2749999999999999</v>
      </c>
      <c r="K70" s="155">
        <v>3.1139999999999999</v>
      </c>
      <c r="L70" s="155">
        <v>3.9369999999999998</v>
      </c>
      <c r="M70" s="155">
        <v>4.8470000000000004</v>
      </c>
      <c r="N70" s="155">
        <v>6.86</v>
      </c>
      <c r="O70" s="155"/>
      <c r="P70" s="156"/>
      <c r="Q70" s="127"/>
      <c r="R70" s="152"/>
      <c r="S70" s="28"/>
    </row>
    <row r="71" spans="2:19" x14ac:dyDescent="0.3">
      <c r="B71" s="133"/>
      <c r="C71" s="127"/>
      <c r="D71" s="152">
        <v>2.8</v>
      </c>
      <c r="E71" s="154"/>
      <c r="F71" s="152"/>
      <c r="G71" s="155">
        <v>-0.376</v>
      </c>
      <c r="H71" s="155">
        <v>0.47899999999999998</v>
      </c>
      <c r="I71" s="155">
        <v>1.224</v>
      </c>
      <c r="J71" s="155">
        <v>2.2719999999999998</v>
      </c>
      <c r="K71" s="155">
        <v>3.093</v>
      </c>
      <c r="L71" s="155">
        <v>3.9319999999999999</v>
      </c>
      <c r="M71" s="155">
        <v>4.7830000000000004</v>
      </c>
      <c r="N71" s="155">
        <v>6.99</v>
      </c>
      <c r="O71" s="155"/>
      <c r="P71" s="156"/>
      <c r="Q71" s="127"/>
      <c r="R71" s="152"/>
      <c r="S71" s="28"/>
    </row>
    <row r="72" spans="2:19" x14ac:dyDescent="0.3">
      <c r="B72" s="133"/>
      <c r="C72" s="127"/>
      <c r="D72" s="152">
        <v>2.9</v>
      </c>
      <c r="E72" s="154"/>
      <c r="F72" s="152"/>
      <c r="G72" s="155">
        <v>-0.39</v>
      </c>
      <c r="H72" s="155">
        <v>0.44</v>
      </c>
      <c r="I72" s="155">
        <v>1.1950000000000001</v>
      </c>
      <c r="J72" s="155">
        <v>2.2770000000000001</v>
      </c>
      <c r="K72" s="155">
        <v>3.1339999999999999</v>
      </c>
      <c r="L72" s="155">
        <v>4.0129999999999999</v>
      </c>
      <c r="M72" s="155">
        <v>4.9089999999999998</v>
      </c>
      <c r="N72" s="155">
        <v>7.12</v>
      </c>
      <c r="O72" s="155"/>
      <c r="P72" s="156"/>
      <c r="Q72" s="127"/>
      <c r="R72" s="152"/>
      <c r="S72" s="28"/>
    </row>
    <row r="73" spans="2:19" x14ac:dyDescent="0.3">
      <c r="B73" s="133"/>
      <c r="C73" s="127"/>
      <c r="D73" s="152">
        <v>3</v>
      </c>
      <c r="E73" s="154"/>
      <c r="F73" s="152"/>
      <c r="G73" s="155">
        <v>-0.39600000000000002</v>
      </c>
      <c r="H73" s="155">
        <v>0.42</v>
      </c>
      <c r="I73" s="155">
        <v>1.18</v>
      </c>
      <c r="J73" s="155">
        <v>2.278</v>
      </c>
      <c r="K73" s="155">
        <v>3.1520000000000001</v>
      </c>
      <c r="L73" s="155">
        <v>4.0510000000000002</v>
      </c>
      <c r="M73" s="155">
        <v>4.97</v>
      </c>
      <c r="N73" s="155">
        <v>7.25</v>
      </c>
      <c r="O73" s="155"/>
      <c r="P73" s="156"/>
      <c r="Q73" s="127"/>
      <c r="R73" s="152"/>
      <c r="S73" s="155"/>
    </row>
    <row r="74" spans="2:19" ht="5.0999999999999996" customHeight="1" x14ac:dyDescent="0.3">
      <c r="B74" s="133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53"/>
      <c r="Q74" s="127"/>
    </row>
    <row r="75" spans="2:19" ht="5.0999999999999996" customHeight="1" thickBot="1" x14ac:dyDescent="0.35">
      <c r="B75" s="158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60"/>
      <c r="Q75" s="127"/>
    </row>
    <row r="76" spans="2:19" x14ac:dyDescent="0.3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</row>
    <row r="82" spans="18:28" x14ac:dyDescent="0.3">
      <c r="U82" s="884" t="s">
        <v>64</v>
      </c>
      <c r="V82" s="884"/>
      <c r="W82" s="884"/>
      <c r="X82" s="884"/>
      <c r="Y82" s="884"/>
      <c r="Z82" s="884"/>
      <c r="AA82" s="884"/>
      <c r="AB82" s="139"/>
    </row>
    <row r="83" spans="18:28" x14ac:dyDescent="0.3">
      <c r="T83" s="9">
        <v>1.0101</v>
      </c>
      <c r="U83" s="139">
        <v>2</v>
      </c>
      <c r="V83" s="139">
        <v>5</v>
      </c>
      <c r="W83" s="139">
        <v>10</v>
      </c>
      <c r="X83" s="139">
        <v>25</v>
      </c>
      <c r="Y83" s="139">
        <v>50</v>
      </c>
      <c r="Z83" s="139">
        <v>100</v>
      </c>
      <c r="AA83" s="139">
        <v>200</v>
      </c>
      <c r="AB83" s="139">
        <v>1000</v>
      </c>
    </row>
    <row r="84" spans="18:28" x14ac:dyDescent="0.3">
      <c r="R84" s="1015">
        <v>-0.6</v>
      </c>
      <c r="S84" s="154"/>
      <c r="T84" s="155">
        <v>-2.7549999999999999</v>
      </c>
      <c r="U84" s="155">
        <v>9.9000000000000005E-2</v>
      </c>
      <c r="V84" s="155">
        <v>0.85699999999999998</v>
      </c>
      <c r="W84" s="155">
        <v>1.2</v>
      </c>
      <c r="X84" s="155">
        <v>1.528</v>
      </c>
      <c r="Y84" s="155">
        <v>1.72</v>
      </c>
      <c r="Z84" s="155">
        <v>1.88</v>
      </c>
      <c r="AA84" s="155">
        <v>2.016</v>
      </c>
      <c r="AB84" s="155">
        <v>2.2749999999999999</v>
      </c>
    </row>
    <row r="85" spans="18:28" x14ac:dyDescent="0.3">
      <c r="R85" s="1015">
        <v>-0.4</v>
      </c>
      <c r="S85" s="154"/>
      <c r="T85" s="155">
        <v>-2.6150000000000002</v>
      </c>
      <c r="U85" s="155">
        <v>6.6000000000000003E-2</v>
      </c>
      <c r="V85" s="155">
        <v>0.85499999999999998</v>
      </c>
      <c r="W85" s="155">
        <v>1.2310000000000001</v>
      </c>
      <c r="X85" s="155">
        <v>1.6060000000000001</v>
      </c>
      <c r="Y85" s="155">
        <v>1.8340000000000001</v>
      </c>
      <c r="Z85" s="155">
        <v>2.0289999999999999</v>
      </c>
      <c r="AA85" s="155">
        <v>2.2010000000000001</v>
      </c>
      <c r="AB85" s="155">
        <v>2.54</v>
      </c>
    </row>
    <row r="87" spans="18:28" x14ac:dyDescent="0.3">
      <c r="R87" s="9">
        <v>-0.53</v>
      </c>
      <c r="T87" s="9">
        <f>FORECAST($R$87,T84:T85,$R$84:$R$85)</f>
        <v>-2.706</v>
      </c>
      <c r="U87" s="9">
        <f>FORECAST($R$87,U84:U85,$R$84:$R$85)</f>
        <v>8.7450000000000014E-2</v>
      </c>
      <c r="V87" s="9">
        <f>FORECAST($R$87,V84:V85,$R$84:$R$85)</f>
        <v>0.85629999999999995</v>
      </c>
      <c r="W87" s="9">
        <f>FORECAST($R$87,W84:W85,$R$84:$R$85)</f>
        <v>1.21085</v>
      </c>
      <c r="X87" s="9">
        <f>FORECAST($R$87,X84:X85,$R$84:$R$85)</f>
        <v>1.5553000000000001</v>
      </c>
      <c r="Y87" s="9">
        <f>FORECAST($R$87,Y84:Y85,$R$84:$R$85)</f>
        <v>1.7599</v>
      </c>
      <c r="Z87" s="9">
        <f>FORECAST($R$87,Z84:Z85,$R$84:$R$85)</f>
        <v>1.9321499999999998</v>
      </c>
      <c r="AA87" s="9">
        <f>FORECAST($R$87,AA84:AA85,$R$84:$R$85)</f>
        <v>2.0807500000000001</v>
      </c>
      <c r="AB87" s="9">
        <f>FORECAST($R$87,AB84:AB85,$R$84:$R$85)</f>
        <v>2.3677499999999996</v>
      </c>
    </row>
  </sheetData>
  <mergeCells count="4">
    <mergeCell ref="B1:P1"/>
    <mergeCell ref="G5:M5"/>
    <mergeCell ref="G9:M9"/>
    <mergeCell ref="U82:AA82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BD1B-E5AE-49C2-B166-4E641BB331DB}">
  <dimension ref="A1:K73"/>
  <sheetViews>
    <sheetView workbookViewId="0">
      <pane ySplit="1" topLeftCell="A14" activePane="bottomLeft" state="frozen"/>
      <selection pane="bottomLeft" activeCell="G1" sqref="G1:G1048576"/>
    </sheetView>
  </sheetViews>
  <sheetFormatPr defaultRowHeight="14.4" x14ac:dyDescent="0.3"/>
  <cols>
    <col min="2" max="6" width="12.21875" bestFit="1" customWidth="1"/>
    <col min="7" max="7" width="10.77734375" style="1045" bestFit="1" customWidth="1"/>
    <col min="8" max="11" width="10.77734375" bestFit="1" customWidth="1"/>
  </cols>
  <sheetData>
    <row r="1" spans="1:11" x14ac:dyDescent="0.3">
      <c r="A1" s="1029" t="s">
        <v>4823</v>
      </c>
      <c r="B1" s="1029" t="s">
        <v>4824</v>
      </c>
      <c r="C1" s="1029" t="s">
        <v>4825</v>
      </c>
      <c r="D1" s="1029" t="s">
        <v>4826</v>
      </c>
      <c r="E1" s="1029" t="s">
        <v>4827</v>
      </c>
      <c r="F1" s="1029" t="s">
        <v>4828</v>
      </c>
      <c r="G1" s="1040" t="s">
        <v>4829</v>
      </c>
      <c r="H1" s="1029" t="s">
        <v>4830</v>
      </c>
      <c r="I1" s="1029" t="s">
        <v>4831</v>
      </c>
      <c r="J1" s="1029" t="s">
        <v>4832</v>
      </c>
      <c r="K1" s="1029" t="s">
        <v>4833</v>
      </c>
    </row>
    <row r="2" spans="1:11" x14ac:dyDescent="0.3">
      <c r="A2" s="1030">
        <v>-3.5</v>
      </c>
      <c r="B2" s="1035">
        <v>2.0000000000000001E-4</v>
      </c>
      <c r="C2" s="1035">
        <v>2.0000000000000001E-4</v>
      </c>
      <c r="D2" s="1035">
        <v>2.0000000000000001E-4</v>
      </c>
      <c r="E2" s="1035">
        <v>2.0000000000000001E-4</v>
      </c>
      <c r="F2" s="1035">
        <v>2.0000000000000001E-4</v>
      </c>
      <c r="G2" s="1041">
        <v>2.0000000000000001E-4</v>
      </c>
      <c r="H2" s="1035">
        <v>2.0000000000000001E-4</v>
      </c>
      <c r="I2" s="1035">
        <v>2.0000000000000001E-4</v>
      </c>
      <c r="J2" s="1035">
        <v>2.0000000000000001E-4</v>
      </c>
      <c r="K2" s="1035">
        <v>2.0000000000000001E-4</v>
      </c>
    </row>
    <row r="3" spans="1:11" x14ac:dyDescent="0.3">
      <c r="A3" s="1030">
        <v>-3.4</v>
      </c>
      <c r="B3" s="1035">
        <v>2.9999999999999997E-4</v>
      </c>
      <c r="C3" s="1035">
        <v>2.9999999999999997E-4</v>
      </c>
      <c r="D3" s="1035">
        <v>2.9999999999999997E-4</v>
      </c>
      <c r="E3" s="1035">
        <v>2.9999999999999997E-4</v>
      </c>
      <c r="F3" s="1035">
        <v>2.9999999999999997E-4</v>
      </c>
      <c r="G3" s="1041">
        <v>2.9999999999999997E-4</v>
      </c>
      <c r="H3" s="1035">
        <v>2.9999999999999997E-4</v>
      </c>
      <c r="I3" s="1035">
        <v>2.9999999999999997E-4</v>
      </c>
      <c r="J3" s="1035">
        <v>2.9999999999999997E-4</v>
      </c>
      <c r="K3" s="1035">
        <v>2.9999999999999997E-4</v>
      </c>
    </row>
    <row r="4" spans="1:11" x14ac:dyDescent="0.3">
      <c r="A4" s="1030">
        <v>-3.3</v>
      </c>
      <c r="B4" s="1035">
        <v>5.0000000000000001E-4</v>
      </c>
      <c r="C4" s="1035">
        <v>5.0000000000000001E-4</v>
      </c>
      <c r="D4" s="1035">
        <v>5.0000000000000001E-4</v>
      </c>
      <c r="E4" s="1035">
        <v>5.0000000000000001E-4</v>
      </c>
      <c r="F4" s="1035">
        <v>5.0000000000000001E-4</v>
      </c>
      <c r="G4" s="1041">
        <v>5.0000000000000001E-4</v>
      </c>
      <c r="H4" s="1035">
        <v>5.0000000000000001E-4</v>
      </c>
      <c r="I4" s="1035">
        <v>5.0000000000000001E-4</v>
      </c>
      <c r="J4" s="1035">
        <v>5.0000000000000001E-4</v>
      </c>
      <c r="K4" s="1035">
        <v>5.0000000000000001E-4</v>
      </c>
    </row>
    <row r="5" spans="1:11" x14ac:dyDescent="0.3">
      <c r="A5" s="1030">
        <v>-3.2</v>
      </c>
      <c r="B5" s="1035">
        <v>6.9999999999999999E-4</v>
      </c>
      <c r="C5" s="1035">
        <v>6.9999999999999999E-4</v>
      </c>
      <c r="D5" s="1035">
        <v>6.9999999999999999E-4</v>
      </c>
      <c r="E5" s="1035">
        <v>6.9999999999999999E-4</v>
      </c>
      <c r="F5" s="1035">
        <v>6.9999999999999999E-4</v>
      </c>
      <c r="G5" s="1041">
        <v>6.9999999999999999E-4</v>
      </c>
      <c r="H5" s="1035">
        <v>6.9999999999999999E-4</v>
      </c>
      <c r="I5" s="1035">
        <v>6.9999999999999999E-4</v>
      </c>
      <c r="J5" s="1035">
        <v>6.9999999999999999E-4</v>
      </c>
      <c r="K5" s="1035">
        <v>6.9999999999999999E-4</v>
      </c>
    </row>
    <row r="6" spans="1:11" x14ac:dyDescent="0.3">
      <c r="A6" s="1030">
        <v>-3.1</v>
      </c>
      <c r="B6" s="1035">
        <v>1E-3</v>
      </c>
      <c r="C6" s="1035">
        <v>8.9999999999999998E-4</v>
      </c>
      <c r="D6" s="1035">
        <v>8.9999999999999998E-4</v>
      </c>
      <c r="E6" s="1035">
        <v>8.0000000000000004E-4</v>
      </c>
      <c r="F6" s="1035">
        <v>8.0000000000000004E-4</v>
      </c>
      <c r="G6" s="1041">
        <v>6.9999999999999999E-4</v>
      </c>
      <c r="H6" s="1035">
        <v>6.9999999999999999E-4</v>
      </c>
      <c r="I6" s="1035">
        <v>5.9999999999999995E-4</v>
      </c>
      <c r="J6" s="1035">
        <v>5.9999999999999995E-4</v>
      </c>
      <c r="K6" s="1035">
        <v>5.9999999999999995E-4</v>
      </c>
    </row>
    <row r="7" spans="1:11" x14ac:dyDescent="0.3">
      <c r="A7" s="1030">
        <v>-3</v>
      </c>
      <c r="B7" s="1035">
        <v>1.2999999999999999E-3</v>
      </c>
      <c r="C7" s="1035">
        <v>1.2999999999999999E-3</v>
      </c>
      <c r="D7" s="1035">
        <v>1.2999999999999999E-3</v>
      </c>
      <c r="E7" s="1035">
        <v>1.2999999999999999E-3</v>
      </c>
      <c r="F7" s="1035">
        <v>1.2999999999999999E-3</v>
      </c>
      <c r="G7" s="1041">
        <v>1.2999999999999999E-3</v>
      </c>
      <c r="H7" s="1035">
        <v>1.2999999999999999E-3</v>
      </c>
      <c r="I7" s="1035">
        <v>1.2999999999999999E-3</v>
      </c>
      <c r="J7" s="1035">
        <v>1.2999999999999999E-3</v>
      </c>
      <c r="K7" s="1035">
        <v>1.2999999999999999E-3</v>
      </c>
    </row>
    <row r="8" spans="1:11" x14ac:dyDescent="0.3">
      <c r="A8" s="1030">
        <v>-2.9</v>
      </c>
      <c r="B8" s="1035">
        <v>1.9E-3</v>
      </c>
      <c r="C8" s="1035">
        <v>1.8E-3</v>
      </c>
      <c r="D8" s="1035">
        <v>1.8E-3</v>
      </c>
      <c r="E8" s="1035">
        <v>1.6999999999999999E-3</v>
      </c>
      <c r="F8" s="1035">
        <v>1.6000000000000001E-3</v>
      </c>
      <c r="G8" s="1041">
        <v>1.6000000000000001E-3</v>
      </c>
      <c r="H8" s="1035">
        <v>1.5E-3</v>
      </c>
      <c r="I8" s="1035">
        <v>1.4E-3</v>
      </c>
      <c r="J8" s="1035">
        <v>1.4E-3</v>
      </c>
      <c r="K8" s="1035">
        <v>1.2999999999999999E-3</v>
      </c>
    </row>
    <row r="9" spans="1:11" x14ac:dyDescent="0.3">
      <c r="A9" s="1030">
        <v>-2.8</v>
      </c>
      <c r="B9" s="1035">
        <v>2.5999999999999999E-3</v>
      </c>
      <c r="C9" s="1035">
        <v>2.5000000000000001E-3</v>
      </c>
      <c r="D9" s="1035">
        <v>2.3999999999999998E-3</v>
      </c>
      <c r="E9" s="1035">
        <v>2.3E-3</v>
      </c>
      <c r="F9" s="1035">
        <v>2.3E-3</v>
      </c>
      <c r="G9" s="1041">
        <v>2.2000000000000001E-3</v>
      </c>
      <c r="H9" s="1035">
        <v>2.0999999999999999E-3</v>
      </c>
      <c r="I9" s="1035">
        <v>2.0999999999999999E-3</v>
      </c>
      <c r="J9" s="1035">
        <v>2E-3</v>
      </c>
      <c r="K9" s="1035">
        <v>1.9E-3</v>
      </c>
    </row>
    <row r="10" spans="1:11" x14ac:dyDescent="0.3">
      <c r="A10" s="1030">
        <v>-2.7</v>
      </c>
      <c r="B10" s="1035">
        <v>3.5000000000000001E-3</v>
      </c>
      <c r="C10" s="1035">
        <v>3.3999999999999998E-3</v>
      </c>
      <c r="D10" s="1035">
        <v>3.3E-3</v>
      </c>
      <c r="E10" s="1035">
        <v>3.2000000000000002E-3</v>
      </c>
      <c r="F10" s="1035">
        <v>3.0999999999999999E-3</v>
      </c>
      <c r="G10" s="1041">
        <v>3.0000000000000001E-3</v>
      </c>
      <c r="H10" s="1035">
        <v>2.8999999999999998E-3</v>
      </c>
      <c r="I10" s="1035">
        <v>2.8E-3</v>
      </c>
      <c r="J10" s="1035">
        <v>2.7000000000000001E-3</v>
      </c>
      <c r="K10" s="1035">
        <v>2.5999999999999999E-3</v>
      </c>
    </row>
    <row r="11" spans="1:11" x14ac:dyDescent="0.3">
      <c r="A11" s="1030">
        <v>-2.6</v>
      </c>
      <c r="B11" s="1035">
        <v>4.7000000000000002E-3</v>
      </c>
      <c r="C11" s="1035">
        <v>4.4999999999999997E-3</v>
      </c>
      <c r="D11" s="1035">
        <v>4.4000000000000003E-3</v>
      </c>
      <c r="E11" s="1035">
        <v>4.3E-3</v>
      </c>
      <c r="F11" s="1035">
        <v>4.1000000000000003E-3</v>
      </c>
      <c r="G11" s="1041">
        <v>4.0000000000000001E-3</v>
      </c>
      <c r="H11" s="1035">
        <v>3.8999999999999998E-3</v>
      </c>
      <c r="I11" s="1035">
        <v>3.8E-3</v>
      </c>
      <c r="J11" s="1035">
        <v>3.7000000000000002E-3</v>
      </c>
      <c r="K11" s="1035">
        <v>3.5999999999999999E-3</v>
      </c>
    </row>
    <row r="12" spans="1:11" x14ac:dyDescent="0.3">
      <c r="A12" s="1030">
        <v>-2.5</v>
      </c>
      <c r="B12" s="1035">
        <v>6.1999999999999998E-3</v>
      </c>
      <c r="C12" s="1035">
        <v>6.0000000000000001E-3</v>
      </c>
      <c r="D12" s="1035">
        <v>5.8999999999999999E-3</v>
      </c>
      <c r="E12" s="1035">
        <v>5.7000000000000002E-3</v>
      </c>
      <c r="F12" s="1035">
        <v>5.4999999999999997E-3</v>
      </c>
      <c r="G12" s="1041">
        <v>5.4000000000000003E-3</v>
      </c>
      <c r="H12" s="1035">
        <v>5.1999999999999998E-3</v>
      </c>
      <c r="I12" s="1035">
        <v>5.1000000000000004E-3</v>
      </c>
      <c r="J12" s="1035">
        <v>4.8999999999999998E-3</v>
      </c>
      <c r="K12" s="1035">
        <v>4.7999999999999996E-3</v>
      </c>
    </row>
    <row r="13" spans="1:11" x14ac:dyDescent="0.3">
      <c r="A13" s="1030">
        <v>-2.4</v>
      </c>
      <c r="B13" s="1035">
        <v>8.2000000000000007E-3</v>
      </c>
      <c r="C13" s="1035">
        <v>8.0000000000000002E-3</v>
      </c>
      <c r="D13" s="1035">
        <v>7.7999999999999996E-3</v>
      </c>
      <c r="E13" s="1035">
        <v>7.4999999999999997E-3</v>
      </c>
      <c r="F13" s="1035">
        <v>7.3000000000000001E-3</v>
      </c>
      <c r="G13" s="1041">
        <v>7.1000000000000004E-3</v>
      </c>
      <c r="H13" s="1035">
        <v>6.8999999999999999E-3</v>
      </c>
      <c r="I13" s="1035">
        <v>6.7999999999999996E-3</v>
      </c>
      <c r="J13" s="1035">
        <v>6.6E-3</v>
      </c>
      <c r="K13" s="1035">
        <v>6.4000000000000003E-3</v>
      </c>
    </row>
    <row r="14" spans="1:11" x14ac:dyDescent="0.3">
      <c r="A14" s="1030">
        <v>-2.2999999999999998</v>
      </c>
      <c r="B14" s="1035">
        <v>1.0699999999999999E-2</v>
      </c>
      <c r="C14" s="1035">
        <v>1.04E-2</v>
      </c>
      <c r="D14" s="1035">
        <v>1.0200000000000001E-2</v>
      </c>
      <c r="E14" s="1035">
        <v>9.9000000000000008E-3</v>
      </c>
      <c r="F14" s="1035">
        <v>9.5999999999999992E-3</v>
      </c>
      <c r="G14" s="1041">
        <v>9.4000000000000004E-3</v>
      </c>
      <c r="H14" s="1035">
        <v>9.1000000000000004E-3</v>
      </c>
      <c r="I14" s="1035">
        <v>8.8999999999999999E-3</v>
      </c>
      <c r="J14" s="1035">
        <v>8.6999999999999994E-3</v>
      </c>
      <c r="K14" s="1035">
        <v>8.3999999999999995E-3</v>
      </c>
    </row>
    <row r="15" spans="1:11" x14ac:dyDescent="0.3">
      <c r="A15" s="1030">
        <v>-2.2000000000000002</v>
      </c>
      <c r="B15" s="1035">
        <v>1.3899999999999999E-2</v>
      </c>
      <c r="C15" s="1035">
        <v>1.3599999999999999E-2</v>
      </c>
      <c r="D15" s="1035">
        <v>1.32E-2</v>
      </c>
      <c r="E15" s="1035">
        <v>1.29E-2</v>
      </c>
      <c r="F15" s="1035">
        <v>1.2500000000000001E-2</v>
      </c>
      <c r="G15" s="1041">
        <v>1.2200000000000001E-2</v>
      </c>
      <c r="H15" s="1035">
        <v>1.1900000000000001E-2</v>
      </c>
      <c r="I15" s="1035">
        <v>1.1599999999999999E-2</v>
      </c>
      <c r="J15" s="1035">
        <v>1.1299999999999999E-2</v>
      </c>
      <c r="K15" s="1035">
        <v>1.0999999999999999E-2</v>
      </c>
    </row>
    <row r="16" spans="1:11" x14ac:dyDescent="0.3">
      <c r="A16" s="1030">
        <v>-2.1</v>
      </c>
      <c r="B16" s="1035">
        <v>1.7899999999999999E-2</v>
      </c>
      <c r="C16" s="1035">
        <v>1.7399999999999999E-2</v>
      </c>
      <c r="D16" s="1035">
        <v>1.7000000000000001E-2</v>
      </c>
      <c r="E16" s="1035">
        <v>1.66E-2</v>
      </c>
      <c r="F16" s="1035">
        <v>1.6199999999999999E-2</v>
      </c>
      <c r="G16" s="1041">
        <v>1.5800000000000002E-2</v>
      </c>
      <c r="H16" s="1035">
        <v>1.54E-2</v>
      </c>
      <c r="I16" s="1035">
        <v>1.4999999999999999E-2</v>
      </c>
      <c r="J16" s="1035">
        <v>1.46E-2</v>
      </c>
      <c r="K16" s="1035">
        <v>1.43E-2</v>
      </c>
    </row>
    <row r="17" spans="1:11" x14ac:dyDescent="0.3">
      <c r="A17" s="1030">
        <v>-2</v>
      </c>
      <c r="B17" s="1035">
        <v>2.2800000000000001E-2</v>
      </c>
      <c r="C17" s="1035">
        <v>2.2200000000000001E-2</v>
      </c>
      <c r="D17" s="1035">
        <v>2.1700000000000001E-2</v>
      </c>
      <c r="E17" s="1035">
        <v>2.12E-2</v>
      </c>
      <c r="F17" s="1035">
        <v>2.07E-2</v>
      </c>
      <c r="G17" s="1041">
        <v>2.0199999999999999E-2</v>
      </c>
      <c r="H17" s="1035">
        <v>1.9699999999999999E-2</v>
      </c>
      <c r="I17" s="1035">
        <v>1.9199999999999998E-2</v>
      </c>
      <c r="J17" s="1035">
        <v>1.8800000000000001E-2</v>
      </c>
      <c r="K17" s="1035">
        <v>1.83E-2</v>
      </c>
    </row>
    <row r="18" spans="1:11" x14ac:dyDescent="0.3">
      <c r="A18" s="1030">
        <v>-1.9</v>
      </c>
      <c r="B18" s="1035">
        <v>2.87E-2</v>
      </c>
      <c r="C18" s="1035">
        <v>2.81E-2</v>
      </c>
      <c r="D18" s="1035">
        <v>2.7400000000000001E-2</v>
      </c>
      <c r="E18" s="1035">
        <v>2.6800000000000001E-2</v>
      </c>
      <c r="F18" s="1035">
        <v>2.6200000000000001E-2</v>
      </c>
      <c r="G18" s="1041">
        <v>2.5600000000000001E-2</v>
      </c>
      <c r="H18" s="1035">
        <v>2.5000000000000001E-2</v>
      </c>
      <c r="I18" s="1035">
        <v>2.4400000000000002E-2</v>
      </c>
      <c r="J18" s="1035">
        <v>2.3900000000000001E-2</v>
      </c>
      <c r="K18" s="1035">
        <v>2.3300000000000001E-2</v>
      </c>
    </row>
    <row r="19" spans="1:11" x14ac:dyDescent="0.3">
      <c r="A19" s="1030">
        <v>-1.8</v>
      </c>
      <c r="B19" s="1035">
        <v>3.5900000000000001E-2</v>
      </c>
      <c r="C19" s="1035">
        <v>3.5099999999999999E-2</v>
      </c>
      <c r="D19" s="1035">
        <v>3.44E-2</v>
      </c>
      <c r="E19" s="1035">
        <v>3.3599999999999998E-2</v>
      </c>
      <c r="F19" s="1035">
        <v>3.2899999999999999E-2</v>
      </c>
      <c r="G19" s="1041">
        <v>3.2199999999999999E-2</v>
      </c>
      <c r="H19" s="1035">
        <v>3.1399999999999997E-2</v>
      </c>
      <c r="I19" s="1035">
        <v>3.0700000000000002E-2</v>
      </c>
      <c r="J19" s="1035">
        <v>3.0099999999999998E-2</v>
      </c>
      <c r="K19" s="1035">
        <v>2.9399999999999999E-2</v>
      </c>
    </row>
    <row r="20" spans="1:11" x14ac:dyDescent="0.3">
      <c r="A20" s="1030">
        <v>-1.7</v>
      </c>
      <c r="B20" s="1035">
        <v>4.4600000000000001E-2</v>
      </c>
      <c r="C20" s="1035">
        <v>4.36E-2</v>
      </c>
      <c r="D20" s="1035">
        <v>4.2700000000000002E-2</v>
      </c>
      <c r="E20" s="1035">
        <v>4.1799999999999997E-2</v>
      </c>
      <c r="F20" s="1035">
        <v>4.0899999999999999E-2</v>
      </c>
      <c r="G20" s="1041">
        <v>4.0099999999999997E-2</v>
      </c>
      <c r="H20" s="1035">
        <v>3.9199999999999999E-2</v>
      </c>
      <c r="I20" s="1035">
        <v>3.8399999999999997E-2</v>
      </c>
      <c r="J20" s="1035">
        <v>3.7499999999999999E-2</v>
      </c>
      <c r="K20" s="1035">
        <v>3.6700000000000003E-2</v>
      </c>
    </row>
    <row r="21" spans="1:11" x14ac:dyDescent="0.3">
      <c r="A21" s="1030">
        <v>-1.6</v>
      </c>
      <c r="B21" s="1035">
        <v>5.4800000000000001E-2</v>
      </c>
      <c r="C21" s="1035">
        <v>5.3699999999999998E-2</v>
      </c>
      <c r="D21" s="1035">
        <v>5.2600000000000001E-2</v>
      </c>
      <c r="E21" s="1035">
        <v>5.16E-2</v>
      </c>
      <c r="F21" s="1035">
        <v>5.0500000000000003E-2</v>
      </c>
      <c r="G21" s="1041">
        <v>4.9500000000000002E-2</v>
      </c>
      <c r="H21" s="1035">
        <v>4.8500000000000001E-2</v>
      </c>
      <c r="I21" s="1035">
        <v>4.7500000000000001E-2</v>
      </c>
      <c r="J21" s="1035">
        <v>4.65E-2</v>
      </c>
      <c r="K21" s="1035">
        <v>4.5499999999999999E-2</v>
      </c>
    </row>
    <row r="22" spans="1:11" x14ac:dyDescent="0.3">
      <c r="A22" s="1030">
        <v>-1.5</v>
      </c>
      <c r="B22" s="1035">
        <v>6.6799999999999998E-2</v>
      </c>
      <c r="C22" s="1035">
        <v>6.5500000000000003E-2</v>
      </c>
      <c r="D22" s="1035">
        <v>6.4299999999999996E-2</v>
      </c>
      <c r="E22" s="1035">
        <v>6.3E-2</v>
      </c>
      <c r="F22" s="1035">
        <v>6.1800000000000001E-2</v>
      </c>
      <c r="G22" s="1041">
        <v>6.0600000000000001E-2</v>
      </c>
      <c r="H22" s="1035">
        <v>5.9400000000000001E-2</v>
      </c>
      <c r="I22" s="1035">
        <v>5.8200000000000002E-2</v>
      </c>
      <c r="J22" s="1035">
        <v>5.7099999999999998E-2</v>
      </c>
      <c r="K22" s="1035">
        <v>5.5899999999999998E-2</v>
      </c>
    </row>
    <row r="23" spans="1:11" x14ac:dyDescent="0.3">
      <c r="A23" s="1030">
        <v>-1.4</v>
      </c>
      <c r="B23" s="1035">
        <v>8.0799999999999997E-2</v>
      </c>
      <c r="C23" s="1035">
        <v>7.9299999999999995E-2</v>
      </c>
      <c r="D23" s="1035">
        <v>7.7799999999999994E-2</v>
      </c>
      <c r="E23" s="1035">
        <v>7.6399999999999996E-2</v>
      </c>
      <c r="F23" s="1035">
        <v>7.4899999999999994E-2</v>
      </c>
      <c r="G23" s="1041">
        <v>7.3499999999999996E-2</v>
      </c>
      <c r="H23" s="1035">
        <v>7.2099999999999997E-2</v>
      </c>
      <c r="I23" s="1035">
        <v>7.0800000000000002E-2</v>
      </c>
      <c r="J23" s="1035">
        <v>6.9400000000000003E-2</v>
      </c>
      <c r="K23" s="1035">
        <v>6.8099999999999994E-2</v>
      </c>
    </row>
    <row r="24" spans="1:11" x14ac:dyDescent="0.3">
      <c r="A24" s="1030">
        <v>-1.3</v>
      </c>
      <c r="B24" s="1035">
        <v>9.6799999999999997E-2</v>
      </c>
      <c r="C24" s="1035">
        <v>9.5100000000000004E-2</v>
      </c>
      <c r="D24" s="1035">
        <v>9.3399999999999997E-2</v>
      </c>
      <c r="E24" s="1035">
        <v>9.1800000000000007E-2</v>
      </c>
      <c r="F24" s="1035">
        <v>9.01E-2</v>
      </c>
      <c r="G24" s="1041">
        <v>8.8499999999999995E-2</v>
      </c>
      <c r="H24" s="1035">
        <v>8.6900000000000005E-2</v>
      </c>
      <c r="I24" s="1035">
        <v>8.5300000000000001E-2</v>
      </c>
      <c r="J24" s="1035">
        <v>8.3799999999999999E-2</v>
      </c>
      <c r="K24" s="1035">
        <v>8.2299999999999998E-2</v>
      </c>
    </row>
    <row r="25" spans="1:11" x14ac:dyDescent="0.3">
      <c r="A25" s="1030">
        <v>-1.2</v>
      </c>
      <c r="B25" s="1035">
        <v>0.11509999999999999</v>
      </c>
      <c r="C25" s="1035">
        <v>0.11310000000000001</v>
      </c>
      <c r="D25" s="1035">
        <v>0.11119999999999999</v>
      </c>
      <c r="E25" s="1035">
        <v>0.10929999999999999</v>
      </c>
      <c r="F25" s="1035">
        <v>0.1075</v>
      </c>
      <c r="G25" s="1041">
        <v>0.1056</v>
      </c>
      <c r="H25" s="1035">
        <v>0.1038</v>
      </c>
      <c r="I25" s="1035">
        <v>0.10199999999999999</v>
      </c>
      <c r="J25" s="1035">
        <v>0.1003</v>
      </c>
      <c r="K25" s="1035">
        <v>9.8500000000000004E-2</v>
      </c>
    </row>
    <row r="26" spans="1:11" x14ac:dyDescent="0.3">
      <c r="A26" s="1030">
        <v>-1.1000000000000001</v>
      </c>
      <c r="B26" s="1035">
        <v>0.13569999999999999</v>
      </c>
      <c r="C26" s="1035">
        <v>0.13350000000000001</v>
      </c>
      <c r="D26" s="1035">
        <v>0.13139999999999999</v>
      </c>
      <c r="E26" s="1035">
        <v>0.12920000000000001</v>
      </c>
      <c r="F26" s="1035">
        <v>0.12709999999999999</v>
      </c>
      <c r="G26" s="1041">
        <v>0.12509999999999999</v>
      </c>
      <c r="H26" s="1035">
        <v>0.123</v>
      </c>
      <c r="I26" s="1035">
        <v>0.121</v>
      </c>
      <c r="J26" s="1035">
        <v>0.11899999999999999</v>
      </c>
      <c r="K26" s="1035">
        <v>0.1179</v>
      </c>
    </row>
    <row r="27" spans="1:11" x14ac:dyDescent="0.3">
      <c r="A27" s="1030">
        <v>-1</v>
      </c>
      <c r="B27" s="1035">
        <v>0.15870000000000001</v>
      </c>
      <c r="C27" s="1035">
        <v>0.15620000000000001</v>
      </c>
      <c r="D27" s="1035">
        <v>0.15390000000000001</v>
      </c>
      <c r="E27" s="1035">
        <v>0.1515</v>
      </c>
      <c r="F27" s="1035">
        <v>0.1492</v>
      </c>
      <c r="G27" s="1041">
        <v>0.1469</v>
      </c>
      <c r="H27" s="1035">
        <v>0.14460000000000001</v>
      </c>
      <c r="I27" s="1035">
        <v>0.14230000000000001</v>
      </c>
      <c r="J27" s="1035">
        <v>0.1401</v>
      </c>
      <c r="K27" s="1035">
        <v>0.13789999999999999</v>
      </c>
    </row>
    <row r="28" spans="1:11" x14ac:dyDescent="0.3">
      <c r="A28" s="1030">
        <v>-0.9</v>
      </c>
      <c r="B28" s="1035">
        <v>0.18410000000000001</v>
      </c>
      <c r="C28" s="1035">
        <v>0.18140000000000001</v>
      </c>
      <c r="D28" s="1035">
        <v>0.17879999999999999</v>
      </c>
      <c r="E28" s="1035">
        <v>0.1762</v>
      </c>
      <c r="F28" s="1035">
        <v>0.1736</v>
      </c>
      <c r="G28" s="1041">
        <v>0.1711</v>
      </c>
      <c r="H28" s="1035">
        <v>0.16850000000000001</v>
      </c>
      <c r="I28" s="1035">
        <v>0.16600000000000001</v>
      </c>
      <c r="J28" s="1035">
        <v>0.16350000000000001</v>
      </c>
      <c r="K28" s="1035">
        <v>0.16109999999999999</v>
      </c>
    </row>
    <row r="29" spans="1:11" x14ac:dyDescent="0.3">
      <c r="A29" s="1030">
        <v>-0.8</v>
      </c>
      <c r="B29" s="1035">
        <v>0.21190000000000001</v>
      </c>
      <c r="C29" s="1035">
        <v>0.20899999999999999</v>
      </c>
      <c r="D29" s="1035">
        <v>0.20610000000000001</v>
      </c>
      <c r="E29" s="1035">
        <v>0.20330000000000001</v>
      </c>
      <c r="F29" s="1035">
        <v>0.20050000000000001</v>
      </c>
      <c r="G29" s="1041">
        <v>0.19769999999999999</v>
      </c>
      <c r="H29" s="1035">
        <v>0.19489999999999999</v>
      </c>
      <c r="I29" s="1035">
        <v>0.19220000000000001</v>
      </c>
      <c r="J29" s="1035">
        <v>0.18940000000000001</v>
      </c>
      <c r="K29" s="1035">
        <v>0.1867</v>
      </c>
    </row>
    <row r="30" spans="1:11" x14ac:dyDescent="0.3">
      <c r="A30" s="1030">
        <v>-0.7</v>
      </c>
      <c r="B30" s="1035">
        <v>0.24199999999999999</v>
      </c>
      <c r="C30" s="1035">
        <v>0.2389</v>
      </c>
      <c r="D30" s="1035">
        <v>0.23580000000000001</v>
      </c>
      <c r="E30" s="1035">
        <v>0.23269999999999999</v>
      </c>
      <c r="F30" s="1035">
        <v>0.2296</v>
      </c>
      <c r="G30" s="1041">
        <v>0.2266</v>
      </c>
      <c r="H30" s="1035">
        <v>0.22359999999999999</v>
      </c>
      <c r="I30" s="1035">
        <v>0.22059999999999999</v>
      </c>
      <c r="J30" s="1035">
        <v>0.2177</v>
      </c>
      <c r="K30" s="1035">
        <v>0.21479999999999999</v>
      </c>
    </row>
    <row r="31" spans="1:11" x14ac:dyDescent="0.3">
      <c r="A31" s="1030">
        <v>-0.6</v>
      </c>
      <c r="B31" s="1035">
        <v>0.27429999999999999</v>
      </c>
      <c r="C31" s="1035">
        <v>0.27089999999999997</v>
      </c>
      <c r="D31" s="1035">
        <v>0.2676</v>
      </c>
      <c r="E31" s="1035">
        <v>0.26429999999999998</v>
      </c>
      <c r="F31" s="1035">
        <v>0.2611</v>
      </c>
      <c r="G31" s="1041">
        <v>0.25779999999999997</v>
      </c>
      <c r="H31" s="1035">
        <v>0.25459999999999999</v>
      </c>
      <c r="I31" s="1035">
        <v>0.25140000000000001</v>
      </c>
      <c r="J31" s="1035">
        <v>0.24829999999999999</v>
      </c>
      <c r="K31" s="1035">
        <v>0.24510000000000001</v>
      </c>
    </row>
    <row r="32" spans="1:11" x14ac:dyDescent="0.3">
      <c r="A32" s="1030">
        <v>-0.5</v>
      </c>
      <c r="B32" s="1035">
        <v>0.3085</v>
      </c>
      <c r="C32" s="1035">
        <v>0.3049</v>
      </c>
      <c r="D32" s="1035">
        <v>0.30149999999999999</v>
      </c>
      <c r="E32" s="1035">
        <v>0.29809999999999998</v>
      </c>
      <c r="F32" s="1035">
        <v>0.29459999999999997</v>
      </c>
      <c r="G32" s="1041">
        <v>0.29120000000000001</v>
      </c>
      <c r="H32" s="1035">
        <v>0.28770000000000001</v>
      </c>
      <c r="I32" s="1035">
        <v>0.2843</v>
      </c>
      <c r="J32" s="1035">
        <v>0.28100000000000003</v>
      </c>
      <c r="K32" s="1035">
        <v>0.27760000000000001</v>
      </c>
    </row>
    <row r="33" spans="1:11" x14ac:dyDescent="0.3">
      <c r="A33" s="1030">
        <v>-0.4</v>
      </c>
      <c r="B33" s="1035">
        <v>0.34460000000000002</v>
      </c>
      <c r="C33" s="1035">
        <v>0.34089999999999998</v>
      </c>
      <c r="D33" s="1035">
        <v>0.3372</v>
      </c>
      <c r="E33" s="1035">
        <v>0.33360000000000001</v>
      </c>
      <c r="F33" s="1035">
        <v>0.33</v>
      </c>
      <c r="G33" s="1041">
        <v>0.32640000000000002</v>
      </c>
      <c r="H33" s="1035">
        <v>0.32279999999999998</v>
      </c>
      <c r="I33" s="1035">
        <v>0.31919999999999998</v>
      </c>
      <c r="J33" s="1035">
        <v>0.31559999999999999</v>
      </c>
      <c r="K33" s="1035">
        <v>0.31209999999999999</v>
      </c>
    </row>
    <row r="34" spans="1:11" x14ac:dyDescent="0.3">
      <c r="A34" s="1030">
        <v>-0.3</v>
      </c>
      <c r="B34" s="1035">
        <v>0.3821</v>
      </c>
      <c r="C34" s="1035">
        <v>0.37830000000000003</v>
      </c>
      <c r="D34" s="1035">
        <v>0.3745</v>
      </c>
      <c r="E34" s="1035">
        <v>0.37069999999999997</v>
      </c>
      <c r="F34" s="1035">
        <v>0.3669</v>
      </c>
      <c r="G34" s="1041">
        <v>0.36320000000000002</v>
      </c>
      <c r="H34" s="1035">
        <v>0.3594</v>
      </c>
      <c r="I34" s="1035">
        <v>0.35570000000000002</v>
      </c>
      <c r="J34" s="1035">
        <v>0.35199999999999998</v>
      </c>
      <c r="K34" s="1035">
        <v>0.3483</v>
      </c>
    </row>
    <row r="35" spans="1:11" x14ac:dyDescent="0.3">
      <c r="A35" s="1030">
        <v>-0.2</v>
      </c>
      <c r="B35" s="1035">
        <v>0.42070000000000002</v>
      </c>
      <c r="C35" s="1035">
        <v>0.4168</v>
      </c>
      <c r="D35" s="1035">
        <v>0.41289999999999999</v>
      </c>
      <c r="E35" s="1035">
        <v>0.40899999999999997</v>
      </c>
      <c r="F35" s="1035">
        <v>0.4052</v>
      </c>
      <c r="G35" s="1041">
        <v>0.40129999999999999</v>
      </c>
      <c r="H35" s="1035">
        <v>0.39739999999999998</v>
      </c>
      <c r="I35" s="1035">
        <v>0.39360000000000001</v>
      </c>
      <c r="J35" s="1035">
        <v>0.38969999999999999</v>
      </c>
      <c r="K35" s="1035">
        <v>0.38590000000000002</v>
      </c>
    </row>
    <row r="36" spans="1:11" x14ac:dyDescent="0.3">
      <c r="A36" s="1030">
        <v>-0.1</v>
      </c>
      <c r="B36" s="1035">
        <v>0.4602</v>
      </c>
      <c r="C36" s="1035">
        <v>0.45619999999999999</v>
      </c>
      <c r="D36" s="1035">
        <v>0.45219999999999999</v>
      </c>
      <c r="E36" s="1035">
        <v>0.44829999999999998</v>
      </c>
      <c r="F36" s="1035">
        <v>0.44429999999999997</v>
      </c>
      <c r="G36" s="1041">
        <v>0.44040000000000001</v>
      </c>
      <c r="H36" s="1035">
        <v>0.43640000000000001</v>
      </c>
      <c r="I36" s="1035">
        <v>0.4325</v>
      </c>
      <c r="J36" s="1035">
        <v>0.42859999999999998</v>
      </c>
      <c r="K36" s="1035">
        <v>0.42470000000000002</v>
      </c>
    </row>
    <row r="37" spans="1:11" x14ac:dyDescent="0.3">
      <c r="A37" s="1030">
        <v>0</v>
      </c>
      <c r="B37" s="1035">
        <v>0.5</v>
      </c>
      <c r="C37" s="1035">
        <v>0.496</v>
      </c>
      <c r="D37" s="1035">
        <v>0.49199999999999999</v>
      </c>
      <c r="E37" s="1035">
        <v>0.48799999999999999</v>
      </c>
      <c r="F37" s="1035">
        <v>0.48399999999999999</v>
      </c>
      <c r="G37" s="1041">
        <v>0.48010000000000003</v>
      </c>
      <c r="H37" s="1035">
        <v>0.47610000000000002</v>
      </c>
      <c r="I37" s="1035">
        <v>0.47210000000000002</v>
      </c>
      <c r="J37" s="1035">
        <v>0.46810000000000002</v>
      </c>
      <c r="K37" s="1035">
        <v>0.46410000000000001</v>
      </c>
    </row>
    <row r="38" spans="1:11" x14ac:dyDescent="0.3">
      <c r="A38" s="1031">
        <v>0</v>
      </c>
      <c r="B38" s="1036">
        <v>0.5</v>
      </c>
      <c r="C38" s="1037">
        <v>0.50398900000000002</v>
      </c>
      <c r="D38" s="1037">
        <v>0.50797800000000004</v>
      </c>
      <c r="E38" s="1037">
        <v>0.51196600000000003</v>
      </c>
      <c r="F38" s="1037">
        <v>0.51595299999999999</v>
      </c>
      <c r="G38" s="1042">
        <v>0.51993900000000004</v>
      </c>
      <c r="H38" s="1037">
        <v>0.523922</v>
      </c>
      <c r="I38" s="1037">
        <v>0.52790300000000001</v>
      </c>
      <c r="J38" s="1037">
        <v>0.53188100000000005</v>
      </c>
      <c r="K38" s="1037">
        <v>0.535856</v>
      </c>
    </row>
    <row r="39" spans="1:11" x14ac:dyDescent="0.3">
      <c r="A39" s="1031">
        <v>0.1</v>
      </c>
      <c r="B39" s="1036">
        <v>0.53982799999999997</v>
      </c>
      <c r="C39" s="1037">
        <v>0.54379500000000003</v>
      </c>
      <c r="D39" s="1037">
        <v>0.54775799999999997</v>
      </c>
      <c r="E39" s="1037">
        <v>0.55171700000000001</v>
      </c>
      <c r="F39" s="1037">
        <v>0.55567</v>
      </c>
      <c r="G39" s="1042">
        <v>0.55961799999999995</v>
      </c>
      <c r="H39" s="1037">
        <v>0.56355900000000003</v>
      </c>
      <c r="I39" s="1037">
        <v>0.56749499999999997</v>
      </c>
      <c r="J39" s="1037">
        <v>0.57142400000000004</v>
      </c>
      <c r="K39" s="1037">
        <v>0.575345</v>
      </c>
    </row>
    <row r="40" spans="1:11" x14ac:dyDescent="0.3">
      <c r="A40" s="1031">
        <v>0.2</v>
      </c>
      <c r="B40" s="1036">
        <v>0.57926</v>
      </c>
      <c r="C40" s="1037">
        <v>0.58316599999999996</v>
      </c>
      <c r="D40" s="1037">
        <v>0.58706400000000003</v>
      </c>
      <c r="E40" s="1037">
        <v>0.59095399999999998</v>
      </c>
      <c r="F40" s="1037">
        <v>0.594835</v>
      </c>
      <c r="G40" s="1042">
        <v>0.59870599999999996</v>
      </c>
      <c r="H40" s="1037">
        <v>0.60256799999999999</v>
      </c>
      <c r="I40" s="1037">
        <v>0.60641999999999996</v>
      </c>
      <c r="J40" s="1037">
        <v>0.61026100000000005</v>
      </c>
      <c r="K40" s="1037">
        <v>0.61409199999999997</v>
      </c>
    </row>
    <row r="41" spans="1:11" x14ac:dyDescent="0.3">
      <c r="A41" s="1031">
        <v>0.3</v>
      </c>
      <c r="B41" s="1036">
        <v>0.61791099999999999</v>
      </c>
      <c r="C41" s="1037">
        <v>0.62172000000000005</v>
      </c>
      <c r="D41" s="1037">
        <v>0.62551599999999996</v>
      </c>
      <c r="E41" s="1037">
        <v>0.62929999999999997</v>
      </c>
      <c r="F41" s="1037">
        <v>0.63307199999999997</v>
      </c>
      <c r="G41" s="1042">
        <v>0.63683100000000004</v>
      </c>
      <c r="H41" s="1037">
        <v>0.64057600000000003</v>
      </c>
      <c r="I41" s="1037">
        <v>0.64430900000000002</v>
      </c>
      <c r="J41" s="1037">
        <v>0.64802700000000002</v>
      </c>
      <c r="K41" s="1037">
        <v>0.65173199999999998</v>
      </c>
    </row>
    <row r="42" spans="1:11" x14ac:dyDescent="0.3">
      <c r="A42" s="1031">
        <v>0.4</v>
      </c>
      <c r="B42" s="1036">
        <v>0.65542199999999995</v>
      </c>
      <c r="C42" s="1037">
        <v>0.65909700000000004</v>
      </c>
      <c r="D42" s="1037">
        <v>0.66275700000000004</v>
      </c>
      <c r="E42" s="1037">
        <v>0.66640200000000005</v>
      </c>
      <c r="F42" s="1037">
        <v>0.67003100000000004</v>
      </c>
      <c r="G42" s="1042">
        <v>0.67364500000000005</v>
      </c>
      <c r="H42" s="1037">
        <v>0.67724200000000001</v>
      </c>
      <c r="I42" s="1037">
        <v>0.68082200000000004</v>
      </c>
      <c r="J42" s="1037">
        <v>0.68438600000000005</v>
      </c>
      <c r="K42" s="1037">
        <v>0.68793300000000002</v>
      </c>
    </row>
    <row r="43" spans="1:11" x14ac:dyDescent="0.3">
      <c r="A43" s="1031">
        <v>0.5</v>
      </c>
      <c r="B43" s="1036">
        <v>0.69146200000000002</v>
      </c>
      <c r="C43" s="1037">
        <v>0.69497399999999998</v>
      </c>
      <c r="D43" s="1037">
        <v>0.69846799999999998</v>
      </c>
      <c r="E43" s="1037">
        <v>0.70194400000000001</v>
      </c>
      <c r="F43" s="1037">
        <v>0.70540099999999994</v>
      </c>
      <c r="G43" s="1042">
        <v>0.70884000000000003</v>
      </c>
      <c r="H43" s="1037">
        <v>0.71226</v>
      </c>
      <c r="I43" s="1037">
        <v>0.71566099999999999</v>
      </c>
      <c r="J43" s="1037">
        <v>0.71904299999999999</v>
      </c>
      <c r="K43" s="1037">
        <v>0.72240499999999996</v>
      </c>
    </row>
    <row r="44" spans="1:11" x14ac:dyDescent="0.3">
      <c r="A44" s="1031">
        <v>0.6</v>
      </c>
      <c r="B44" s="1036">
        <v>0.72574700000000003</v>
      </c>
      <c r="C44" s="1037">
        <v>0.72906899999999997</v>
      </c>
      <c r="D44" s="1037">
        <v>0.73237099999999999</v>
      </c>
      <c r="E44" s="1037">
        <v>0.735653</v>
      </c>
      <c r="F44" s="1037">
        <v>0.73891399999999996</v>
      </c>
      <c r="G44" s="1042">
        <v>0.74215399999999998</v>
      </c>
      <c r="H44" s="1037">
        <v>0.74537299999999995</v>
      </c>
      <c r="I44" s="1037">
        <v>0.74857099999999999</v>
      </c>
      <c r="J44" s="1037">
        <v>0.75174799999999997</v>
      </c>
      <c r="K44" s="1037">
        <v>0.75490299999999999</v>
      </c>
    </row>
    <row r="45" spans="1:11" x14ac:dyDescent="0.3">
      <c r="A45" s="1031">
        <v>0.7</v>
      </c>
      <c r="B45" s="1036">
        <v>0.75803600000000004</v>
      </c>
      <c r="C45" s="1037">
        <v>0.76114800000000005</v>
      </c>
      <c r="D45" s="1037">
        <v>0.76423799999999997</v>
      </c>
      <c r="E45" s="1037">
        <v>0.76730500000000001</v>
      </c>
      <c r="F45" s="1037">
        <v>0.77034999999999998</v>
      </c>
      <c r="G45" s="1042">
        <v>0.77337299999999998</v>
      </c>
      <c r="H45" s="1037">
        <v>0.77637299999999998</v>
      </c>
      <c r="I45" s="1037">
        <v>0.77934999999999999</v>
      </c>
      <c r="J45" s="1037">
        <v>0.78230500000000003</v>
      </c>
      <c r="K45" s="1037">
        <v>0.78523600000000005</v>
      </c>
    </row>
    <row r="46" spans="1:11" x14ac:dyDescent="0.3">
      <c r="A46" s="1031">
        <v>0.8</v>
      </c>
      <c r="B46" s="1036">
        <v>0.78814499999999998</v>
      </c>
      <c r="C46" s="1037">
        <v>0.79103000000000001</v>
      </c>
      <c r="D46" s="1037">
        <v>0.79389200000000004</v>
      </c>
      <c r="E46" s="1037">
        <v>0.79673099999999997</v>
      </c>
      <c r="F46" s="1037">
        <v>0.79954599999999998</v>
      </c>
      <c r="G46" s="1042">
        <v>0.80233699999999997</v>
      </c>
      <c r="H46" s="1037">
        <v>0.80510499999999996</v>
      </c>
      <c r="I46" s="1037">
        <v>0.80784999999999996</v>
      </c>
      <c r="J46" s="1037">
        <v>0.81057000000000001</v>
      </c>
      <c r="K46" s="1037">
        <v>0.81326699999999996</v>
      </c>
    </row>
    <row r="47" spans="1:11" x14ac:dyDescent="0.3">
      <c r="A47" s="1031">
        <v>0.9</v>
      </c>
      <c r="B47" s="1036">
        <v>0.81594</v>
      </c>
      <c r="C47" s="1037">
        <v>0.81858900000000001</v>
      </c>
      <c r="D47" s="1037">
        <v>0.821214</v>
      </c>
      <c r="E47" s="1037">
        <v>0.82381400000000005</v>
      </c>
      <c r="F47" s="1037">
        <v>0.82639099999999999</v>
      </c>
      <c r="G47" s="1042">
        <v>0.82894400000000001</v>
      </c>
      <c r="H47" s="1037">
        <v>0.83147199999999999</v>
      </c>
      <c r="I47" s="1037">
        <v>0.83397699999999997</v>
      </c>
      <c r="J47" s="1037">
        <v>0.83645700000000001</v>
      </c>
      <c r="K47" s="1037">
        <v>0.83891300000000002</v>
      </c>
    </row>
    <row r="48" spans="1:11" x14ac:dyDescent="0.3">
      <c r="A48" s="1031">
        <v>1</v>
      </c>
      <c r="B48" s="1036">
        <v>0.84134500000000001</v>
      </c>
      <c r="C48" s="1037">
        <v>0.84375199999999995</v>
      </c>
      <c r="D48" s="1037">
        <v>0.846136</v>
      </c>
      <c r="E48" s="1037">
        <v>0.848495</v>
      </c>
      <c r="F48" s="1037">
        <v>0.85082999999999998</v>
      </c>
      <c r="G48" s="1042">
        <v>0.85314100000000004</v>
      </c>
      <c r="H48" s="1037">
        <v>0.85542799999999997</v>
      </c>
      <c r="I48" s="1037">
        <v>0.85768999999999995</v>
      </c>
      <c r="J48" s="1037">
        <v>0.85992900000000005</v>
      </c>
      <c r="K48" s="1037">
        <v>0.86214299999999999</v>
      </c>
    </row>
    <row r="49" spans="1:11" x14ac:dyDescent="0.3">
      <c r="A49" s="1031">
        <v>1.1000000000000001</v>
      </c>
      <c r="B49" s="1036">
        <v>0.86433400000000005</v>
      </c>
      <c r="C49" s="1037">
        <v>0.86650000000000005</v>
      </c>
      <c r="D49" s="1037">
        <v>0.86864300000000005</v>
      </c>
      <c r="E49" s="1037">
        <v>0.87076200000000004</v>
      </c>
      <c r="F49" s="1037">
        <v>0.87285699999999999</v>
      </c>
      <c r="G49" s="1042">
        <v>0.87492800000000004</v>
      </c>
      <c r="H49" s="1037">
        <v>0.87697599999999998</v>
      </c>
      <c r="I49" s="1037">
        <v>0.879</v>
      </c>
      <c r="J49" s="1037">
        <v>0.88100000000000001</v>
      </c>
      <c r="K49" s="1037">
        <v>0.88297700000000001</v>
      </c>
    </row>
    <row r="50" spans="1:11" x14ac:dyDescent="0.3">
      <c r="A50" s="1031">
        <v>1.2</v>
      </c>
      <c r="B50" s="1036">
        <v>0.88492999999999999</v>
      </c>
      <c r="C50" s="1037">
        <v>0.88686100000000001</v>
      </c>
      <c r="D50" s="1037">
        <v>0.888768</v>
      </c>
      <c r="E50" s="1037">
        <v>0.89065099999999997</v>
      </c>
      <c r="F50" s="1037">
        <v>0.89251199999999997</v>
      </c>
      <c r="G50" s="1042">
        <v>0.89434999999999998</v>
      </c>
      <c r="H50" s="1037">
        <v>0.89616499999999999</v>
      </c>
      <c r="I50" s="1037">
        <v>0.89795800000000003</v>
      </c>
      <c r="J50" s="1037">
        <v>0.89972700000000005</v>
      </c>
      <c r="K50" s="1037">
        <v>0.90147500000000003</v>
      </c>
    </row>
    <row r="51" spans="1:11" x14ac:dyDescent="0.3">
      <c r="A51" s="1031">
        <v>1.3</v>
      </c>
      <c r="B51" s="1036">
        <v>0.9032</v>
      </c>
      <c r="C51" s="1037">
        <v>0.90490199999999998</v>
      </c>
      <c r="D51" s="1037">
        <v>0.906582</v>
      </c>
      <c r="E51" s="1037">
        <v>0.90824099999999997</v>
      </c>
      <c r="F51" s="1037">
        <v>0.90987700000000005</v>
      </c>
      <c r="G51" s="1042">
        <v>0.91149199999999997</v>
      </c>
      <c r="H51" s="1037">
        <v>0.91308500000000004</v>
      </c>
      <c r="I51" s="1037">
        <v>0.91465700000000005</v>
      </c>
      <c r="J51" s="1037">
        <v>0.91620699999999999</v>
      </c>
      <c r="K51" s="1037">
        <v>0.917736</v>
      </c>
    </row>
    <row r="52" spans="1:11" x14ac:dyDescent="0.3">
      <c r="A52" s="1031">
        <v>1.4</v>
      </c>
      <c r="B52" s="1036">
        <v>0.91924300000000003</v>
      </c>
      <c r="C52" s="1037">
        <v>0.92073000000000005</v>
      </c>
      <c r="D52" s="1037">
        <v>0.92219600000000002</v>
      </c>
      <c r="E52" s="1037">
        <v>0.92364100000000005</v>
      </c>
      <c r="F52" s="1037">
        <v>0.92506600000000005</v>
      </c>
      <c r="G52" s="1042">
        <v>0.92647100000000004</v>
      </c>
      <c r="H52" s="1037">
        <v>0.92785499999999999</v>
      </c>
      <c r="I52" s="1037">
        <v>0.92921900000000002</v>
      </c>
      <c r="J52" s="1037">
        <v>0.93056300000000003</v>
      </c>
      <c r="K52" s="1037">
        <v>0.93188800000000005</v>
      </c>
    </row>
    <row r="53" spans="1:11" x14ac:dyDescent="0.3">
      <c r="A53" s="1031">
        <v>1.5</v>
      </c>
      <c r="B53" s="1036">
        <v>0.93319300000000005</v>
      </c>
      <c r="C53" s="1037">
        <v>0.93447800000000003</v>
      </c>
      <c r="D53" s="1037">
        <v>0.93574500000000005</v>
      </c>
      <c r="E53" s="1037">
        <v>0.93699200000000005</v>
      </c>
      <c r="F53" s="1037">
        <v>0.93822000000000005</v>
      </c>
      <c r="G53" s="1042">
        <v>0.93942899999999996</v>
      </c>
      <c r="H53" s="1037">
        <v>0.94062000000000001</v>
      </c>
      <c r="I53" s="1037">
        <v>0.94179199999999996</v>
      </c>
      <c r="J53" s="1037">
        <v>0.94294699999999998</v>
      </c>
      <c r="K53" s="1037">
        <v>0.94408300000000001</v>
      </c>
    </row>
    <row r="54" spans="1:11" x14ac:dyDescent="0.3">
      <c r="A54" s="1031">
        <v>1.6</v>
      </c>
      <c r="B54" s="1036">
        <v>0.94520099999999996</v>
      </c>
      <c r="C54" s="1037">
        <v>0.94630099999999995</v>
      </c>
      <c r="D54" s="1037">
        <v>0.947384</v>
      </c>
      <c r="E54" s="1037">
        <v>0.94844899999999999</v>
      </c>
      <c r="F54" s="1037">
        <v>0.94949700000000004</v>
      </c>
      <c r="G54" s="1042">
        <v>0.95052899999999996</v>
      </c>
      <c r="H54" s="1037">
        <v>0.95154300000000003</v>
      </c>
      <c r="I54" s="1037">
        <v>0.95254000000000005</v>
      </c>
      <c r="J54" s="1037">
        <v>0.95352099999999995</v>
      </c>
      <c r="K54" s="1037">
        <v>0.95448599999999995</v>
      </c>
    </row>
    <row r="55" spans="1:11" x14ac:dyDescent="0.3">
      <c r="A55" s="1031">
        <v>1.7</v>
      </c>
      <c r="B55" s="1036">
        <v>0.95543500000000003</v>
      </c>
      <c r="C55" s="1037">
        <v>0.95636699999999997</v>
      </c>
      <c r="D55" s="1037">
        <v>0.95728400000000002</v>
      </c>
      <c r="E55" s="1037">
        <v>0.95818499999999995</v>
      </c>
      <c r="F55" s="1037">
        <v>0.95906999999999998</v>
      </c>
      <c r="G55" s="1042">
        <v>0.95994100000000004</v>
      </c>
      <c r="H55" s="1037">
        <v>0.96079599999999998</v>
      </c>
      <c r="I55" s="1037">
        <v>0.96163600000000005</v>
      </c>
      <c r="J55" s="1037">
        <v>0.96246200000000004</v>
      </c>
      <c r="K55" s="1037">
        <v>0.96327300000000005</v>
      </c>
    </row>
    <row r="56" spans="1:11" x14ac:dyDescent="0.3">
      <c r="A56" s="1031">
        <v>1.8</v>
      </c>
      <c r="B56" s="1036">
        <v>0.96406999999999998</v>
      </c>
      <c r="C56" s="1037">
        <v>0.96485200000000004</v>
      </c>
      <c r="D56" s="1037">
        <v>0.96562000000000003</v>
      </c>
      <c r="E56" s="1037">
        <v>0.96637499999999998</v>
      </c>
      <c r="F56" s="1037">
        <v>0.96711599999999998</v>
      </c>
      <c r="G56" s="1042">
        <v>0.96784300000000001</v>
      </c>
      <c r="H56" s="1037">
        <v>0.968557</v>
      </c>
      <c r="I56" s="1037">
        <v>0.96925799999999995</v>
      </c>
      <c r="J56" s="1037">
        <v>0.96994599999999997</v>
      </c>
      <c r="K56" s="1037">
        <v>0.97062099999999996</v>
      </c>
    </row>
    <row r="57" spans="1:11" x14ac:dyDescent="0.3">
      <c r="A57" s="1031">
        <v>1.9</v>
      </c>
      <c r="B57" s="1036">
        <v>0.97128300000000001</v>
      </c>
      <c r="C57" s="1037">
        <v>0.97193300000000005</v>
      </c>
      <c r="D57" s="1037">
        <v>0.97257099999999996</v>
      </c>
      <c r="E57" s="1037">
        <v>0.97319699999999998</v>
      </c>
      <c r="F57" s="1037">
        <v>0.97380999999999995</v>
      </c>
      <c r="G57" s="1042">
        <v>0.97441199999999994</v>
      </c>
      <c r="H57" s="1037">
        <v>0.97500200000000004</v>
      </c>
      <c r="I57" s="1037">
        <v>0.97558100000000003</v>
      </c>
      <c r="J57" s="1037">
        <v>0.97614800000000002</v>
      </c>
      <c r="K57" s="1037">
        <v>0.97670500000000005</v>
      </c>
    </row>
    <row r="58" spans="1:11" x14ac:dyDescent="0.3">
      <c r="A58" s="1031">
        <v>2</v>
      </c>
      <c r="B58" s="1036">
        <v>0.97724999999999995</v>
      </c>
      <c r="C58" s="1037">
        <v>0.97778399999999999</v>
      </c>
      <c r="D58" s="1037">
        <v>0.97830799999999996</v>
      </c>
      <c r="E58" s="1037">
        <v>0.97882199999999997</v>
      </c>
      <c r="F58" s="1037">
        <v>0.979325</v>
      </c>
      <c r="G58" s="1042">
        <v>0.97981799999999997</v>
      </c>
      <c r="H58" s="1037">
        <v>0.98030099999999998</v>
      </c>
      <c r="I58" s="1037">
        <v>0.98077400000000003</v>
      </c>
      <c r="J58" s="1037">
        <v>0.98123700000000003</v>
      </c>
      <c r="K58" s="1037">
        <v>0.98169099999999998</v>
      </c>
    </row>
    <row r="59" spans="1:11" x14ac:dyDescent="0.3">
      <c r="A59" s="1031">
        <v>2.1</v>
      </c>
      <c r="B59" s="1036">
        <v>0.98213600000000001</v>
      </c>
      <c r="C59" s="1037">
        <v>0.98257099999999997</v>
      </c>
      <c r="D59" s="1037">
        <v>0.98299700000000001</v>
      </c>
      <c r="E59" s="1037">
        <v>0.98341400000000001</v>
      </c>
      <c r="F59" s="1037">
        <v>0.983823</v>
      </c>
      <c r="G59" s="1042">
        <v>0.98422200000000004</v>
      </c>
      <c r="H59" s="1037">
        <v>0.98461399999999999</v>
      </c>
      <c r="I59" s="1037">
        <v>0.98499700000000001</v>
      </c>
      <c r="J59" s="1037">
        <v>0.985371</v>
      </c>
      <c r="K59" s="1037">
        <v>0.985738</v>
      </c>
    </row>
    <row r="60" spans="1:11" x14ac:dyDescent="0.3">
      <c r="A60" s="1031">
        <v>2.2000000000000002</v>
      </c>
      <c r="B60" s="1036">
        <v>0.986097</v>
      </c>
      <c r="C60" s="1037">
        <v>0.98644699999999996</v>
      </c>
      <c r="D60" s="1037">
        <v>0.98679099999999997</v>
      </c>
      <c r="E60" s="1037">
        <v>0.98712599999999995</v>
      </c>
      <c r="F60" s="1037">
        <v>0.98745499999999997</v>
      </c>
      <c r="G60" s="1042">
        <v>0.98777599999999999</v>
      </c>
      <c r="H60" s="1037">
        <v>0.988089</v>
      </c>
      <c r="I60" s="1037">
        <v>0.98839600000000005</v>
      </c>
      <c r="J60" s="1037">
        <v>0.98869600000000002</v>
      </c>
      <c r="K60" s="1037">
        <v>0.98898900000000001</v>
      </c>
    </row>
    <row r="61" spans="1:11" x14ac:dyDescent="0.3">
      <c r="A61" s="1031">
        <v>2.2999999999999998</v>
      </c>
      <c r="B61" s="1036">
        <v>0.98927600000000004</v>
      </c>
      <c r="C61" s="1037">
        <v>0.98955599999999999</v>
      </c>
      <c r="D61" s="1037">
        <v>0.98982999999999999</v>
      </c>
      <c r="E61" s="1037">
        <v>0.990097</v>
      </c>
      <c r="F61" s="1037">
        <v>0.99035799999999996</v>
      </c>
      <c r="G61" s="1042">
        <v>0.99061299999999997</v>
      </c>
      <c r="H61" s="1037">
        <v>0.99086300000000005</v>
      </c>
      <c r="I61" s="1037">
        <v>0.99110600000000004</v>
      </c>
      <c r="J61" s="1037">
        <v>0.991344</v>
      </c>
      <c r="K61" s="1037">
        <v>0.99157600000000001</v>
      </c>
    </row>
    <row r="62" spans="1:11" x14ac:dyDescent="0.3">
      <c r="A62" s="1031">
        <v>2.4</v>
      </c>
      <c r="B62" s="1036">
        <v>0.99180199999999996</v>
      </c>
      <c r="C62" s="1037">
        <v>0.99202400000000002</v>
      </c>
      <c r="D62" s="1037">
        <v>0.99224000000000001</v>
      </c>
      <c r="E62" s="1037">
        <v>0.99245099999999997</v>
      </c>
      <c r="F62" s="1037">
        <v>0.99265599999999998</v>
      </c>
      <c r="G62" s="1042">
        <v>0.99285699999999999</v>
      </c>
      <c r="H62" s="1037">
        <v>0.99305299999999996</v>
      </c>
      <c r="I62" s="1037">
        <v>0.99324400000000002</v>
      </c>
      <c r="J62" s="1037">
        <v>0.99343099999999995</v>
      </c>
      <c r="K62" s="1037">
        <v>0.99361299999999997</v>
      </c>
    </row>
    <row r="63" spans="1:11" x14ac:dyDescent="0.3">
      <c r="A63" s="1031">
        <v>2.5</v>
      </c>
      <c r="B63" s="1036">
        <v>0.99378999999999995</v>
      </c>
      <c r="C63" s="1037">
        <v>0.99396300000000004</v>
      </c>
      <c r="D63" s="1037">
        <v>0.99413200000000002</v>
      </c>
      <c r="E63" s="1037">
        <v>0.99429699999999999</v>
      </c>
      <c r="F63" s="1037">
        <v>0.99445700000000004</v>
      </c>
      <c r="G63" s="1042">
        <v>0.994614</v>
      </c>
      <c r="H63" s="1037">
        <v>0.99476600000000004</v>
      </c>
      <c r="I63" s="1037">
        <v>0.99491499999999999</v>
      </c>
      <c r="J63" s="1037">
        <v>0.99506000000000006</v>
      </c>
      <c r="K63" s="1037">
        <v>0.995201</v>
      </c>
    </row>
    <row r="64" spans="1:11" x14ac:dyDescent="0.3">
      <c r="A64" s="1031">
        <v>2.6</v>
      </c>
      <c r="B64" s="1036">
        <v>0.99533899999999997</v>
      </c>
      <c r="C64" s="1037">
        <v>0.99547300000000005</v>
      </c>
      <c r="D64" s="1037">
        <v>0.99560400000000004</v>
      </c>
      <c r="E64" s="1037">
        <v>0.99573100000000003</v>
      </c>
      <c r="F64" s="1037">
        <v>0.99585500000000005</v>
      </c>
      <c r="G64" s="1042">
        <v>0.99597500000000005</v>
      </c>
      <c r="H64" s="1037">
        <v>0.99609300000000001</v>
      </c>
      <c r="I64" s="1037">
        <v>0.99620699999999995</v>
      </c>
      <c r="J64" s="1037">
        <v>0.99631899999999995</v>
      </c>
      <c r="K64" s="1037">
        <v>0.99642699999999995</v>
      </c>
    </row>
    <row r="65" spans="1:11" x14ac:dyDescent="0.3">
      <c r="A65" s="1031">
        <v>2.7</v>
      </c>
      <c r="B65" s="1036">
        <v>0.996533</v>
      </c>
      <c r="C65" s="1037">
        <v>0.99663599999999997</v>
      </c>
      <c r="D65" s="1037">
        <v>0.99673599999999996</v>
      </c>
      <c r="E65" s="1037">
        <v>0.99683299999999997</v>
      </c>
      <c r="F65" s="1037">
        <v>0.99692800000000004</v>
      </c>
      <c r="G65" s="1042">
        <v>0.99702000000000002</v>
      </c>
      <c r="H65" s="1037">
        <v>0.99711000000000005</v>
      </c>
      <c r="I65" s="1037">
        <v>0.997197</v>
      </c>
      <c r="J65" s="1037">
        <v>0.997282</v>
      </c>
      <c r="K65" s="1037">
        <v>0.99736499999999995</v>
      </c>
    </row>
    <row r="66" spans="1:11" x14ac:dyDescent="0.3">
      <c r="A66" s="1031">
        <v>2.8</v>
      </c>
      <c r="B66" s="1036">
        <v>0.99744500000000003</v>
      </c>
      <c r="C66" s="1037">
        <v>0.99752300000000005</v>
      </c>
      <c r="D66" s="1037">
        <v>0.99759900000000001</v>
      </c>
      <c r="E66" s="1037">
        <v>0.99767300000000003</v>
      </c>
      <c r="F66" s="1037">
        <v>0.99774399999999996</v>
      </c>
      <c r="G66" s="1042">
        <v>0.99781399999999998</v>
      </c>
      <c r="H66" s="1037">
        <v>0.99788200000000005</v>
      </c>
      <c r="I66" s="1037">
        <v>0.99794799999999995</v>
      </c>
      <c r="J66" s="1037">
        <v>0.99801200000000001</v>
      </c>
      <c r="K66" s="1037">
        <v>0.99807400000000002</v>
      </c>
    </row>
    <row r="67" spans="1:11" x14ac:dyDescent="0.3">
      <c r="A67" s="1031">
        <v>2.9</v>
      </c>
      <c r="B67" s="1036">
        <v>0.99813399999999997</v>
      </c>
      <c r="C67" s="1037">
        <v>0.998193</v>
      </c>
      <c r="D67" s="1037">
        <v>0.99824999999999997</v>
      </c>
      <c r="E67" s="1037">
        <v>0.998305</v>
      </c>
      <c r="F67" s="1037">
        <v>0.998359</v>
      </c>
      <c r="G67" s="1042">
        <v>0.99841100000000005</v>
      </c>
      <c r="H67" s="1037">
        <v>0.99846199999999996</v>
      </c>
      <c r="I67" s="1037">
        <v>0.99851100000000004</v>
      </c>
      <c r="J67" s="1037">
        <v>0.99855899999999997</v>
      </c>
      <c r="K67" s="1037">
        <v>0.99860499999999996</v>
      </c>
    </row>
    <row r="68" spans="1:11" x14ac:dyDescent="0.3">
      <c r="A68" s="1031">
        <v>3</v>
      </c>
      <c r="B68" s="1036">
        <v>0.99865000000000004</v>
      </c>
      <c r="C68" s="1037">
        <v>0.99869399999999997</v>
      </c>
      <c r="D68" s="1037">
        <v>0.99873599999999996</v>
      </c>
      <c r="E68" s="1037">
        <v>0.99877700000000003</v>
      </c>
      <c r="F68" s="1037">
        <v>0.99881699999999995</v>
      </c>
      <c r="G68" s="1042">
        <v>0.99885599999999997</v>
      </c>
      <c r="H68" s="1037">
        <v>0.99889300000000003</v>
      </c>
      <c r="I68" s="1037">
        <v>0.99892999999999998</v>
      </c>
      <c r="J68" s="1037">
        <v>0.99896499999999999</v>
      </c>
      <c r="K68" s="1037">
        <v>0.99899899999999997</v>
      </c>
    </row>
    <row r="69" spans="1:11" x14ac:dyDescent="0.3">
      <c r="A69" s="1031">
        <v>3.1</v>
      </c>
      <c r="B69" s="1036">
        <v>0.99903200000000003</v>
      </c>
      <c r="C69" s="1037">
        <v>0.99906499999999998</v>
      </c>
      <c r="D69" s="1037">
        <v>0.99909599999999998</v>
      </c>
      <c r="E69" s="1037">
        <v>0.99912599999999996</v>
      </c>
      <c r="F69" s="1037">
        <v>0.99915500000000002</v>
      </c>
      <c r="G69" s="1042">
        <v>0.99918399999999996</v>
      </c>
      <c r="H69" s="1037">
        <v>0.99921099999999996</v>
      </c>
      <c r="I69" s="1037">
        <v>0.99923799999999996</v>
      </c>
      <c r="J69" s="1037">
        <v>0.99926400000000004</v>
      </c>
      <c r="K69" s="1037">
        <v>0.99928899999999998</v>
      </c>
    </row>
    <row r="70" spans="1:11" x14ac:dyDescent="0.3">
      <c r="A70" s="1031">
        <v>3.2</v>
      </c>
      <c r="B70" s="1036">
        <v>0.99931300000000001</v>
      </c>
      <c r="C70" s="1037">
        <v>0.999336</v>
      </c>
      <c r="D70" s="1037">
        <v>0.999359</v>
      </c>
      <c r="E70" s="1037">
        <v>0.99938099999999996</v>
      </c>
      <c r="F70" s="1037">
        <v>0.99940200000000001</v>
      </c>
      <c r="G70" s="1042">
        <v>0.99942299999999995</v>
      </c>
      <c r="H70" s="1037">
        <v>0.99944299999999997</v>
      </c>
      <c r="I70" s="1037">
        <v>0.99946199999999996</v>
      </c>
      <c r="J70" s="1037">
        <v>0.99948099999999995</v>
      </c>
      <c r="K70" s="1037">
        <v>0.99949900000000003</v>
      </c>
    </row>
    <row r="71" spans="1:11" x14ac:dyDescent="0.3">
      <c r="A71" s="1031">
        <v>3.3</v>
      </c>
      <c r="B71" s="1036">
        <v>0.99951699999999999</v>
      </c>
      <c r="C71" s="1037">
        <v>0.99953400000000003</v>
      </c>
      <c r="D71" s="1037">
        <v>0.99955000000000005</v>
      </c>
      <c r="E71" s="1037">
        <v>0.99956599999999995</v>
      </c>
      <c r="F71" s="1037">
        <v>0.99958100000000005</v>
      </c>
      <c r="G71" s="1042">
        <v>0.99959600000000004</v>
      </c>
      <c r="H71" s="1037">
        <v>0.99961</v>
      </c>
      <c r="I71" s="1037">
        <v>0.99962399999999996</v>
      </c>
      <c r="J71" s="1037">
        <v>0.99963800000000003</v>
      </c>
      <c r="K71" s="1037">
        <v>0.99965099999999996</v>
      </c>
    </row>
    <row r="72" spans="1:11" x14ac:dyDescent="0.3">
      <c r="A72" s="1032">
        <v>3.4</v>
      </c>
      <c r="B72" s="1038">
        <v>0.99966299999999997</v>
      </c>
      <c r="C72" s="1039">
        <v>0.99967499999999998</v>
      </c>
      <c r="D72" s="1039">
        <v>0.99968699999999999</v>
      </c>
      <c r="E72" s="1039">
        <v>0.99969799999999998</v>
      </c>
      <c r="F72" s="1039">
        <v>0.99970899999999996</v>
      </c>
      <c r="G72" s="1043">
        <v>0.99972000000000005</v>
      </c>
      <c r="H72" s="1039">
        <v>0.99973000000000001</v>
      </c>
      <c r="I72" s="1039">
        <v>0.99973999999999996</v>
      </c>
      <c r="J72" s="1039">
        <v>0.999749</v>
      </c>
      <c r="K72" s="1039">
        <v>0.99975800000000004</v>
      </c>
    </row>
    <row r="73" spans="1:11" x14ac:dyDescent="0.3">
      <c r="A73" s="1033" t="s">
        <v>4834</v>
      </c>
      <c r="B73" s="1033"/>
      <c r="C73" s="1033"/>
      <c r="D73" s="1033"/>
      <c r="E73" s="1033"/>
      <c r="F73" s="1033"/>
      <c r="G73" s="1044"/>
      <c r="H73" s="1033"/>
      <c r="I73" s="1033"/>
      <c r="J73" s="1034" t="s">
        <v>4835</v>
      </c>
      <c r="K73" s="1034"/>
    </row>
  </sheetData>
  <mergeCells count="1">
    <mergeCell ref="J73:K7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D94"/>
  <sheetViews>
    <sheetView topLeftCell="F13" zoomScale="55" zoomScaleNormal="55" workbookViewId="0">
      <selection activeCell="L27" sqref="L27:S27"/>
    </sheetView>
  </sheetViews>
  <sheetFormatPr defaultColWidth="9.109375" defaultRowHeight="14.4" x14ac:dyDescent="0.3"/>
  <cols>
    <col min="1" max="2" width="9.109375" style="1"/>
    <col min="3" max="3" width="3.6640625" style="1" customWidth="1"/>
    <col min="4" max="4" width="9.6640625" style="1" bestFit="1" customWidth="1"/>
    <col min="5" max="5" width="12.109375" style="1" customWidth="1"/>
    <col min="6" max="6" width="18.33203125" style="1" bestFit="1" customWidth="1"/>
    <col min="7" max="7" width="17" style="1" bestFit="1" customWidth="1"/>
    <col min="8" max="8" width="17" style="1" customWidth="1"/>
    <col min="9" max="9" width="9.109375" style="1"/>
    <col min="10" max="10" width="1.5546875" style="1" customWidth="1"/>
    <col min="11" max="11" width="9.109375" style="1"/>
    <col min="12" max="12" width="8.88671875" style="1" customWidth="1"/>
    <col min="13" max="13" width="8.109375" style="1" bestFit="1" customWidth="1"/>
    <col min="14" max="14" width="17.88671875" style="1" bestFit="1" customWidth="1"/>
    <col min="15" max="15" width="19" style="1" bestFit="1" customWidth="1"/>
    <col min="16" max="16" width="18.33203125" style="1" bestFit="1" customWidth="1"/>
    <col min="17" max="17" width="18.88671875" style="1" bestFit="1" customWidth="1"/>
    <col min="18" max="18" width="9.109375" style="1" customWidth="1"/>
    <col min="19" max="19" width="8.33203125" style="1" customWidth="1"/>
    <col min="20" max="20" width="6.88671875" style="1" customWidth="1"/>
    <col min="21" max="22" width="9.109375" style="1"/>
    <col min="23" max="23" width="16.44140625" style="1" bestFit="1" customWidth="1"/>
    <col min="24" max="24" width="16.6640625" style="1" bestFit="1" customWidth="1"/>
    <col min="25" max="25" width="19" style="1" bestFit="1" customWidth="1"/>
    <col min="26" max="26" width="21.33203125" style="1" bestFit="1" customWidth="1"/>
    <col min="27" max="27" width="18.88671875" style="1" bestFit="1" customWidth="1"/>
    <col min="28" max="28" width="12.44140625" style="1" bestFit="1" customWidth="1"/>
    <col min="29" max="29" width="10.33203125" style="1" bestFit="1" customWidth="1"/>
    <col min="30" max="16384" width="9.109375" style="1"/>
  </cols>
  <sheetData>
    <row r="1" spans="1:30" x14ac:dyDescent="0.3">
      <c r="A1" s="52" t="s">
        <v>109</v>
      </c>
      <c r="B1" s="52"/>
      <c r="C1" s="52"/>
      <c r="D1" s="52"/>
      <c r="E1" s="52"/>
      <c r="F1" s="73"/>
      <c r="G1" s="73"/>
      <c r="H1" s="73"/>
    </row>
    <row r="2" spans="1:30" ht="15" thickBot="1" x14ac:dyDescent="0.35">
      <c r="C2" s="73"/>
    </row>
    <row r="3" spans="1:30" ht="15" thickBot="1" x14ac:dyDescent="0.35">
      <c r="B3" s="65"/>
      <c r="C3" s="66"/>
      <c r="D3" s="66"/>
      <c r="E3" s="66"/>
      <c r="F3" s="66"/>
      <c r="G3" s="66"/>
      <c r="H3" s="66"/>
      <c r="I3" s="67"/>
      <c r="K3" s="65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7"/>
    </row>
    <row r="4" spans="1:30" x14ac:dyDescent="0.3">
      <c r="B4" s="68"/>
      <c r="C4" s="857" t="s">
        <v>15</v>
      </c>
      <c r="D4" s="857"/>
      <c r="E4" s="857"/>
      <c r="F4" s="857"/>
      <c r="G4" s="857"/>
      <c r="H4" s="857"/>
      <c r="I4" s="69"/>
      <c r="K4" s="68"/>
      <c r="L4" s="859" t="s">
        <v>29</v>
      </c>
      <c r="M4" s="860"/>
      <c r="N4" s="860"/>
      <c r="O4" s="860"/>
      <c r="P4" s="860"/>
      <c r="Q4" s="860"/>
      <c r="R4" s="861"/>
      <c r="S4" s="86"/>
      <c r="T4" s="86"/>
      <c r="V4" s="859" t="s">
        <v>38</v>
      </c>
      <c r="W4" s="860"/>
      <c r="X4" s="860"/>
      <c r="Y4" s="860"/>
      <c r="Z4" s="860"/>
      <c r="AA4" s="860"/>
      <c r="AB4" s="861"/>
      <c r="AD4" s="69"/>
    </row>
    <row r="5" spans="1:30" ht="15" thickBot="1" x14ac:dyDescent="0.35">
      <c r="B5" s="68"/>
      <c r="C5" s="875" t="s">
        <v>70</v>
      </c>
      <c r="D5" s="875"/>
      <c r="E5" s="875"/>
      <c r="F5" s="875"/>
      <c r="G5" s="875"/>
      <c r="H5" s="875"/>
      <c r="I5" s="69"/>
      <c r="K5" s="68"/>
      <c r="L5" s="862" t="s">
        <v>70</v>
      </c>
      <c r="M5" s="856"/>
      <c r="N5" s="856"/>
      <c r="O5" s="856"/>
      <c r="P5" s="856"/>
      <c r="Q5" s="856"/>
      <c r="R5" s="863"/>
      <c r="S5" s="86"/>
      <c r="T5" s="86"/>
      <c r="V5" s="862" t="s">
        <v>70</v>
      </c>
      <c r="W5" s="856"/>
      <c r="X5" s="856"/>
      <c r="Y5" s="856"/>
      <c r="Z5" s="856"/>
      <c r="AA5" s="856"/>
      <c r="AB5" s="863"/>
      <c r="AD5" s="69"/>
    </row>
    <row r="6" spans="1:30" ht="17.399999999999999" thickBot="1" x14ac:dyDescent="0.4">
      <c r="B6" s="68"/>
      <c r="C6" s="61" t="s">
        <v>4</v>
      </c>
      <c r="D6" s="62" t="s">
        <v>5</v>
      </c>
      <c r="E6" s="62" t="s">
        <v>6</v>
      </c>
      <c r="F6" s="62" t="s">
        <v>199</v>
      </c>
      <c r="G6" s="63" t="s">
        <v>200</v>
      </c>
      <c r="H6" s="63" t="s">
        <v>69</v>
      </c>
      <c r="I6" s="69"/>
      <c r="K6" s="68"/>
      <c r="L6" s="53" t="s">
        <v>21</v>
      </c>
      <c r="M6" s="54" t="s">
        <v>26</v>
      </c>
      <c r="N6" s="54" t="s">
        <v>27</v>
      </c>
      <c r="O6" s="54" t="s">
        <v>61</v>
      </c>
      <c r="P6" s="54" t="s">
        <v>201</v>
      </c>
      <c r="Q6" s="54" t="s">
        <v>202</v>
      </c>
      <c r="R6" s="55" t="s">
        <v>28</v>
      </c>
      <c r="S6" s="86"/>
      <c r="T6" s="86"/>
      <c r="V6" s="53" t="s">
        <v>21</v>
      </c>
      <c r="W6" s="54" t="s">
        <v>26</v>
      </c>
      <c r="X6" s="54" t="s">
        <v>27</v>
      </c>
      <c r="Y6" s="54" t="s">
        <v>61</v>
      </c>
      <c r="Z6" s="54" t="s">
        <v>201</v>
      </c>
      <c r="AA6" s="54" t="s">
        <v>202</v>
      </c>
      <c r="AB6" s="205" t="s">
        <v>42</v>
      </c>
      <c r="AD6" s="69"/>
    </row>
    <row r="7" spans="1:30" ht="15" thickTop="1" x14ac:dyDescent="0.3">
      <c r="B7" s="68"/>
      <c r="C7" s="36">
        <v>1</v>
      </c>
      <c r="D7" s="35">
        <f>'Rainfall Max'!V4</f>
        <v>2014</v>
      </c>
      <c r="E7" s="38">
        <f>RANK(F7,$F$7:$F$18,0)</f>
        <v>6</v>
      </c>
      <c r="F7" s="203">
        <f>'Rainfall Max'!W4</f>
        <v>121</v>
      </c>
      <c r="G7" s="203">
        <f>VLOOKUP(C7,$E$7:$F$18,2,FALSE)</f>
        <v>172</v>
      </c>
      <c r="H7" s="161">
        <f>(G7-$G$21)^3</f>
        <v>116995.39594290005</v>
      </c>
      <c r="I7" s="69"/>
      <c r="K7" s="68"/>
      <c r="L7" s="36">
        <f>C7</f>
        <v>1</v>
      </c>
      <c r="M7" s="57">
        <f>L7/($G$20+1)</f>
        <v>8.3333333333333329E-2</v>
      </c>
      <c r="N7" s="57">
        <f t="shared" ref="N7" si="0">1/M7</f>
        <v>12</v>
      </c>
      <c r="O7" s="79">
        <f t="shared" ref="O7" si="1">0.284*LN(N7)+0.3382</f>
        <v>1.043913488539792</v>
      </c>
      <c r="P7" s="203">
        <f t="shared" ref="P7" si="2">G7</f>
        <v>172</v>
      </c>
      <c r="Q7" s="200">
        <f>$G$21+O7*$G$22</f>
        <v>153.10212212409814</v>
      </c>
      <c r="R7" s="58">
        <f t="shared" ref="R7" si="3">ABS((Q7-P7)/P7)*100</f>
        <v>10.98713829994294</v>
      </c>
      <c r="S7" s="82"/>
      <c r="T7" s="82"/>
      <c r="V7" s="36">
        <v>1</v>
      </c>
      <c r="W7" s="57">
        <v>0.41666666666666669</v>
      </c>
      <c r="X7" s="57">
        <v>2.4</v>
      </c>
      <c r="Y7" s="79">
        <f t="shared" ref="Y7" si="4">O7</f>
        <v>1.043913488539792</v>
      </c>
      <c r="Z7" s="203">
        <f t="shared" ref="Z7" si="5">P7</f>
        <v>172</v>
      </c>
      <c r="AA7" s="203">
        <f t="shared" ref="AA7" si="6">Q7</f>
        <v>153.10212212409814</v>
      </c>
      <c r="AB7" s="58">
        <f t="shared" ref="AB7" si="7">(AA7-Z7)^2</f>
        <v>357.12978821250084</v>
      </c>
      <c r="AD7" s="69"/>
    </row>
    <row r="8" spans="1:30" x14ac:dyDescent="0.3">
      <c r="B8" s="68"/>
      <c r="C8" s="36">
        <v>2</v>
      </c>
      <c r="D8" s="35">
        <f>'Rainfall Max'!V5</f>
        <v>2015</v>
      </c>
      <c r="E8" s="38">
        <f t="shared" ref="E8:E17" si="8">RANK(F8,$F$7:$F$18,0)</f>
        <v>7</v>
      </c>
      <c r="F8" s="203">
        <f>'Rainfall Max'!W5</f>
        <v>119</v>
      </c>
      <c r="G8" s="203">
        <f t="shared" ref="G8:G17" si="9">VLOOKUP(C8,$E$7:$F$18,2,FALSE)</f>
        <v>155</v>
      </c>
      <c r="H8" s="161">
        <f t="shared" ref="H8:H17" si="10">(G8-$G$21)^3</f>
        <v>32489.519909842216</v>
      </c>
      <c r="I8" s="69"/>
      <c r="K8" s="68"/>
      <c r="L8" s="36">
        <f t="shared" ref="L8:L17" si="11">C8</f>
        <v>2</v>
      </c>
      <c r="M8" s="57">
        <f t="shared" ref="M8:M17" si="12">L8/($G$20+1)</f>
        <v>0.16666666666666666</v>
      </c>
      <c r="N8" s="57">
        <f t="shared" ref="N8:N17" si="13">1/M8</f>
        <v>6</v>
      </c>
      <c r="O8" s="79">
        <f t="shared" ref="O8:O17" si="14">0.284*LN(N8)+0.3382</f>
        <v>0.84705968926076758</v>
      </c>
      <c r="P8" s="203">
        <f t="shared" ref="P8:P17" si="15">G8</f>
        <v>155</v>
      </c>
      <c r="Q8" s="200">
        <f t="shared" ref="Q8:Q17" si="16">$G$21+O8*$G$22</f>
        <v>147.44282049478477</v>
      </c>
      <c r="R8" s="58">
        <f t="shared" ref="R8:R17" si="17">ABS((Q8-P8)/P8)*100</f>
        <v>4.8755996807840196</v>
      </c>
      <c r="S8" s="82"/>
      <c r="T8" s="82"/>
      <c r="V8" s="36">
        <v>1</v>
      </c>
      <c r="W8" s="57">
        <v>0.41666666666666669</v>
      </c>
      <c r="X8" s="57">
        <v>2.4</v>
      </c>
      <c r="Y8" s="79">
        <f t="shared" ref="Y8:Y17" si="18">O8</f>
        <v>0.84705968926076758</v>
      </c>
      <c r="Z8" s="203">
        <f t="shared" ref="Z8:Z17" si="19">P8</f>
        <v>155</v>
      </c>
      <c r="AA8" s="203">
        <f t="shared" ref="AA8:AA17" si="20">Q8</f>
        <v>147.44282049478477</v>
      </c>
      <c r="AB8" s="58">
        <f t="shared" ref="AB8:AB17" si="21">(AA8-Z8)^2</f>
        <v>57.110962074045126</v>
      </c>
      <c r="AD8" s="69"/>
    </row>
    <row r="9" spans="1:30" x14ac:dyDescent="0.3">
      <c r="B9" s="68"/>
      <c r="C9" s="36">
        <v>3</v>
      </c>
      <c r="D9" s="35">
        <f>'Rainfall Max'!V6</f>
        <v>2016</v>
      </c>
      <c r="E9" s="38">
        <f t="shared" si="8"/>
        <v>11</v>
      </c>
      <c r="F9" s="203">
        <f>'Rainfall Max'!W6</f>
        <v>74</v>
      </c>
      <c r="G9" s="203">
        <f t="shared" si="9"/>
        <v>141</v>
      </c>
      <c r="H9" s="161">
        <f t="shared" si="10"/>
        <v>5744.081893313296</v>
      </c>
      <c r="I9" s="69"/>
      <c r="K9" s="68"/>
      <c r="L9" s="36">
        <f t="shared" si="11"/>
        <v>3</v>
      </c>
      <c r="M9" s="57">
        <f t="shared" si="12"/>
        <v>0.25</v>
      </c>
      <c r="N9" s="57">
        <f t="shared" si="13"/>
        <v>4</v>
      </c>
      <c r="O9" s="79">
        <f t="shared" si="14"/>
        <v>0.73190759855804888</v>
      </c>
      <c r="P9" s="203">
        <f t="shared" si="15"/>
        <v>141</v>
      </c>
      <c r="Q9" s="200">
        <f t="shared" si="16"/>
        <v>144.13234126136632</v>
      </c>
      <c r="R9" s="58">
        <f t="shared" si="17"/>
        <v>2.221518625082497</v>
      </c>
      <c r="S9" s="82"/>
      <c r="T9" s="82"/>
      <c r="V9" s="36">
        <v>1</v>
      </c>
      <c r="W9" s="57">
        <v>0.41666666666666669</v>
      </c>
      <c r="X9" s="57">
        <v>2.4</v>
      </c>
      <c r="Y9" s="79">
        <f t="shared" si="18"/>
        <v>0.73190759855804888</v>
      </c>
      <c r="Z9" s="203">
        <f t="shared" si="19"/>
        <v>141</v>
      </c>
      <c r="AA9" s="203">
        <f t="shared" si="20"/>
        <v>144.13234126136632</v>
      </c>
      <c r="AB9" s="58">
        <f t="shared" si="21"/>
        <v>9.8115617776579533</v>
      </c>
      <c r="AD9" s="69"/>
    </row>
    <row r="10" spans="1:30" x14ac:dyDescent="0.3">
      <c r="B10" s="68"/>
      <c r="C10" s="36">
        <v>4</v>
      </c>
      <c r="D10" s="35">
        <f>'Rainfall Max'!V7</f>
        <v>2017</v>
      </c>
      <c r="E10" s="38">
        <f t="shared" si="8"/>
        <v>9</v>
      </c>
      <c r="F10" s="203">
        <f>'Rainfall Max'!W7</f>
        <v>100</v>
      </c>
      <c r="G10" s="203">
        <f t="shared" si="9"/>
        <v>139</v>
      </c>
      <c r="H10" s="161">
        <f t="shared" si="10"/>
        <v>4026.5777610818914</v>
      </c>
      <c r="I10" s="69"/>
      <c r="K10" s="68"/>
      <c r="L10" s="36">
        <f t="shared" si="11"/>
        <v>4</v>
      </c>
      <c r="M10" s="57">
        <f t="shared" si="12"/>
        <v>0.33333333333333331</v>
      </c>
      <c r="N10" s="57">
        <f t="shared" si="13"/>
        <v>3</v>
      </c>
      <c r="O10" s="79">
        <f t="shared" si="14"/>
        <v>0.65020588998174311</v>
      </c>
      <c r="P10" s="203">
        <f t="shared" si="15"/>
        <v>139</v>
      </c>
      <c r="Q10" s="200">
        <f t="shared" si="16"/>
        <v>141.78351886547142</v>
      </c>
      <c r="R10" s="58">
        <f t="shared" si="17"/>
        <v>2.0025315578931089</v>
      </c>
      <c r="S10" s="82"/>
      <c r="T10" s="82"/>
      <c r="V10" s="36">
        <v>1</v>
      </c>
      <c r="W10" s="57">
        <v>0.41666666666666669</v>
      </c>
      <c r="X10" s="57">
        <v>2.4</v>
      </c>
      <c r="Y10" s="79">
        <f t="shared" si="18"/>
        <v>0.65020588998174311</v>
      </c>
      <c r="Z10" s="203">
        <f t="shared" si="19"/>
        <v>139</v>
      </c>
      <c r="AA10" s="203">
        <f t="shared" si="20"/>
        <v>141.78351886547142</v>
      </c>
      <c r="AB10" s="58">
        <f t="shared" si="21"/>
        <v>7.7479772744353097</v>
      </c>
      <c r="AD10" s="69"/>
    </row>
    <row r="11" spans="1:30" x14ac:dyDescent="0.3">
      <c r="B11" s="68"/>
      <c r="C11" s="36">
        <v>5</v>
      </c>
      <c r="D11" s="35">
        <f>'Rainfall Max'!V8</f>
        <v>2018</v>
      </c>
      <c r="E11" s="38">
        <f t="shared" si="8"/>
        <v>4</v>
      </c>
      <c r="F11" s="203">
        <f>'Rainfall Max'!W8</f>
        <v>139</v>
      </c>
      <c r="G11" s="203">
        <f t="shared" si="9"/>
        <v>134</v>
      </c>
      <c r="H11" s="161">
        <f t="shared" si="10"/>
        <v>1298.2719759579254</v>
      </c>
      <c r="I11" s="69"/>
      <c r="K11" s="68"/>
      <c r="L11" s="36">
        <f t="shared" si="11"/>
        <v>5</v>
      </c>
      <c r="M11" s="57">
        <f t="shared" si="12"/>
        <v>0.41666666666666669</v>
      </c>
      <c r="N11" s="57">
        <f t="shared" si="13"/>
        <v>2.4</v>
      </c>
      <c r="O11" s="79">
        <f t="shared" si="14"/>
        <v>0.58683312140850752</v>
      </c>
      <c r="P11" s="203">
        <f t="shared" si="15"/>
        <v>134</v>
      </c>
      <c r="Q11" s="200">
        <f t="shared" si="16"/>
        <v>139.96163067355363</v>
      </c>
      <c r="R11" s="58">
        <f t="shared" si="17"/>
        <v>4.4489781145922596</v>
      </c>
      <c r="S11" s="82"/>
      <c r="T11" s="82"/>
      <c r="V11" s="36">
        <v>1</v>
      </c>
      <c r="W11" s="57">
        <v>0.41666666666666669</v>
      </c>
      <c r="X11" s="57">
        <v>2.4</v>
      </c>
      <c r="Y11" s="79">
        <f t="shared" si="18"/>
        <v>0.58683312140850752</v>
      </c>
      <c r="Z11" s="203">
        <f t="shared" si="19"/>
        <v>134</v>
      </c>
      <c r="AA11" s="203">
        <f t="shared" si="20"/>
        <v>139.96163067355363</v>
      </c>
      <c r="AB11" s="58">
        <f t="shared" si="21"/>
        <v>35.541040287855488</v>
      </c>
      <c r="AD11" s="69"/>
    </row>
    <row r="12" spans="1:30" x14ac:dyDescent="0.3">
      <c r="B12" s="68"/>
      <c r="C12" s="36">
        <v>6</v>
      </c>
      <c r="D12" s="35">
        <f>'Rainfall Max'!V9</f>
        <v>2019</v>
      </c>
      <c r="E12" s="38">
        <f t="shared" si="8"/>
        <v>10</v>
      </c>
      <c r="F12" s="203">
        <f>'Rainfall Max'!W9</f>
        <v>93</v>
      </c>
      <c r="G12" s="203">
        <f t="shared" si="9"/>
        <v>121</v>
      </c>
      <c r="H12" s="161">
        <f t="shared" si="10"/>
        <v>-9.1412471825695309</v>
      </c>
      <c r="I12" s="69"/>
      <c r="K12" s="68"/>
      <c r="L12" s="36">
        <f t="shared" si="11"/>
        <v>6</v>
      </c>
      <c r="M12" s="57">
        <f t="shared" si="12"/>
        <v>0.5</v>
      </c>
      <c r="N12" s="57">
        <f t="shared" si="13"/>
        <v>2</v>
      </c>
      <c r="O12" s="79">
        <f t="shared" si="14"/>
        <v>0.53505379927902441</v>
      </c>
      <c r="P12" s="203">
        <f t="shared" si="15"/>
        <v>121</v>
      </c>
      <c r="Q12" s="200">
        <f t="shared" si="16"/>
        <v>138.47303963205297</v>
      </c>
      <c r="R12" s="58">
        <f t="shared" si="17"/>
        <v>14.440528621531385</v>
      </c>
      <c r="S12" s="82"/>
      <c r="T12" s="82"/>
      <c r="V12" s="36">
        <v>1</v>
      </c>
      <c r="W12" s="57">
        <v>0.41666666666666669</v>
      </c>
      <c r="X12" s="57">
        <v>2.4</v>
      </c>
      <c r="Y12" s="79">
        <f t="shared" si="18"/>
        <v>0.53505379927902441</v>
      </c>
      <c r="Z12" s="203">
        <f t="shared" si="19"/>
        <v>121</v>
      </c>
      <c r="AA12" s="203">
        <f t="shared" si="20"/>
        <v>138.47303963205297</v>
      </c>
      <c r="AB12" s="58">
        <f t="shared" si="21"/>
        <v>305.3071139832939</v>
      </c>
      <c r="AD12" s="69"/>
    </row>
    <row r="13" spans="1:30" x14ac:dyDescent="0.3">
      <c r="B13" s="68"/>
      <c r="C13" s="36">
        <v>7</v>
      </c>
      <c r="D13" s="35">
        <f>'Rainfall Max'!V10</f>
        <v>2020</v>
      </c>
      <c r="E13" s="38">
        <f t="shared" si="8"/>
        <v>8</v>
      </c>
      <c r="F13" s="203">
        <f>'Rainfall Max'!W10</f>
        <v>106</v>
      </c>
      <c r="G13" s="203">
        <f t="shared" si="9"/>
        <v>119</v>
      </c>
      <c r="H13" s="161">
        <f t="shared" si="10"/>
        <v>-68.463561232156408</v>
      </c>
      <c r="I13" s="69"/>
      <c r="K13" s="68"/>
      <c r="L13" s="36">
        <f t="shared" si="11"/>
        <v>7</v>
      </c>
      <c r="M13" s="57">
        <f t="shared" si="12"/>
        <v>0.58333333333333337</v>
      </c>
      <c r="N13" s="57">
        <f t="shared" si="13"/>
        <v>1.7142857142857142</v>
      </c>
      <c r="O13" s="79">
        <f t="shared" si="14"/>
        <v>0.49127500620808306</v>
      </c>
      <c r="P13" s="203">
        <f t="shared" si="15"/>
        <v>119</v>
      </c>
      <c r="Q13" s="200">
        <f t="shared" si="16"/>
        <v>137.21445383963666</v>
      </c>
      <c r="R13" s="58">
        <f t="shared" si="17"/>
        <v>15.306263730787109</v>
      </c>
      <c r="S13" s="82"/>
      <c r="T13" s="82"/>
      <c r="V13" s="36">
        <v>1</v>
      </c>
      <c r="W13" s="57">
        <v>0.41666666666666669</v>
      </c>
      <c r="X13" s="57">
        <v>2.4</v>
      </c>
      <c r="Y13" s="79">
        <f t="shared" si="18"/>
        <v>0.49127500620808306</v>
      </c>
      <c r="Z13" s="203">
        <f t="shared" si="19"/>
        <v>119</v>
      </c>
      <c r="AA13" s="203">
        <f t="shared" si="20"/>
        <v>137.21445383963666</v>
      </c>
      <c r="AB13" s="58">
        <f t="shared" si="21"/>
        <v>331.76632867625472</v>
      </c>
      <c r="AD13" s="69"/>
    </row>
    <row r="14" spans="1:30" x14ac:dyDescent="0.3">
      <c r="B14" s="68"/>
      <c r="C14" s="36">
        <v>8</v>
      </c>
      <c r="D14" s="35">
        <f>'Rainfall Max'!V11</f>
        <v>2021</v>
      </c>
      <c r="E14" s="38">
        <f t="shared" si="8"/>
        <v>2</v>
      </c>
      <c r="F14" s="203">
        <f>'Rainfall Max'!W11</f>
        <v>155</v>
      </c>
      <c r="G14" s="203">
        <f t="shared" si="9"/>
        <v>106</v>
      </c>
      <c r="H14" s="161">
        <f t="shared" si="10"/>
        <v>-4992.2404207362906</v>
      </c>
      <c r="I14" s="69"/>
      <c r="K14" s="68"/>
      <c r="L14" s="36">
        <f t="shared" si="11"/>
        <v>8</v>
      </c>
      <c r="M14" s="57">
        <f t="shared" si="12"/>
        <v>0.66666666666666663</v>
      </c>
      <c r="N14" s="57">
        <f t="shared" si="13"/>
        <v>1.5</v>
      </c>
      <c r="O14" s="79">
        <f t="shared" si="14"/>
        <v>0.45335209070271865</v>
      </c>
      <c r="P14" s="203">
        <f t="shared" si="15"/>
        <v>106</v>
      </c>
      <c r="Q14" s="200">
        <f t="shared" si="16"/>
        <v>136.12421723615805</v>
      </c>
      <c r="R14" s="58">
        <f t="shared" si="17"/>
        <v>28.419072864300045</v>
      </c>
      <c r="S14" s="82"/>
      <c r="T14" s="82"/>
      <c r="V14" s="36">
        <v>1</v>
      </c>
      <c r="W14" s="57">
        <v>0.41666666666666669</v>
      </c>
      <c r="X14" s="57">
        <v>2.4</v>
      </c>
      <c r="Y14" s="79">
        <f t="shared" si="18"/>
        <v>0.45335209070271865</v>
      </c>
      <c r="Z14" s="203">
        <f t="shared" si="19"/>
        <v>106</v>
      </c>
      <c r="AA14" s="203">
        <f t="shared" si="20"/>
        <v>136.12421723615805</v>
      </c>
      <c r="AB14" s="58">
        <f t="shared" si="21"/>
        <v>907.46846409124146</v>
      </c>
      <c r="AD14" s="69"/>
    </row>
    <row r="15" spans="1:30" x14ac:dyDescent="0.3">
      <c r="B15" s="68"/>
      <c r="C15" s="36">
        <v>9</v>
      </c>
      <c r="D15" s="35">
        <f>'Rainfall Max'!V12</f>
        <v>2022</v>
      </c>
      <c r="E15" s="38">
        <f t="shared" si="8"/>
        <v>5</v>
      </c>
      <c r="F15" s="203">
        <f>'Rainfall Max'!W12</f>
        <v>134</v>
      </c>
      <c r="G15" s="203">
        <f t="shared" si="9"/>
        <v>100</v>
      </c>
      <c r="H15" s="161">
        <f t="shared" si="10"/>
        <v>-12311.843726521416</v>
      </c>
      <c r="I15" s="69"/>
      <c r="K15" s="68"/>
      <c r="L15" s="36">
        <f t="shared" si="11"/>
        <v>9</v>
      </c>
      <c r="M15" s="57">
        <f t="shared" si="12"/>
        <v>0.75</v>
      </c>
      <c r="N15" s="57">
        <f t="shared" si="13"/>
        <v>1.3333333333333333</v>
      </c>
      <c r="O15" s="79">
        <f t="shared" si="14"/>
        <v>0.41990170857630577</v>
      </c>
      <c r="P15" s="203">
        <f t="shared" si="15"/>
        <v>100</v>
      </c>
      <c r="Q15" s="200">
        <f t="shared" si="16"/>
        <v>135.1625603986345</v>
      </c>
      <c r="R15" s="58">
        <f t="shared" si="17"/>
        <v>35.162560398634497</v>
      </c>
      <c r="S15" s="82"/>
      <c r="T15" s="82"/>
      <c r="V15" s="36">
        <v>1</v>
      </c>
      <c r="W15" s="57">
        <v>0.41666666666666669</v>
      </c>
      <c r="X15" s="57">
        <v>2.4</v>
      </c>
      <c r="Y15" s="79">
        <f t="shared" si="18"/>
        <v>0.41990170857630577</v>
      </c>
      <c r="Z15" s="203">
        <f t="shared" si="19"/>
        <v>100</v>
      </c>
      <c r="AA15" s="203">
        <f t="shared" si="20"/>
        <v>135.1625603986345</v>
      </c>
      <c r="AB15" s="58">
        <f t="shared" si="21"/>
        <v>1236.405653787619</v>
      </c>
      <c r="AD15" s="69"/>
    </row>
    <row r="16" spans="1:30" x14ac:dyDescent="0.3">
      <c r="B16" s="68"/>
      <c r="C16" s="36">
        <v>10</v>
      </c>
      <c r="D16" s="35">
        <f>'Rainfall Max'!V13</f>
        <v>2023</v>
      </c>
      <c r="E16" s="38">
        <f t="shared" si="8"/>
        <v>3</v>
      </c>
      <c r="F16" s="203">
        <f>'Rainfall Max'!W13</f>
        <v>141</v>
      </c>
      <c r="G16" s="203">
        <f t="shared" si="9"/>
        <v>93</v>
      </c>
      <c r="H16" s="161">
        <f t="shared" si="10"/>
        <v>-27246.199098422247</v>
      </c>
      <c r="I16" s="69"/>
      <c r="K16" s="68"/>
      <c r="L16" s="36">
        <f t="shared" si="11"/>
        <v>10</v>
      </c>
      <c r="M16" s="57">
        <f t="shared" si="12"/>
        <v>0.83333333333333337</v>
      </c>
      <c r="N16" s="57">
        <f t="shared" si="13"/>
        <v>1.2</v>
      </c>
      <c r="O16" s="79">
        <f t="shared" si="14"/>
        <v>0.38997932212948311</v>
      </c>
      <c r="P16" s="203">
        <f t="shared" si="15"/>
        <v>93</v>
      </c>
      <c r="Q16" s="200">
        <f t="shared" si="16"/>
        <v>134.30232904424025</v>
      </c>
      <c r="R16" s="58">
        <f t="shared" si="17"/>
        <v>44.41110649918307</v>
      </c>
      <c r="S16" s="82"/>
      <c r="T16" s="82"/>
      <c r="V16" s="36">
        <v>1</v>
      </c>
      <c r="W16" s="57">
        <v>0.41666666666666669</v>
      </c>
      <c r="X16" s="57">
        <v>2.4</v>
      </c>
      <c r="Y16" s="79">
        <f t="shared" si="18"/>
        <v>0.38997932212948311</v>
      </c>
      <c r="Z16" s="203">
        <f t="shared" si="19"/>
        <v>93</v>
      </c>
      <c r="AA16" s="203">
        <f t="shared" si="20"/>
        <v>134.30232904424025</v>
      </c>
      <c r="AB16" s="58">
        <f t="shared" si="21"/>
        <v>1705.8823844786918</v>
      </c>
      <c r="AD16" s="69"/>
    </row>
    <row r="17" spans="2:30" x14ac:dyDescent="0.3">
      <c r="B17" s="68"/>
      <c r="C17" s="36">
        <v>11</v>
      </c>
      <c r="D17" s="35">
        <f>'Rainfall Max'!V14</f>
        <v>2024</v>
      </c>
      <c r="E17" s="38">
        <f t="shared" si="8"/>
        <v>1</v>
      </c>
      <c r="F17" s="203">
        <f>'Rainfall Max'!W14</f>
        <v>172</v>
      </c>
      <c r="G17" s="203">
        <f t="shared" si="9"/>
        <v>74</v>
      </c>
      <c r="H17" s="161">
        <f t="shared" si="10"/>
        <v>-118305.03380916605</v>
      </c>
      <c r="I17" s="69"/>
      <c r="K17" s="68"/>
      <c r="L17" s="36">
        <f t="shared" si="11"/>
        <v>11</v>
      </c>
      <c r="M17" s="57">
        <f t="shared" si="12"/>
        <v>0.91666666666666663</v>
      </c>
      <c r="N17" s="57">
        <f t="shared" si="13"/>
        <v>1.0909090909090911</v>
      </c>
      <c r="O17" s="79">
        <f t="shared" si="14"/>
        <v>0.36291123106505491</v>
      </c>
      <c r="P17" s="203">
        <f t="shared" si="15"/>
        <v>74</v>
      </c>
      <c r="Q17" s="200">
        <f t="shared" si="16"/>
        <v>133.52415512824592</v>
      </c>
      <c r="R17" s="58">
        <f t="shared" si="17"/>
        <v>80.438047470602598</v>
      </c>
      <c r="S17" s="82"/>
      <c r="T17" s="82"/>
      <c r="V17" s="36">
        <v>1</v>
      </c>
      <c r="W17" s="57">
        <v>0.41666666666666669</v>
      </c>
      <c r="X17" s="57">
        <v>2.4</v>
      </c>
      <c r="Y17" s="79">
        <f t="shared" si="18"/>
        <v>0.36291123106505491</v>
      </c>
      <c r="Z17" s="203">
        <f t="shared" si="19"/>
        <v>74</v>
      </c>
      <c r="AA17" s="203">
        <f t="shared" si="20"/>
        <v>133.52415512824592</v>
      </c>
      <c r="AB17" s="58">
        <f t="shared" si="21"/>
        <v>3543.1250437314852</v>
      </c>
      <c r="AD17" s="69"/>
    </row>
    <row r="18" spans="2:30" ht="15" thickBot="1" x14ac:dyDescent="0.35">
      <c r="B18" s="68"/>
      <c r="C18" s="42"/>
      <c r="D18" s="43"/>
      <c r="E18" s="43"/>
      <c r="F18" s="43"/>
      <c r="G18" s="43"/>
      <c r="H18" s="196"/>
      <c r="I18" s="69"/>
      <c r="K18" s="68"/>
      <c r="L18" s="42"/>
      <c r="M18" s="78"/>
      <c r="N18" s="78"/>
      <c r="O18" s="126"/>
      <c r="P18" s="43"/>
      <c r="Q18" s="126"/>
      <c r="R18" s="59"/>
      <c r="S18" s="82"/>
      <c r="T18" s="82"/>
      <c r="V18" s="42"/>
      <c r="W18" s="78"/>
      <c r="X18" s="78"/>
      <c r="Y18" s="126"/>
      <c r="Z18" s="43"/>
      <c r="AA18" s="78"/>
      <c r="AB18" s="59"/>
      <c r="AD18" s="69"/>
    </row>
    <row r="19" spans="2:30" x14ac:dyDescent="0.3">
      <c r="B19" s="68"/>
      <c r="I19" s="69"/>
      <c r="K19" s="68"/>
      <c r="AD19" s="69"/>
    </row>
    <row r="20" spans="2:30" x14ac:dyDescent="0.3">
      <c r="B20" s="68"/>
      <c r="C20" s="872" t="s">
        <v>17</v>
      </c>
      <c r="D20" s="885"/>
      <c r="E20" s="871"/>
      <c r="F20" s="56" t="s">
        <v>20</v>
      </c>
      <c r="G20" s="38">
        <f>COUNT(D7:D18)</f>
        <v>11</v>
      </c>
      <c r="I20" s="69"/>
      <c r="K20" s="68"/>
      <c r="M20" s="855" t="s">
        <v>37</v>
      </c>
      <c r="N20" s="855"/>
      <c r="O20" s="855"/>
      <c r="P20" s="855"/>
      <c r="Q20" s="855"/>
      <c r="R20" s="80">
        <f>SUM(R7:R18)</f>
        <v>242.71334586333353</v>
      </c>
      <c r="S20" s="85"/>
      <c r="T20" s="85"/>
      <c r="V20" s="856" t="s">
        <v>39</v>
      </c>
      <c r="W20" s="856"/>
      <c r="X20" s="856"/>
      <c r="Y20" s="856"/>
      <c r="Z20" s="856"/>
      <c r="AA20" s="856"/>
      <c r="AB20" s="83">
        <f>SUM(AB7:AB18)</f>
        <v>8497.2963183750817</v>
      </c>
      <c r="AD20" s="69"/>
    </row>
    <row r="21" spans="2:30" x14ac:dyDescent="0.3">
      <c r="B21" s="68"/>
      <c r="C21" s="872" t="s">
        <v>18</v>
      </c>
      <c r="D21" s="885"/>
      <c r="E21" s="871"/>
      <c r="F21" s="64" t="s">
        <v>21</v>
      </c>
      <c r="G21" s="57">
        <f>AVERAGE(F7:F18)</f>
        <v>123.09090909090909</v>
      </c>
      <c r="I21" s="69"/>
      <c r="K21" s="68"/>
      <c r="M21" s="855" t="s">
        <v>17</v>
      </c>
      <c r="N21" s="855"/>
      <c r="O21" s="855"/>
      <c r="P21" s="855"/>
      <c r="Q21" s="855"/>
      <c r="R21" s="81">
        <f>COUNT(P7:P18)</f>
        <v>11</v>
      </c>
      <c r="S21" s="85"/>
      <c r="T21" s="85"/>
      <c r="V21" s="856" t="s">
        <v>17</v>
      </c>
      <c r="W21" s="856"/>
      <c r="X21" s="856"/>
      <c r="Y21" s="856"/>
      <c r="Z21" s="856"/>
      <c r="AA21" s="856"/>
      <c r="AB21" s="84">
        <f>COUNT(Z7:Z18)</f>
        <v>11</v>
      </c>
      <c r="AD21" s="69"/>
    </row>
    <row r="22" spans="2:30" x14ac:dyDescent="0.3">
      <c r="B22" s="68"/>
      <c r="C22" s="872" t="s">
        <v>19</v>
      </c>
      <c r="D22" s="885"/>
      <c r="E22" s="871"/>
      <c r="F22" s="56" t="s">
        <v>62</v>
      </c>
      <c r="G22" s="57">
        <f>_xlfn.STDEV.S(F7:F18)</f>
        <v>28.748754913750766</v>
      </c>
      <c r="I22" s="69"/>
      <c r="K22" s="68"/>
      <c r="M22" s="855" t="s">
        <v>40</v>
      </c>
      <c r="N22" s="855"/>
      <c r="O22" s="855"/>
      <c r="P22" s="855"/>
      <c r="Q22" s="855"/>
      <c r="R22" s="80">
        <f>R20/R21</f>
        <v>22.064849623939413</v>
      </c>
      <c r="S22" s="86"/>
      <c r="T22" s="86"/>
      <c r="V22" s="856" t="s">
        <v>41</v>
      </c>
      <c r="W22" s="856"/>
      <c r="X22" s="856"/>
      <c r="Y22" s="856"/>
      <c r="Z22" s="856"/>
      <c r="AA22" s="856"/>
      <c r="AB22" s="83">
        <f>(AB20/(AB21-1))^0.5</f>
        <v>29.150122329717728</v>
      </c>
      <c r="AD22" s="69"/>
    </row>
    <row r="23" spans="2:30" ht="15.6" x14ac:dyDescent="0.35">
      <c r="B23" s="68"/>
      <c r="C23" s="872" t="s">
        <v>124</v>
      </c>
      <c r="D23" s="885"/>
      <c r="E23" s="871"/>
      <c r="F23" s="56" t="s">
        <v>128</v>
      </c>
      <c r="G23" s="203">
        <f>MAX(G7:G18)</f>
        <v>172</v>
      </c>
      <c r="I23" s="69"/>
      <c r="K23" s="68"/>
      <c r="M23" s="120"/>
      <c r="N23" s="120"/>
      <c r="O23" s="120"/>
      <c r="P23" s="120"/>
      <c r="Q23" s="120"/>
      <c r="R23" s="86"/>
      <c r="S23" s="86"/>
      <c r="T23" s="86"/>
      <c r="V23" s="86"/>
      <c r="W23" s="86"/>
      <c r="X23" s="86"/>
      <c r="Y23" s="86"/>
      <c r="Z23" s="86"/>
      <c r="AA23" s="86"/>
      <c r="AB23" s="86"/>
      <c r="AD23" s="69"/>
    </row>
    <row r="24" spans="2:30" ht="15.6" x14ac:dyDescent="0.35">
      <c r="B24" s="68"/>
      <c r="C24" s="872" t="s">
        <v>127</v>
      </c>
      <c r="D24" s="885"/>
      <c r="E24" s="871"/>
      <c r="F24" s="56" t="s">
        <v>129</v>
      </c>
      <c r="G24" s="203">
        <f>MIN(G7:G18)</f>
        <v>74</v>
      </c>
      <c r="I24" s="69"/>
      <c r="K24" s="68"/>
      <c r="S24" s="86"/>
      <c r="T24" s="86"/>
      <c r="AD24" s="69"/>
    </row>
    <row r="25" spans="2:30" ht="16.2" thickBot="1" x14ac:dyDescent="0.4">
      <c r="B25" s="68"/>
      <c r="C25" s="872" t="s">
        <v>55</v>
      </c>
      <c r="D25" s="885"/>
      <c r="E25" s="871"/>
      <c r="F25" s="56" t="s">
        <v>56</v>
      </c>
      <c r="G25" s="38">
        <f>SUM(F7:F18)</f>
        <v>1354</v>
      </c>
      <c r="I25" s="69"/>
      <c r="K25" s="68"/>
      <c r="AD25" s="69"/>
    </row>
    <row r="26" spans="2:30" x14ac:dyDescent="0.3">
      <c r="B26" s="68"/>
      <c r="C26" s="886" t="s">
        <v>44</v>
      </c>
      <c r="D26" s="887"/>
      <c r="E26" s="888"/>
      <c r="F26" s="122" t="s">
        <v>45</v>
      </c>
      <c r="G26" s="123">
        <f>SKEW(F7:F18)</f>
        <v>-1.2237735841433039E-2</v>
      </c>
      <c r="I26" s="69"/>
      <c r="K26" s="68"/>
      <c r="L26" s="864" t="s">
        <v>188</v>
      </c>
      <c r="M26" s="865"/>
      <c r="N26" s="865"/>
      <c r="O26" s="865"/>
      <c r="P26" s="865"/>
      <c r="Q26" s="865"/>
      <c r="R26" s="865"/>
      <c r="S26" s="866"/>
      <c r="T26" s="68"/>
      <c r="U26" s="69"/>
      <c r="V26" s="864" t="s">
        <v>113</v>
      </c>
      <c r="W26" s="865"/>
      <c r="X26" s="865"/>
      <c r="Y26" s="865"/>
      <c r="Z26" s="865"/>
      <c r="AA26" s="865"/>
      <c r="AB26" s="865"/>
      <c r="AC26" s="866"/>
      <c r="AD26" s="69"/>
    </row>
    <row r="27" spans="2:30" ht="15" thickBot="1" x14ac:dyDescent="0.35">
      <c r="B27" s="68"/>
      <c r="I27" s="69"/>
      <c r="K27" s="68"/>
      <c r="L27" s="867" t="s">
        <v>16</v>
      </c>
      <c r="M27" s="868"/>
      <c r="N27" s="868"/>
      <c r="O27" s="868"/>
      <c r="P27" s="868"/>
      <c r="Q27" s="868"/>
      <c r="R27" s="868"/>
      <c r="S27" s="869"/>
      <c r="T27" s="74"/>
      <c r="U27" s="74"/>
      <c r="V27" s="867" t="s">
        <v>16</v>
      </c>
      <c r="W27" s="868"/>
      <c r="X27" s="868"/>
      <c r="Y27" s="868"/>
      <c r="Z27" s="868"/>
      <c r="AA27" s="868"/>
      <c r="AB27" s="868"/>
      <c r="AC27" s="869"/>
      <c r="AD27" s="69"/>
    </row>
    <row r="28" spans="2:30" ht="16.2" thickBot="1" x14ac:dyDescent="0.4">
      <c r="B28" s="68"/>
      <c r="D28" s="61" t="s">
        <v>23</v>
      </c>
      <c r="E28" s="62" t="s">
        <v>61</v>
      </c>
      <c r="F28" s="63" t="s">
        <v>203</v>
      </c>
      <c r="I28" s="69"/>
      <c r="K28" s="68"/>
      <c r="L28" s="53" t="s">
        <v>21</v>
      </c>
      <c r="M28" s="54" t="s">
        <v>26</v>
      </c>
      <c r="N28" s="54" t="s">
        <v>201</v>
      </c>
      <c r="O28" s="54" t="s">
        <v>182</v>
      </c>
      <c r="P28" s="54" t="s">
        <v>183</v>
      </c>
      <c r="Q28" s="54" t="s">
        <v>184</v>
      </c>
      <c r="R28" s="54" t="s">
        <v>185</v>
      </c>
      <c r="S28" s="55" t="s">
        <v>186</v>
      </c>
      <c r="T28" s="74"/>
      <c r="U28" s="74"/>
      <c r="V28" s="215"/>
      <c r="AC28" s="69"/>
      <c r="AD28" s="69"/>
    </row>
    <row r="29" spans="2:30" ht="15" thickTop="1" x14ac:dyDescent="0.3">
      <c r="B29" s="68"/>
      <c r="D29" s="36">
        <v>2</v>
      </c>
      <c r="E29" s="163">
        <f>N48</f>
        <v>0</v>
      </c>
      <c r="F29" s="60">
        <f>$G$21+E29*$G$22</f>
        <v>123.09090909090909</v>
      </c>
      <c r="I29" s="69"/>
      <c r="K29" s="68"/>
      <c r="L29" s="36">
        <v>1</v>
      </c>
      <c r="M29" s="57">
        <f t="shared" ref="M29:M32" si="22">L29/($G$20+1)</f>
        <v>8.3333333333333329E-2</v>
      </c>
      <c r="N29" s="203">
        <f>G7</f>
        <v>172</v>
      </c>
      <c r="O29" s="169">
        <f t="shared" ref="O29:O32" si="23">$L$29-M29</f>
        <v>0.91666666666666663</v>
      </c>
      <c r="P29" s="163">
        <f t="shared" ref="P29:P38" si="24">(N29-AVERAGE($G$7:$G$18))/_xlfn.STDEV.S($G$7:$G$18)</f>
        <v>1.7012594477855905</v>
      </c>
      <c r="Q29" s="163">
        <f t="shared" ref="Q29:Q38" si="25">1-_xlfn.NORM.DIST(N29,AVERAGE($G$7:$G$18),_xlfn.STDEV.S($G$7:$G$18),TRUE)</f>
        <v>4.4447139601364927E-2</v>
      </c>
      <c r="R29" s="169">
        <f t="shared" ref="R29:R32" si="26">$L$29-Q29</f>
        <v>0.95555286039863507</v>
      </c>
      <c r="S29" s="306">
        <f t="shared" ref="S29:S32" si="27">ABS(R29-O29)</f>
        <v>3.8886193731968444E-2</v>
      </c>
      <c r="T29" s="74"/>
      <c r="U29" s="74"/>
      <c r="V29" s="870" t="s">
        <v>135</v>
      </c>
      <c r="W29" s="871"/>
      <c r="X29" s="208" t="s">
        <v>130</v>
      </c>
      <c r="Y29" s="290">
        <f>ROUNDUP(1+1.33*LN(G20),0)</f>
        <v>5</v>
      </c>
      <c r="Z29" s="872" t="s">
        <v>133</v>
      </c>
      <c r="AA29" s="871"/>
      <c r="AB29" s="208" t="s">
        <v>118</v>
      </c>
      <c r="AC29" s="231">
        <f>G20/Y29</f>
        <v>2.2000000000000002</v>
      </c>
      <c r="AD29" s="69"/>
    </row>
    <row r="30" spans="2:30" x14ac:dyDescent="0.3">
      <c r="B30" s="68"/>
      <c r="D30" s="40">
        <v>5</v>
      </c>
      <c r="E30" s="163">
        <f>O48</f>
        <v>0.84199999999999997</v>
      </c>
      <c r="F30" s="60">
        <f>$G$21+E30*$G$22</f>
        <v>147.29736072828723</v>
      </c>
      <c r="I30" s="69"/>
      <c r="K30" s="68"/>
      <c r="L30" s="36">
        <v>2</v>
      </c>
      <c r="M30" s="57">
        <f t="shared" si="22"/>
        <v>0.16666666666666666</v>
      </c>
      <c r="N30" s="203">
        <f t="shared" ref="N30:N32" si="28">G9</f>
        <v>141</v>
      </c>
      <c r="O30" s="169">
        <f t="shared" si="23"/>
        <v>0.83333333333333337</v>
      </c>
      <c r="P30" s="163">
        <f t="shared" si="24"/>
        <v>0.62295187957948195</v>
      </c>
      <c r="Q30" s="163">
        <f t="shared" si="25"/>
        <v>0.26665807212059844</v>
      </c>
      <c r="R30" s="169">
        <f t="shared" si="26"/>
        <v>0.73334192787940156</v>
      </c>
      <c r="S30" s="306">
        <f t="shared" si="27"/>
        <v>9.9991405453931814E-2</v>
      </c>
      <c r="T30" s="74"/>
      <c r="U30" s="74"/>
      <c r="V30" s="870" t="s">
        <v>134</v>
      </c>
      <c r="W30" s="871"/>
      <c r="X30" s="208" t="s">
        <v>131</v>
      </c>
      <c r="Y30" s="385">
        <f>Y29-(2+1)</f>
        <v>2</v>
      </c>
      <c r="Z30" s="229" t="s">
        <v>138</v>
      </c>
      <c r="AA30" s="230"/>
      <c r="AB30" s="208" t="s">
        <v>137</v>
      </c>
      <c r="AC30" s="41">
        <f>ROUND((G23-G24)/(Y29-1),0)</f>
        <v>25</v>
      </c>
      <c r="AD30" s="69"/>
    </row>
    <row r="31" spans="2:30" ht="15.6" x14ac:dyDescent="0.35">
      <c r="B31" s="68"/>
      <c r="D31" s="40">
        <v>10</v>
      </c>
      <c r="E31" s="163">
        <f>P48</f>
        <v>1.282</v>
      </c>
      <c r="F31" s="60">
        <f t="shared" ref="F31:F35" si="29">$G$21+E31*$G$22</f>
        <v>159.94681289033758</v>
      </c>
      <c r="I31" s="69"/>
      <c r="K31" s="68"/>
      <c r="L31" s="36">
        <v>3</v>
      </c>
      <c r="M31" s="57">
        <f t="shared" si="22"/>
        <v>0.25</v>
      </c>
      <c r="N31" s="203">
        <f t="shared" si="28"/>
        <v>139</v>
      </c>
      <c r="O31" s="169">
        <f t="shared" si="23"/>
        <v>0.75</v>
      </c>
      <c r="P31" s="163">
        <f t="shared" si="24"/>
        <v>0.55338364937263618</v>
      </c>
      <c r="Q31" s="163">
        <f t="shared" si="25"/>
        <v>0.29000036632811244</v>
      </c>
      <c r="R31" s="169">
        <f t="shared" si="26"/>
        <v>0.70999963367188756</v>
      </c>
      <c r="S31" s="306">
        <f t="shared" si="27"/>
        <v>4.0000366328112436E-2</v>
      </c>
      <c r="T31" s="74"/>
      <c r="U31" s="74"/>
      <c r="V31" s="873" t="s">
        <v>144</v>
      </c>
      <c r="W31" s="874"/>
      <c r="X31" s="289">
        <v>0.05</v>
      </c>
      <c r="Y31" s="232">
        <f>IF(X31='Tabel Alfa Chi Square'!C5,2,IF(X31='Tabel Alfa Chi Square'!D5,3,IF(X31='Tabel Alfa Chi Square'!E5,4,IF(X31='Tabel Alfa Chi Square'!F5,5,IF(X31='Tabel Alfa Chi Square'!G5,6,IF(X31='Tabel Alfa Chi Square'!H5,7,IF(X31='Tabel Alfa Chi Square'!I5,8,IF(X31='Tabel Alfa Chi Square'!J5,9))))))))</f>
        <v>6</v>
      </c>
      <c r="Z31" s="229" t="s">
        <v>139</v>
      </c>
      <c r="AA31" s="230"/>
      <c r="AB31" s="208" t="s">
        <v>125</v>
      </c>
      <c r="AC31" s="41">
        <f>ROUND(G24-0.5*AC30,0)</f>
        <v>62</v>
      </c>
      <c r="AD31" s="69"/>
    </row>
    <row r="32" spans="2:30" ht="15.6" x14ac:dyDescent="0.35">
      <c r="B32" s="68"/>
      <c r="D32" s="40">
        <v>25</v>
      </c>
      <c r="E32" s="163">
        <f>Q48</f>
        <v>1.7509999999999999</v>
      </c>
      <c r="F32" s="60">
        <f t="shared" si="29"/>
        <v>173.42997894488667</v>
      </c>
      <c r="I32" s="69"/>
      <c r="K32" s="68"/>
      <c r="L32" s="36">
        <v>4</v>
      </c>
      <c r="M32" s="57">
        <f t="shared" si="22"/>
        <v>0.33333333333333331</v>
      </c>
      <c r="N32" s="203">
        <f t="shared" si="28"/>
        <v>134</v>
      </c>
      <c r="O32" s="169">
        <f t="shared" si="23"/>
        <v>0.66666666666666674</v>
      </c>
      <c r="P32" s="163">
        <f t="shared" si="24"/>
        <v>0.37946307385552197</v>
      </c>
      <c r="Q32" s="163">
        <f t="shared" si="25"/>
        <v>0.3521720101190644</v>
      </c>
      <c r="R32" s="169">
        <f t="shared" si="26"/>
        <v>0.6478279898809356</v>
      </c>
      <c r="S32" s="306">
        <f t="shared" si="27"/>
        <v>1.8838676785731145E-2</v>
      </c>
      <c r="T32" s="74"/>
      <c r="U32" s="74"/>
      <c r="V32" s="870" t="s">
        <v>132</v>
      </c>
      <c r="W32" s="871"/>
      <c r="X32" s="204" t="s">
        <v>112</v>
      </c>
      <c r="Y32" s="38">
        <f>VLOOKUP(Y30,'Tabel Alfa Chi Square'!$B$7:$J$36,Y31,FALSE)</f>
        <v>5.9909999999999997</v>
      </c>
      <c r="Z32" s="229" t="s">
        <v>140</v>
      </c>
      <c r="AA32" s="230"/>
      <c r="AB32" s="208" t="s">
        <v>126</v>
      </c>
      <c r="AC32" s="41">
        <f>ROUND(G23+0.5*AC30,0)</f>
        <v>185</v>
      </c>
      <c r="AD32" s="69"/>
    </row>
    <row r="33" spans="2:30" x14ac:dyDescent="0.3">
      <c r="B33" s="68"/>
      <c r="D33" s="40">
        <v>50</v>
      </c>
      <c r="E33" s="163">
        <f>R48</f>
        <v>2.0539999999999998</v>
      </c>
      <c r="F33" s="60">
        <f>$G$21+E33*$G$22</f>
        <v>182.14085168375317</v>
      </c>
      <c r="I33" s="69"/>
      <c r="K33" s="68"/>
      <c r="L33" s="36">
        <v>5</v>
      </c>
      <c r="M33" s="57">
        <f t="shared" ref="M33:M38" si="30">L33/($G$20+1)</f>
        <v>0.41666666666666669</v>
      </c>
      <c r="N33" s="203">
        <f t="shared" ref="N33:N38" si="31">G12</f>
        <v>121</v>
      </c>
      <c r="O33" s="169">
        <f t="shared" ref="O33:O38" si="32">$L$29-M33</f>
        <v>0.58333333333333326</v>
      </c>
      <c r="P33" s="163">
        <f t="shared" si="24"/>
        <v>-7.2730422488975155E-2</v>
      </c>
      <c r="Q33" s="163">
        <f t="shared" si="25"/>
        <v>0.52898968049735573</v>
      </c>
      <c r="R33" s="169">
        <f t="shared" ref="R33:R38" si="33">$L$29-Q33</f>
        <v>0.47101031950264427</v>
      </c>
      <c r="S33" s="306">
        <f t="shared" ref="S33:S38" si="34">ABS(R33-O33)</f>
        <v>0.11232301383068899</v>
      </c>
      <c r="T33" s="74"/>
      <c r="U33" s="74"/>
      <c r="V33" s="68"/>
      <c r="AC33" s="69"/>
      <c r="AD33" s="69"/>
    </row>
    <row r="34" spans="2:30" ht="16.8" thickBot="1" x14ac:dyDescent="0.35">
      <c r="B34" s="68"/>
      <c r="D34" s="40">
        <v>100</v>
      </c>
      <c r="E34" s="163">
        <f>S48</f>
        <v>2.3260000000000001</v>
      </c>
      <c r="F34" s="60">
        <f t="shared" si="29"/>
        <v>189.96051302029338</v>
      </c>
      <c r="I34" s="69"/>
      <c r="K34" s="68"/>
      <c r="L34" s="36">
        <v>6</v>
      </c>
      <c r="M34" s="57">
        <f t="shared" si="30"/>
        <v>0.5</v>
      </c>
      <c r="N34" s="203">
        <f t="shared" si="31"/>
        <v>119</v>
      </c>
      <c r="O34" s="169">
        <f t="shared" si="32"/>
        <v>0.5</v>
      </c>
      <c r="P34" s="163">
        <f t="shared" si="24"/>
        <v>-0.14229865269582084</v>
      </c>
      <c r="Q34" s="163">
        <f t="shared" si="25"/>
        <v>0.55657794465481514</v>
      </c>
      <c r="R34" s="169">
        <f t="shared" si="33"/>
        <v>0.44342205534518486</v>
      </c>
      <c r="S34" s="306">
        <f t="shared" si="34"/>
        <v>5.6577944654815138E-2</v>
      </c>
      <c r="T34" s="74"/>
      <c r="U34" s="74"/>
      <c r="V34" s="216" t="s">
        <v>114</v>
      </c>
      <c r="W34" s="214" t="s">
        <v>115</v>
      </c>
      <c r="X34" s="214" t="s">
        <v>116</v>
      </c>
      <c r="Y34" s="214" t="s">
        <v>117</v>
      </c>
      <c r="Z34" s="214" t="s">
        <v>118</v>
      </c>
      <c r="AA34" s="214" t="s">
        <v>119</v>
      </c>
      <c r="AB34" s="214" t="s">
        <v>120</v>
      </c>
      <c r="AC34" s="217" t="s">
        <v>143</v>
      </c>
      <c r="AD34" s="69"/>
    </row>
    <row r="35" spans="2:30" ht="15" thickTop="1" x14ac:dyDescent="0.3">
      <c r="B35" s="68"/>
      <c r="D35" s="40">
        <v>200</v>
      </c>
      <c r="E35" s="163">
        <f>T48</f>
        <v>2.5760000000000001</v>
      </c>
      <c r="F35" s="60">
        <f t="shared" si="29"/>
        <v>197.14770174873107</v>
      </c>
      <c r="I35" s="69"/>
      <c r="K35" s="68"/>
      <c r="L35" s="36">
        <v>7</v>
      </c>
      <c r="M35" s="57">
        <f t="shared" si="30"/>
        <v>0.58333333333333337</v>
      </c>
      <c r="N35" s="203">
        <f t="shared" si="31"/>
        <v>106</v>
      </c>
      <c r="O35" s="169">
        <f t="shared" si="32"/>
        <v>0.41666666666666663</v>
      </c>
      <c r="P35" s="163">
        <f t="shared" si="24"/>
        <v>-0.594492149040318</v>
      </c>
      <c r="Q35" s="163">
        <f t="shared" si="25"/>
        <v>0.72390850410764007</v>
      </c>
      <c r="R35" s="169">
        <f t="shared" si="33"/>
        <v>0.27609149589235993</v>
      </c>
      <c r="S35" s="306">
        <f t="shared" si="34"/>
        <v>0.1405751707743067</v>
      </c>
      <c r="T35" s="74"/>
      <c r="U35" s="74"/>
      <c r="V35" s="218">
        <v>1</v>
      </c>
      <c r="W35" s="211">
        <f>AC31</f>
        <v>62</v>
      </c>
      <c r="X35" s="211">
        <f>W35+AC30</f>
        <v>87</v>
      </c>
      <c r="Y35" s="211" t="str">
        <f>ROUND(W35,0)&amp;" &lt;= P &lt;= " &amp; ROUND(X35,0)</f>
        <v>62 &lt;= P &lt;= 87</v>
      </c>
      <c r="Z35" s="212">
        <f>$AC$29</f>
        <v>2.2000000000000002</v>
      </c>
      <c r="AA35" s="35">
        <f>COUNTIFS($F$7:$F$17,"&gt;=" &amp;W35,$F$7:$F$17,"&lt;=" &amp;X35)</f>
        <v>1</v>
      </c>
      <c r="AB35" s="213">
        <f>Z35-AA35</f>
        <v>1.2000000000000002</v>
      </c>
      <c r="AC35" s="219">
        <f>AB35^2/Z35</f>
        <v>0.65454545454545465</v>
      </c>
      <c r="AD35" s="69"/>
    </row>
    <row r="36" spans="2:30" ht="15" thickBot="1" x14ac:dyDescent="0.35">
      <c r="B36" s="68"/>
      <c r="D36" s="42">
        <v>1000</v>
      </c>
      <c r="E36" s="163">
        <f>U48</f>
        <v>3.09</v>
      </c>
      <c r="F36" s="60">
        <f>$G$21+E36*$G$22</f>
        <v>211.92456177439897</v>
      </c>
      <c r="I36" s="69"/>
      <c r="K36" s="68"/>
      <c r="L36" s="36">
        <v>8</v>
      </c>
      <c r="M36" s="57">
        <f t="shared" si="30"/>
        <v>0.66666666666666663</v>
      </c>
      <c r="N36" s="203">
        <f t="shared" si="31"/>
        <v>100</v>
      </c>
      <c r="O36" s="169">
        <f t="shared" si="32"/>
        <v>0.33333333333333337</v>
      </c>
      <c r="P36" s="163">
        <f t="shared" si="24"/>
        <v>-0.80319683966085509</v>
      </c>
      <c r="Q36" s="163">
        <f t="shared" si="25"/>
        <v>0.78906951406237769</v>
      </c>
      <c r="R36" s="169">
        <f t="shared" si="33"/>
        <v>0.21093048593762231</v>
      </c>
      <c r="S36" s="306">
        <f t="shared" si="34"/>
        <v>0.12240284739571106</v>
      </c>
      <c r="T36" s="74"/>
      <c r="U36" s="74"/>
      <c r="V36" s="220">
        <v>2</v>
      </c>
      <c r="W36" s="210">
        <f>X35</f>
        <v>87</v>
      </c>
      <c r="X36" s="210">
        <f>W36+$AC$30</f>
        <v>112</v>
      </c>
      <c r="Y36" s="210" t="str">
        <f>ROUND(W36,0)&amp;" &lt; P &lt;= " &amp; ROUND(X36,0)</f>
        <v>87 &lt; P &lt;= 112</v>
      </c>
      <c r="Z36" s="212">
        <f>$AC$29</f>
        <v>2.2000000000000002</v>
      </c>
      <c r="AA36" s="38">
        <f>COUNTIFS($F$7:$F$17,"&gt;" &amp;W36,$F$7:$F$17,"&lt;=" &amp;X36)</f>
        <v>3</v>
      </c>
      <c r="AB36" s="123">
        <f t="shared" ref="AB36:AB39" si="35">Z36-AA36</f>
        <v>-0.79999999999999982</v>
      </c>
      <c r="AC36" s="221">
        <f t="shared" ref="AC36:AC38" si="36">AB36^2/Z36</f>
        <v>0.29090909090909073</v>
      </c>
      <c r="AD36" s="69"/>
    </row>
    <row r="37" spans="2:30" x14ac:dyDescent="0.3">
      <c r="B37" s="68"/>
      <c r="D37" s="162"/>
      <c r="E37" s="162"/>
      <c r="F37" s="82"/>
      <c r="I37" s="69"/>
      <c r="K37" s="68"/>
      <c r="L37" s="36">
        <v>9</v>
      </c>
      <c r="M37" s="57">
        <f t="shared" si="30"/>
        <v>0.75</v>
      </c>
      <c r="N37" s="203">
        <f t="shared" si="31"/>
        <v>93</v>
      </c>
      <c r="O37" s="169">
        <f t="shared" si="32"/>
        <v>0.25</v>
      </c>
      <c r="P37" s="163">
        <f t="shared" si="24"/>
        <v>-1.046685645384815</v>
      </c>
      <c r="Q37" s="163">
        <f t="shared" si="25"/>
        <v>0.85237770679691793</v>
      </c>
      <c r="R37" s="169">
        <f t="shared" si="33"/>
        <v>0.14762229320308207</v>
      </c>
      <c r="S37" s="306">
        <f t="shared" si="34"/>
        <v>0.10237770679691793</v>
      </c>
      <c r="T37" s="74"/>
      <c r="U37" s="74"/>
      <c r="V37" s="220">
        <v>3</v>
      </c>
      <c r="W37" s="210">
        <f t="shared" ref="W37:W38" si="37">X36</f>
        <v>112</v>
      </c>
      <c r="X37" s="210">
        <f t="shared" ref="X37:X39" si="38">W37+$AC$30</f>
        <v>137</v>
      </c>
      <c r="Y37" s="210" t="str">
        <f>ROUND(W37,0)&amp;" &lt; P &lt;= " &amp; ROUND(X37,0)</f>
        <v>112 &lt; P &lt;= 137</v>
      </c>
      <c r="Z37" s="212">
        <f t="shared" ref="Z37:Z39" si="39">$AC$29</f>
        <v>2.2000000000000002</v>
      </c>
      <c r="AA37" s="38">
        <f>COUNTIFS($F$7:$F$17,"&gt;" &amp;W37,$F$7:$F$17,"&lt;=" &amp;X37)</f>
        <v>3</v>
      </c>
      <c r="AB37" s="123">
        <f t="shared" si="35"/>
        <v>-0.79999999999999982</v>
      </c>
      <c r="AC37" s="221">
        <f t="shared" si="36"/>
        <v>0.29090909090909073</v>
      </c>
      <c r="AD37" s="69"/>
    </row>
    <row r="38" spans="2:30" x14ac:dyDescent="0.3">
      <c r="B38" s="68"/>
      <c r="D38" s="162"/>
      <c r="E38" s="162"/>
      <c r="F38" s="82"/>
      <c r="I38" s="69"/>
      <c r="K38" s="68"/>
      <c r="L38" s="36">
        <v>10</v>
      </c>
      <c r="M38" s="305">
        <f t="shared" si="30"/>
        <v>0.83333333333333337</v>
      </c>
      <c r="N38" s="307">
        <f t="shared" si="31"/>
        <v>74</v>
      </c>
      <c r="O38" s="308">
        <f t="shared" si="32"/>
        <v>0.16666666666666663</v>
      </c>
      <c r="P38" s="163">
        <f t="shared" si="24"/>
        <v>-1.7075838323498493</v>
      </c>
      <c r="Q38" s="163">
        <f t="shared" si="25"/>
        <v>0.95614320479243353</v>
      </c>
      <c r="R38" s="308">
        <f t="shared" si="33"/>
        <v>4.3856795207566468E-2</v>
      </c>
      <c r="S38" s="309">
        <f t="shared" si="34"/>
        <v>0.12280987145910016</v>
      </c>
      <c r="T38" s="74"/>
      <c r="U38" s="74"/>
      <c r="V38" s="220">
        <v>4</v>
      </c>
      <c r="W38" s="210">
        <f t="shared" si="37"/>
        <v>137</v>
      </c>
      <c r="X38" s="210">
        <f t="shared" si="38"/>
        <v>162</v>
      </c>
      <c r="Y38" s="210" t="str">
        <f>ROUND(W38,0)&amp;" &lt; P &lt;= " &amp; ROUND(X38,0)</f>
        <v>137 &lt; P &lt;= 162</v>
      </c>
      <c r="Z38" s="212">
        <f t="shared" si="39"/>
        <v>2.2000000000000002</v>
      </c>
      <c r="AA38" s="38">
        <f>COUNTIFS($F$7:$F$17,"&gt;" &amp;W38,$F$7:$F$17,"&lt;=" &amp;X38)</f>
        <v>3</v>
      </c>
      <c r="AB38" s="123">
        <f t="shared" si="35"/>
        <v>-0.79999999999999982</v>
      </c>
      <c r="AC38" s="221">
        <f t="shared" si="36"/>
        <v>0.29090909090909073</v>
      </c>
      <c r="AD38" s="69"/>
    </row>
    <row r="39" spans="2:30" ht="15" thickBot="1" x14ac:dyDescent="0.35">
      <c r="B39" s="68"/>
      <c r="D39" s="162"/>
      <c r="E39" s="162"/>
      <c r="F39" s="82"/>
      <c r="I39" s="69"/>
      <c r="K39" s="68"/>
      <c r="L39" s="310"/>
      <c r="M39" s="311"/>
      <c r="N39" s="311"/>
      <c r="O39" s="311"/>
      <c r="P39" s="311"/>
      <c r="Q39" s="311"/>
      <c r="R39" s="312" t="s">
        <v>187</v>
      </c>
      <c r="S39" s="313">
        <f>ROUND(MAX(S29:S38),3)</f>
        <v>0.14099999999999999</v>
      </c>
      <c r="T39" s="74"/>
      <c r="U39" s="74"/>
      <c r="V39" s="220">
        <v>5</v>
      </c>
      <c r="W39" s="210">
        <f>X38</f>
        <v>162</v>
      </c>
      <c r="X39" s="210">
        <f t="shared" si="38"/>
        <v>187</v>
      </c>
      <c r="Y39" s="210" t="str">
        <f>ROUND(W39,0)&amp;" &lt; P &lt;= " &amp; ROUND(X39,0)</f>
        <v>162 &lt; P &lt;= 187</v>
      </c>
      <c r="Z39" s="212">
        <f t="shared" si="39"/>
        <v>2.2000000000000002</v>
      </c>
      <c r="AA39" s="38">
        <f>COUNTIFS($F$7:$F$17,"&gt;" &amp;W39,$F$7:$F$17,"&lt;=" &amp;X39)</f>
        <v>1</v>
      </c>
      <c r="AB39" s="123">
        <f t="shared" si="35"/>
        <v>1.2000000000000002</v>
      </c>
      <c r="AC39" s="221">
        <f>AB39^2/Z39</f>
        <v>0.65454545454545465</v>
      </c>
      <c r="AD39" s="69"/>
    </row>
    <row r="40" spans="2:30" x14ac:dyDescent="0.3">
      <c r="B40" s="68"/>
      <c r="D40" s="162"/>
      <c r="E40" s="162"/>
      <c r="F40" s="82"/>
      <c r="I40" s="69"/>
      <c r="K40" s="68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220"/>
      <c r="W40" s="210"/>
      <c r="X40" s="210"/>
      <c r="Y40" s="210"/>
      <c r="Z40" s="210"/>
      <c r="AA40" s="210"/>
      <c r="AB40" s="210"/>
      <c r="AC40" s="222"/>
      <c r="AD40" s="69"/>
    </row>
    <row r="41" spans="2:30" ht="15" thickBot="1" x14ac:dyDescent="0.35">
      <c r="B41" s="68"/>
      <c r="D41" s="162"/>
      <c r="E41" s="162"/>
      <c r="F41" s="82"/>
      <c r="I41" s="69"/>
      <c r="K41" s="68"/>
      <c r="L41" s="74" t="s">
        <v>189</v>
      </c>
      <c r="M41" s="74"/>
      <c r="N41" s="74"/>
      <c r="O41" s="314">
        <v>0.05</v>
      </c>
      <c r="P41" s="327">
        <f>IF(O41=0.2,2,IF(O41=0.1,3,IF(O41=0.05,4,IF(O41=0.01,5))))</f>
        <v>4</v>
      </c>
      <c r="Q41" s="74"/>
      <c r="R41" s="74"/>
      <c r="S41" s="74"/>
      <c r="T41" s="74"/>
      <c r="U41" s="74"/>
      <c r="V41" s="223"/>
      <c r="W41" s="224"/>
      <c r="X41" s="224"/>
      <c r="Y41" s="224"/>
      <c r="Z41" s="224"/>
      <c r="AA41" s="224"/>
      <c r="AB41" s="224"/>
      <c r="AC41" s="225"/>
      <c r="AD41" s="69"/>
    </row>
    <row r="42" spans="2:30" ht="17.399999999999999" thickTop="1" thickBot="1" x14ac:dyDescent="0.35">
      <c r="B42" s="68"/>
      <c r="D42" s="162"/>
      <c r="E42" s="162"/>
      <c r="F42" s="82"/>
      <c r="I42" s="69"/>
      <c r="K42" s="68"/>
      <c r="L42" s="74" t="s">
        <v>190</v>
      </c>
      <c r="M42" s="74"/>
      <c r="N42" s="74"/>
      <c r="O42" s="74">
        <f>VLOOKUP(G20,'Tabel Do Smirnov-Kolmogorov'!$B$6:$F$49,'RTr Normal'!O41,FALSE)</f>
        <v>0.39100000000000001</v>
      </c>
      <c r="P42" s="74"/>
      <c r="Q42" s="74"/>
      <c r="R42" s="74"/>
      <c r="S42" s="74"/>
      <c r="T42" s="74"/>
      <c r="U42" s="74"/>
      <c r="V42" s="853" t="s">
        <v>122</v>
      </c>
      <c r="W42" s="854"/>
      <c r="X42" s="226"/>
      <c r="Y42" s="226"/>
      <c r="Z42" s="269">
        <f>SUM(Z35:Z41)</f>
        <v>11</v>
      </c>
      <c r="AA42" s="269">
        <f>SUM(AA35:AA41)</f>
        <v>11</v>
      </c>
      <c r="AB42" s="227" t="s">
        <v>123</v>
      </c>
      <c r="AC42" s="228">
        <f>SUM(AC35:AC41)</f>
        <v>2.1818181818181817</v>
      </c>
      <c r="AD42" s="69"/>
    </row>
    <row r="43" spans="2:30" x14ac:dyDescent="0.3">
      <c r="B43" s="68"/>
      <c r="D43" s="162"/>
      <c r="E43" s="162"/>
      <c r="F43" s="82"/>
      <c r="I43" s="69"/>
      <c r="K43" s="68"/>
      <c r="L43" s="74" t="str">
        <f>"Nilai D max = " &amp;S39 &amp; ", maka uji ini:"</f>
        <v>Nilai D max = 0.141, maka uji ini:</v>
      </c>
      <c r="M43" s="74"/>
      <c r="N43" s="74"/>
      <c r="O43" s="328" t="str">
        <f>IF(S39&lt;O42,"MEMENUHI SYARAT","TIDAK MEMENUHI SYARAT")</f>
        <v>MEMENUHI SYARAT</v>
      </c>
      <c r="P43" s="74"/>
      <c r="Q43" s="74"/>
      <c r="R43" s="74"/>
      <c r="S43" s="74"/>
      <c r="T43" s="74"/>
      <c r="U43" s="74"/>
      <c r="AD43" s="69"/>
    </row>
    <row r="44" spans="2:30" ht="16.2" x14ac:dyDescent="0.3">
      <c r="B44" s="68"/>
      <c r="D44" s="162"/>
      <c r="E44" s="162"/>
      <c r="F44" s="82"/>
      <c r="I44" s="69"/>
      <c r="K44" s="68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t="s">
        <v>136</v>
      </c>
      <c r="W44" s="82">
        <f>AC42</f>
        <v>2.1818181818181817</v>
      </c>
      <c r="X44" t="s">
        <v>121</v>
      </c>
      <c r="Y44" s="209" t="str">
        <f>IF(W44&lt;Y32,"MEMENUHI SYARAT","TIDAK MEMENUHI SYARAT")</f>
        <v>MEMENUHI SYARAT</v>
      </c>
      <c r="AA44"/>
      <c r="AD44" s="69"/>
    </row>
    <row r="45" spans="2:30" ht="15" thickBot="1" x14ac:dyDescent="0.35">
      <c r="B45" s="70"/>
      <c r="C45" s="71"/>
      <c r="D45" s="71"/>
      <c r="E45" s="71"/>
      <c r="F45" s="71"/>
      <c r="G45" s="71"/>
      <c r="H45" s="71"/>
      <c r="I45" s="71"/>
      <c r="J45" s="68"/>
      <c r="K45" s="68"/>
      <c r="M45" s="74" t="s">
        <v>71</v>
      </c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AD45" s="69"/>
    </row>
    <row r="46" spans="2:30" x14ac:dyDescent="0.3">
      <c r="K46" s="68"/>
      <c r="N46" s="1">
        <v>2</v>
      </c>
      <c r="O46" s="1">
        <v>5</v>
      </c>
      <c r="P46" s="1">
        <v>10</v>
      </c>
      <c r="Q46" s="1">
        <v>25</v>
      </c>
      <c r="R46" s="1">
        <v>50</v>
      </c>
      <c r="S46" s="1">
        <v>100</v>
      </c>
      <c r="T46" s="1">
        <v>200</v>
      </c>
      <c r="U46" s="1">
        <v>1000</v>
      </c>
      <c r="AD46" s="69"/>
    </row>
    <row r="47" spans="2:30" x14ac:dyDescent="0.3">
      <c r="K47" s="68"/>
      <c r="L47" s="207" t="s">
        <v>111</v>
      </c>
      <c r="M47" s="288">
        <f>ROUNDUP(M48,1)</f>
        <v>-0.1</v>
      </c>
      <c r="N47" s="162">
        <f>VLOOKUP($M$47,'Tabel KTr Pearson'!$D$13:$N$73,N51)</f>
        <v>1.7000000000000001E-2</v>
      </c>
      <c r="O47" s="162">
        <f>VLOOKUP($M$47,'Tabel KTr Pearson'!$D$13:$N$73,O51)</f>
        <v>0.84599999999999997</v>
      </c>
      <c r="P47" s="162">
        <f>VLOOKUP($M$47,'Tabel KTr Pearson'!$D$13:$N$73,P51)</f>
        <v>1.27</v>
      </c>
      <c r="Q47" s="162">
        <f>VLOOKUP($M$47,'Tabel KTr Pearson'!$D$13:$N$73,Q51)</f>
        <v>1.716</v>
      </c>
      <c r="R47" s="162">
        <f>VLOOKUP($M$47,'Tabel KTr Pearson'!$D$13:$N$73,R51)</f>
        <v>2</v>
      </c>
      <c r="S47" s="162">
        <f>VLOOKUP($M$47,'Tabel KTr Pearson'!$D$13:$N$73,S51)</f>
        <v>2.2519999999999998</v>
      </c>
      <c r="T47" s="162">
        <f>VLOOKUP($M$47,'Tabel KTr Pearson'!$D$13:$N$73,T51)</f>
        <v>2.4820000000000002</v>
      </c>
      <c r="U47" s="162">
        <f>VLOOKUP($M$47,'Tabel KTr Pearson'!$D$13:$N$73,U51)</f>
        <v>2.95</v>
      </c>
      <c r="AD47" s="69"/>
    </row>
    <row r="48" spans="2:30" x14ac:dyDescent="0.3">
      <c r="K48" s="68"/>
      <c r="M48" s="77">
        <f>G26</f>
        <v>-1.2237735841433039E-2</v>
      </c>
      <c r="N48" s="206">
        <f>N47-(($M$47-$M$49)*((N47-N49)/($M$47-$M$49)))</f>
        <v>0</v>
      </c>
      <c r="O48" s="206">
        <f>O47-(($M$47-$M$49)*((O47-O49)/($M$47-$M$49)))</f>
        <v>0.84199999999999997</v>
      </c>
      <c r="P48" s="206">
        <f>P47-(($M$47-$M$49)*((P47-P49)/($M$47-$M$49)))</f>
        <v>1.282</v>
      </c>
      <c r="Q48" s="206">
        <f t="shared" ref="Q48:U48" si="40">Q47-(($M$47-$M$49)*((Q47-Q49)/($M$47-$M$49)))</f>
        <v>1.7509999999999999</v>
      </c>
      <c r="R48" s="206">
        <f t="shared" si="40"/>
        <v>2.0539999999999998</v>
      </c>
      <c r="S48" s="206">
        <f t="shared" si="40"/>
        <v>2.3260000000000001</v>
      </c>
      <c r="T48" s="206">
        <f t="shared" si="40"/>
        <v>2.5760000000000001</v>
      </c>
      <c r="U48" s="206">
        <f t="shared" si="40"/>
        <v>3.09</v>
      </c>
      <c r="AD48" s="69"/>
    </row>
    <row r="49" spans="11:30" x14ac:dyDescent="0.3">
      <c r="K49" s="68"/>
      <c r="L49" s="207" t="s">
        <v>110</v>
      </c>
      <c r="M49" s="288">
        <f>ROUNDDOWN(M48,1)</f>
        <v>0</v>
      </c>
      <c r="N49" s="162">
        <f>VLOOKUP($M$49,'Tabel KTr Pearson'!$D$13:$N$73,N51)</f>
        <v>0</v>
      </c>
      <c r="O49" s="162">
        <f>VLOOKUP($M$49,'Tabel KTr Pearson'!$D$13:$N$73,O51)</f>
        <v>0.84199999999999997</v>
      </c>
      <c r="P49" s="162">
        <f>VLOOKUP($M$49,'Tabel KTr Pearson'!$D$13:$N$73,P51)</f>
        <v>1.282</v>
      </c>
      <c r="Q49" s="162">
        <f>VLOOKUP($M$49,'Tabel KTr Pearson'!$D$13:$N$73,Q51)</f>
        <v>1.7509999999999999</v>
      </c>
      <c r="R49" s="162">
        <f>VLOOKUP($M$49,'Tabel KTr Pearson'!$D$13:$N$73,R51)</f>
        <v>2.0539999999999998</v>
      </c>
      <c r="S49" s="162">
        <f>VLOOKUP($M$49,'Tabel KTr Pearson'!$D$13:$N$73,S51)</f>
        <v>2.3260000000000001</v>
      </c>
      <c r="T49" s="162">
        <f>VLOOKUP($M$49,'Tabel KTr Pearson'!$D$13:$N$73,T51)</f>
        <v>2.5760000000000001</v>
      </c>
      <c r="U49" s="162">
        <f>VLOOKUP($M$49,'Tabel KTr Pearson'!$D$13:$N$73,U51)</f>
        <v>3.09</v>
      </c>
      <c r="AD49" s="69"/>
    </row>
    <row r="50" spans="11:30" x14ac:dyDescent="0.3">
      <c r="K50" s="68"/>
      <c r="AD50" s="69"/>
    </row>
    <row r="51" spans="11:30" x14ac:dyDescent="0.3">
      <c r="K51" s="330"/>
      <c r="N51" s="1">
        <v>4</v>
      </c>
      <c r="O51" s="82">
        <v>5</v>
      </c>
      <c r="P51" s="1">
        <v>6</v>
      </c>
      <c r="Q51" s="1">
        <v>7</v>
      </c>
      <c r="R51" s="1">
        <v>8</v>
      </c>
      <c r="S51" s="1">
        <v>9</v>
      </c>
      <c r="T51" s="1">
        <v>10</v>
      </c>
      <c r="U51" s="1">
        <v>11</v>
      </c>
      <c r="AD51" s="69"/>
    </row>
    <row r="52" spans="11:30" x14ac:dyDescent="0.3">
      <c r="K52" s="68"/>
      <c r="AD52" s="69"/>
    </row>
    <row r="53" spans="11:30" x14ac:dyDescent="0.3">
      <c r="K53" s="68"/>
      <c r="AD53" s="69"/>
    </row>
    <row r="54" spans="11:30" x14ac:dyDescent="0.3">
      <c r="K54" s="68"/>
      <c r="AD54" s="69"/>
    </row>
    <row r="55" spans="11:30" x14ac:dyDescent="0.3">
      <c r="K55" s="68"/>
      <c r="O55" s="82"/>
      <c r="AD55" s="69"/>
    </row>
    <row r="56" spans="11:30" x14ac:dyDescent="0.3">
      <c r="K56" s="68"/>
      <c r="AD56" s="69"/>
    </row>
    <row r="57" spans="11:30" x14ac:dyDescent="0.3">
      <c r="K57" s="68"/>
      <c r="AD57" s="69"/>
    </row>
    <row r="58" spans="11:30" x14ac:dyDescent="0.3">
      <c r="K58" s="68"/>
      <c r="AD58" s="69"/>
    </row>
    <row r="59" spans="11:30" x14ac:dyDescent="0.3">
      <c r="K59" s="68"/>
      <c r="O59" s="82"/>
      <c r="AD59" s="69"/>
    </row>
    <row r="60" spans="11:30" x14ac:dyDescent="0.3">
      <c r="K60" s="68"/>
      <c r="AD60" s="69"/>
    </row>
    <row r="61" spans="11:30" x14ac:dyDescent="0.3">
      <c r="K61" s="68"/>
      <c r="AD61" s="69"/>
    </row>
    <row r="62" spans="11:30" x14ac:dyDescent="0.3">
      <c r="K62" s="68"/>
      <c r="AD62" s="69"/>
    </row>
    <row r="63" spans="11:30" x14ac:dyDescent="0.3">
      <c r="K63" s="68"/>
      <c r="O63" s="82"/>
      <c r="AD63" s="69"/>
    </row>
    <row r="64" spans="11:30" x14ac:dyDescent="0.3">
      <c r="K64" s="68"/>
      <c r="AD64" s="69"/>
    </row>
    <row r="65" spans="11:30" x14ac:dyDescent="0.3">
      <c r="K65" s="68"/>
      <c r="AD65" s="69"/>
    </row>
    <row r="66" spans="11:30" x14ac:dyDescent="0.3">
      <c r="K66" s="68"/>
      <c r="AD66" s="69"/>
    </row>
    <row r="67" spans="11:30" x14ac:dyDescent="0.3">
      <c r="K67" s="68"/>
      <c r="M67" s="82"/>
      <c r="AD67" s="69"/>
    </row>
    <row r="68" spans="11:30" ht="15" thickBot="1" x14ac:dyDescent="0.35">
      <c r="K68" s="70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2"/>
    </row>
    <row r="71" spans="11:30" x14ac:dyDescent="0.3">
      <c r="M71" s="82"/>
    </row>
    <row r="75" spans="11:30" x14ac:dyDescent="0.3">
      <c r="M75" s="82"/>
    </row>
    <row r="77" spans="11:30" ht="15" thickBot="1" x14ac:dyDescent="0.35"/>
    <row r="78" spans="11:30" x14ac:dyDescent="0.3">
      <c r="V78" s="864" t="s">
        <v>113</v>
      </c>
      <c r="W78" s="865"/>
      <c r="X78" s="865"/>
      <c r="Y78" s="865"/>
      <c r="Z78" s="865"/>
      <c r="AA78" s="865"/>
      <c r="AB78" s="865"/>
      <c r="AC78" s="866"/>
    </row>
    <row r="79" spans="11:30" x14ac:dyDescent="0.3">
      <c r="M79" s="82"/>
      <c r="V79" s="867" t="s">
        <v>16</v>
      </c>
      <c r="W79" s="868"/>
      <c r="X79" s="868"/>
      <c r="Y79" s="868"/>
      <c r="Z79" s="868"/>
      <c r="AA79" s="868"/>
      <c r="AB79" s="868"/>
      <c r="AC79" s="869"/>
    </row>
    <row r="80" spans="11:30" x14ac:dyDescent="0.3">
      <c r="V80" s="215"/>
      <c r="AC80" s="69"/>
    </row>
    <row r="81" spans="13:29" x14ac:dyDescent="0.3">
      <c r="V81" s="870" t="s">
        <v>135</v>
      </c>
      <c r="W81" s="871"/>
      <c r="X81" s="208" t="s">
        <v>130</v>
      </c>
      <c r="Y81" s="290" t="e">
        <f>ROUNDUP(1+1.33*LN(G72),0)</f>
        <v>#NUM!</v>
      </c>
      <c r="Z81" s="872" t="s">
        <v>133</v>
      </c>
      <c r="AA81" s="871"/>
      <c r="AB81" s="208" t="s">
        <v>118</v>
      </c>
      <c r="AC81" s="231" t="e">
        <f>G72/Y81</f>
        <v>#NUM!</v>
      </c>
    </row>
    <row r="82" spans="13:29" x14ac:dyDescent="0.3">
      <c r="V82" s="870" t="s">
        <v>134</v>
      </c>
      <c r="W82" s="871"/>
      <c r="X82" s="208" t="s">
        <v>131</v>
      </c>
      <c r="Y82" s="385" t="e">
        <f>Y81-(2+1)</f>
        <v>#NUM!</v>
      </c>
      <c r="Z82" s="229" t="s">
        <v>138</v>
      </c>
      <c r="AA82" s="230"/>
      <c r="AB82" s="208" t="s">
        <v>137</v>
      </c>
      <c r="AC82" s="41" t="e">
        <f>ROUND((G75-G76)/(Y81-1),0)</f>
        <v>#NUM!</v>
      </c>
    </row>
    <row r="83" spans="13:29" ht="15.6" x14ac:dyDescent="0.35">
      <c r="M83" s="82"/>
      <c r="V83" s="873" t="s">
        <v>144</v>
      </c>
      <c r="W83" s="874"/>
      <c r="X83" s="289">
        <v>0.05</v>
      </c>
      <c r="Y83" s="232" t="b">
        <f>IF(X83='Tabel Alfa Chi Square'!C58,2,IF(X83='Tabel Alfa Chi Square'!D58,3,IF(X83='Tabel Alfa Chi Square'!E58,4,IF(X83='Tabel Alfa Chi Square'!F58,5,IF(X83='Tabel Alfa Chi Square'!G58,6,IF(X83='Tabel Alfa Chi Square'!H57,7,IF(X83='Tabel Alfa Chi Square'!I57,8,IF(X83='Tabel Alfa Chi Square'!J57,9))))))))</f>
        <v>0</v>
      </c>
      <c r="Z83" s="229" t="s">
        <v>139</v>
      </c>
      <c r="AA83" s="230"/>
      <c r="AB83" s="208" t="s">
        <v>125</v>
      </c>
      <c r="AC83" s="41" t="e">
        <f>ROUND(G76-0.5*AC82,0)</f>
        <v>#NUM!</v>
      </c>
    </row>
    <row r="84" spans="13:29" ht="15.6" x14ac:dyDescent="0.35">
      <c r="V84" s="870" t="s">
        <v>132</v>
      </c>
      <c r="W84" s="871"/>
      <c r="X84" s="204" t="s">
        <v>112</v>
      </c>
      <c r="Y84" s="38" t="e">
        <f>VLOOKUP(Y82,'Tabel Alfa Chi Square'!$B$7:$J$36,Y83,FALSE)</f>
        <v>#NUM!</v>
      </c>
      <c r="Z84" s="229" t="s">
        <v>140</v>
      </c>
      <c r="AA84" s="230"/>
      <c r="AB84" s="208" t="s">
        <v>126</v>
      </c>
      <c r="AC84" s="41" t="e">
        <f>ROUND(G75+0.5*AC82,0)</f>
        <v>#NUM!</v>
      </c>
    </row>
    <row r="85" spans="13:29" x14ac:dyDescent="0.3">
      <c r="V85" s="68"/>
      <c r="AC85" s="69"/>
    </row>
    <row r="86" spans="13:29" ht="16.8" thickBot="1" x14ac:dyDescent="0.35">
      <c r="V86" s="216" t="s">
        <v>114</v>
      </c>
      <c r="W86" s="214" t="s">
        <v>115</v>
      </c>
      <c r="X86" s="214" t="s">
        <v>116</v>
      </c>
      <c r="Y86" s="214" t="s">
        <v>117</v>
      </c>
      <c r="Z86" s="214" t="s">
        <v>118</v>
      </c>
      <c r="AA86" s="214" t="s">
        <v>119</v>
      </c>
      <c r="AB86" s="214" t="s">
        <v>120</v>
      </c>
      <c r="AC86" s="217" t="s">
        <v>143</v>
      </c>
    </row>
    <row r="87" spans="13:29" ht="15" thickTop="1" x14ac:dyDescent="0.3">
      <c r="M87" s="82"/>
      <c r="V87" s="218">
        <v>1</v>
      </c>
      <c r="W87" s="211" t="e">
        <f>AC83</f>
        <v>#NUM!</v>
      </c>
      <c r="X87" s="211" t="e">
        <f>W87+AC82</f>
        <v>#NUM!</v>
      </c>
      <c r="Y87" s="211" t="e">
        <f>ROUND(W87,0)&amp;" &lt;= P &lt;= " &amp; ROUND(X87,0)</f>
        <v>#NUM!</v>
      </c>
      <c r="Z87" s="212">
        <f>$AC$29</f>
        <v>2.2000000000000002</v>
      </c>
      <c r="AA87" s="35">
        <f>COUNTIFS($F$7:$F$17,"&gt;=" &amp;W87,$F$7:$F$17,"&lt;=" &amp;X87)</f>
        <v>0</v>
      </c>
      <c r="AB87" s="213">
        <f>Z87-AA87</f>
        <v>2.2000000000000002</v>
      </c>
      <c r="AC87" s="219">
        <f>AB87^2/Z87</f>
        <v>2.2000000000000002</v>
      </c>
    </row>
    <row r="88" spans="13:29" x14ac:dyDescent="0.3">
      <c r="V88" s="220">
        <v>2</v>
      </c>
      <c r="W88" s="210" t="e">
        <f>X87</f>
        <v>#NUM!</v>
      </c>
      <c r="X88" s="210" t="e">
        <f>W88+$AC$30</f>
        <v>#NUM!</v>
      </c>
      <c r="Y88" s="210" t="e">
        <f>ROUND(W88,0)&amp;" &lt; P &lt;= " &amp; ROUND(X88,0)</f>
        <v>#NUM!</v>
      </c>
      <c r="Z88" s="212">
        <f>$AC$29</f>
        <v>2.2000000000000002</v>
      </c>
      <c r="AA88" s="38">
        <f>COUNTIFS($F$7:$F$17,"&gt;" &amp;W88,$F$7:$F$17,"&lt;=" &amp;X88)</f>
        <v>0</v>
      </c>
      <c r="AB88" s="123">
        <f t="shared" ref="AB88:AB91" si="41">Z88-AA88</f>
        <v>2.2000000000000002</v>
      </c>
      <c r="AC88" s="221">
        <f t="shared" ref="AC88:AC90" si="42">AB88^2/Z88</f>
        <v>2.2000000000000002</v>
      </c>
    </row>
    <row r="89" spans="13:29" x14ac:dyDescent="0.3">
      <c r="V89" s="220">
        <v>3</v>
      </c>
      <c r="W89" s="210" t="e">
        <f t="shared" ref="W89:W90" si="43">X88</f>
        <v>#NUM!</v>
      </c>
      <c r="X89" s="210" t="e">
        <f t="shared" ref="X89:X91" si="44">W89+$AC$30</f>
        <v>#NUM!</v>
      </c>
      <c r="Y89" s="210" t="e">
        <f>ROUND(W89,0)&amp;" &lt; P &lt;= " &amp; ROUND(X89,0)</f>
        <v>#NUM!</v>
      </c>
      <c r="Z89" s="212">
        <f t="shared" ref="Z89:Z91" si="45">$AC$29</f>
        <v>2.2000000000000002</v>
      </c>
      <c r="AA89" s="38">
        <f>COUNTIFS($F$7:$F$17,"&gt;" &amp;W89,$F$7:$F$17,"&lt;=" &amp;X89)</f>
        <v>0</v>
      </c>
      <c r="AB89" s="123">
        <f t="shared" si="41"/>
        <v>2.2000000000000002</v>
      </c>
      <c r="AC89" s="221">
        <f t="shared" si="42"/>
        <v>2.2000000000000002</v>
      </c>
    </row>
    <row r="90" spans="13:29" x14ac:dyDescent="0.3">
      <c r="V90" s="220">
        <v>4</v>
      </c>
      <c r="W90" s="210" t="e">
        <f t="shared" si="43"/>
        <v>#NUM!</v>
      </c>
      <c r="X90" s="210" t="e">
        <f t="shared" si="44"/>
        <v>#NUM!</v>
      </c>
      <c r="Y90" s="210" t="e">
        <f>ROUND(W90,0)&amp;" &lt; P &lt;= " &amp; ROUND(X90,0)</f>
        <v>#NUM!</v>
      </c>
      <c r="Z90" s="212">
        <f t="shared" si="45"/>
        <v>2.2000000000000002</v>
      </c>
      <c r="AA90" s="38">
        <f>COUNTIFS($F$7:$F$17,"&gt;" &amp;W90,$F$7:$F$17,"&lt;=" &amp;X90)</f>
        <v>0</v>
      </c>
      <c r="AB90" s="123">
        <f t="shared" si="41"/>
        <v>2.2000000000000002</v>
      </c>
      <c r="AC90" s="221">
        <f t="shared" si="42"/>
        <v>2.2000000000000002</v>
      </c>
    </row>
    <row r="91" spans="13:29" x14ac:dyDescent="0.3">
      <c r="M91" s="82"/>
      <c r="V91" s="220">
        <v>5</v>
      </c>
      <c r="W91" s="210" t="e">
        <f>X90</f>
        <v>#NUM!</v>
      </c>
      <c r="X91" s="210" t="e">
        <f t="shared" si="44"/>
        <v>#NUM!</v>
      </c>
      <c r="Y91" s="210" t="e">
        <f>ROUND(W91,0)&amp;" &lt; P &lt;= " &amp; ROUND(X91,0)</f>
        <v>#NUM!</v>
      </c>
      <c r="Z91" s="212">
        <f t="shared" si="45"/>
        <v>2.2000000000000002</v>
      </c>
      <c r="AA91" s="38">
        <f>COUNTIFS($F$7:$F$17,"&gt;" &amp;W91,$F$7:$F$17,"&lt;=" &amp;X91)</f>
        <v>0</v>
      </c>
      <c r="AB91" s="123">
        <f t="shared" si="41"/>
        <v>2.2000000000000002</v>
      </c>
      <c r="AC91" s="221">
        <f>AB91^2/Z91</f>
        <v>2.2000000000000002</v>
      </c>
    </row>
    <row r="92" spans="13:29" x14ac:dyDescent="0.3">
      <c r="V92" s="220"/>
      <c r="W92" s="210"/>
      <c r="X92" s="210"/>
      <c r="Y92" s="210"/>
      <c r="Z92" s="210"/>
      <c r="AA92" s="210"/>
      <c r="AB92" s="210"/>
      <c r="AC92" s="222"/>
    </row>
    <row r="93" spans="13:29" ht="15" thickBot="1" x14ac:dyDescent="0.35">
      <c r="V93" s="223"/>
      <c r="W93" s="224"/>
      <c r="X93" s="224"/>
      <c r="Y93" s="224"/>
      <c r="Z93" s="224"/>
      <c r="AA93" s="224"/>
      <c r="AB93" s="224"/>
      <c r="AC93" s="225"/>
    </row>
    <row r="94" spans="13:29" ht="17.399999999999999" thickTop="1" thickBot="1" x14ac:dyDescent="0.35">
      <c r="V94" s="853" t="s">
        <v>122</v>
      </c>
      <c r="W94" s="854"/>
      <c r="X94" s="226"/>
      <c r="Y94" s="226"/>
      <c r="Z94" s="269">
        <f>SUM(Z87:Z93)</f>
        <v>11</v>
      </c>
      <c r="AA94" s="269">
        <f>SUM(AA87:AA93)</f>
        <v>0</v>
      </c>
      <c r="AB94" s="227" t="s">
        <v>123</v>
      </c>
      <c r="AC94" s="228">
        <f>SUM(AC87:AC93)</f>
        <v>11</v>
      </c>
    </row>
  </sheetData>
  <mergeCells count="37">
    <mergeCell ref="V83:W83"/>
    <mergeCell ref="V84:W84"/>
    <mergeCell ref="V94:W94"/>
    <mergeCell ref="V78:AC78"/>
    <mergeCell ref="V79:AC79"/>
    <mergeCell ref="V81:W81"/>
    <mergeCell ref="Z81:AA81"/>
    <mergeCell ref="V82:W82"/>
    <mergeCell ref="V30:W30"/>
    <mergeCell ref="V31:W31"/>
    <mergeCell ref="V32:W32"/>
    <mergeCell ref="V42:W42"/>
    <mergeCell ref="L26:S26"/>
    <mergeCell ref="V26:AC26"/>
    <mergeCell ref="L27:S27"/>
    <mergeCell ref="V27:AC27"/>
    <mergeCell ref="V29:W29"/>
    <mergeCell ref="Z29:AA29"/>
    <mergeCell ref="C25:E25"/>
    <mergeCell ref="C21:E21"/>
    <mergeCell ref="C26:E26"/>
    <mergeCell ref="C22:E22"/>
    <mergeCell ref="C23:E23"/>
    <mergeCell ref="C24:E24"/>
    <mergeCell ref="M21:Q21"/>
    <mergeCell ref="V21:AA21"/>
    <mergeCell ref="M22:Q22"/>
    <mergeCell ref="V22:AA22"/>
    <mergeCell ref="C20:E20"/>
    <mergeCell ref="M20:Q20"/>
    <mergeCell ref="V20:AA20"/>
    <mergeCell ref="C4:H4"/>
    <mergeCell ref="L4:R4"/>
    <mergeCell ref="V4:AB4"/>
    <mergeCell ref="C5:H5"/>
    <mergeCell ref="L5:R5"/>
    <mergeCell ref="V5:AB5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G103"/>
  <sheetViews>
    <sheetView zoomScale="55" zoomScaleNormal="55" workbookViewId="0">
      <selection activeCell="G33" sqref="G33:G40"/>
    </sheetView>
  </sheetViews>
  <sheetFormatPr defaultColWidth="9.109375" defaultRowHeight="14.4" x14ac:dyDescent="0.3"/>
  <cols>
    <col min="1" max="2" width="9.109375" style="1"/>
    <col min="3" max="3" width="3.6640625" style="1" customWidth="1"/>
    <col min="4" max="4" width="12" style="1" customWidth="1"/>
    <col min="5" max="5" width="10.33203125" style="1" customWidth="1"/>
    <col min="6" max="6" width="18.5546875" style="1" customWidth="1"/>
    <col min="7" max="7" width="17.44140625" style="1" bestFit="1" customWidth="1"/>
    <col min="8" max="8" width="18.5546875" style="1" bestFit="1" customWidth="1"/>
    <col min="9" max="9" width="17" style="1" customWidth="1"/>
    <col min="10" max="10" width="16.88671875" style="1" bestFit="1" customWidth="1"/>
    <col min="11" max="11" width="9.109375" style="1"/>
    <col min="12" max="12" width="8.88671875" style="1" customWidth="1"/>
    <col min="13" max="13" width="8.109375" style="1" bestFit="1" customWidth="1"/>
    <col min="14" max="14" width="17.88671875" style="1" bestFit="1" customWidth="1"/>
    <col min="15" max="15" width="19" style="1" bestFit="1" customWidth="1"/>
    <col min="16" max="16" width="18.33203125" style="1" bestFit="1" customWidth="1"/>
    <col min="17" max="17" width="18.88671875" style="1" bestFit="1" customWidth="1"/>
    <col min="18" max="18" width="17.88671875" style="1" bestFit="1" customWidth="1"/>
    <col min="19" max="19" width="18.88671875" style="1" bestFit="1" customWidth="1"/>
    <col min="20" max="20" width="6.88671875" style="1" customWidth="1"/>
    <col min="21" max="22" width="9.109375" style="1"/>
    <col min="23" max="23" width="12.109375" style="1" bestFit="1" customWidth="1"/>
    <col min="24" max="24" width="16.6640625" style="1" bestFit="1" customWidth="1"/>
    <col min="25" max="25" width="19" style="1" bestFit="1" customWidth="1"/>
    <col min="26" max="26" width="21.33203125" style="1" bestFit="1" customWidth="1"/>
    <col min="27" max="27" width="18.88671875" style="1" bestFit="1" customWidth="1"/>
    <col min="28" max="28" width="21.33203125" style="1" bestFit="1" customWidth="1"/>
    <col min="29" max="29" width="18.88671875" style="1" bestFit="1" customWidth="1"/>
    <col min="30" max="30" width="12.33203125" style="1" bestFit="1" customWidth="1"/>
    <col min="31" max="16384" width="9.109375" style="1"/>
  </cols>
  <sheetData>
    <row r="1" spans="1:32" x14ac:dyDescent="0.3">
      <c r="A1" s="52" t="s">
        <v>109</v>
      </c>
      <c r="B1" s="52"/>
      <c r="C1" s="52"/>
      <c r="D1" s="52"/>
      <c r="E1" s="52"/>
      <c r="F1" s="52"/>
      <c r="G1" s="73"/>
      <c r="H1" s="73"/>
      <c r="I1" s="73"/>
      <c r="J1" s="73"/>
    </row>
    <row r="2" spans="1:32" ht="15" thickBot="1" x14ac:dyDescent="0.35">
      <c r="C2" s="73"/>
    </row>
    <row r="3" spans="1:32" ht="15" thickBot="1" x14ac:dyDescent="0.35">
      <c r="B3" s="65"/>
      <c r="C3" s="66"/>
      <c r="D3" s="66"/>
      <c r="E3" s="66"/>
      <c r="F3" s="66"/>
      <c r="G3" s="66"/>
      <c r="H3" s="66"/>
      <c r="I3" s="66"/>
      <c r="J3" s="66"/>
      <c r="K3" s="67"/>
      <c r="M3" s="65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7"/>
    </row>
    <row r="4" spans="1:32" x14ac:dyDescent="0.3">
      <c r="B4" s="68"/>
      <c r="C4" s="857" t="s">
        <v>15</v>
      </c>
      <c r="D4" s="857"/>
      <c r="E4" s="857"/>
      <c r="F4" s="857"/>
      <c r="G4" s="857"/>
      <c r="H4" s="857"/>
      <c r="I4" s="857"/>
      <c r="J4" s="857"/>
      <c r="K4" s="69"/>
      <c r="M4" s="68"/>
      <c r="N4" s="859" t="s">
        <v>29</v>
      </c>
      <c r="O4" s="860"/>
      <c r="P4" s="860"/>
      <c r="Q4" s="860"/>
      <c r="R4" s="860"/>
      <c r="S4" s="860"/>
      <c r="T4" s="861"/>
      <c r="U4" s="86"/>
      <c r="V4" s="86"/>
      <c r="X4" s="859" t="s">
        <v>38</v>
      </c>
      <c r="Y4" s="860"/>
      <c r="Z4" s="860"/>
      <c r="AA4" s="860"/>
      <c r="AB4" s="860"/>
      <c r="AC4" s="860"/>
      <c r="AD4" s="861"/>
      <c r="AF4" s="69"/>
    </row>
    <row r="5" spans="1:32" ht="15" thickBot="1" x14ac:dyDescent="0.35">
      <c r="B5" s="68"/>
      <c r="C5" s="875" t="s">
        <v>72</v>
      </c>
      <c r="D5" s="875"/>
      <c r="E5" s="875"/>
      <c r="F5" s="875"/>
      <c r="G5" s="875"/>
      <c r="H5" s="875"/>
      <c r="I5" s="875"/>
      <c r="J5" s="875"/>
      <c r="K5" s="69"/>
      <c r="M5" s="68"/>
      <c r="N5" s="862" t="s">
        <v>72</v>
      </c>
      <c r="O5" s="856"/>
      <c r="P5" s="856"/>
      <c r="Q5" s="856"/>
      <c r="R5" s="856"/>
      <c r="S5" s="856"/>
      <c r="T5" s="863"/>
      <c r="U5" s="86"/>
      <c r="V5" s="86"/>
      <c r="X5" s="862" t="s">
        <v>72</v>
      </c>
      <c r="Y5" s="856"/>
      <c r="Z5" s="856"/>
      <c r="AA5" s="856"/>
      <c r="AB5" s="856"/>
      <c r="AC5" s="856"/>
      <c r="AD5" s="863"/>
      <c r="AF5" s="69"/>
    </row>
    <row r="6" spans="1:32" ht="17.399999999999999" thickBot="1" x14ac:dyDescent="0.4">
      <c r="B6" s="68"/>
      <c r="C6" s="61" t="s">
        <v>4</v>
      </c>
      <c r="D6" s="62" t="s">
        <v>5</v>
      </c>
      <c r="E6" s="62" t="s">
        <v>6</v>
      </c>
      <c r="F6" s="62" t="s">
        <v>199</v>
      </c>
      <c r="G6" s="63" t="s">
        <v>200</v>
      </c>
      <c r="H6" s="164" t="s">
        <v>73</v>
      </c>
      <c r="I6" s="164" t="s">
        <v>74</v>
      </c>
      <c r="J6" s="63" t="s">
        <v>75</v>
      </c>
      <c r="K6" s="69"/>
      <c r="M6" s="68"/>
      <c r="N6" s="53" t="s">
        <v>21</v>
      </c>
      <c r="O6" s="54" t="s">
        <v>26</v>
      </c>
      <c r="P6" s="54" t="s">
        <v>27</v>
      </c>
      <c r="Q6" s="54" t="s">
        <v>61</v>
      </c>
      <c r="R6" s="54" t="s">
        <v>201</v>
      </c>
      <c r="S6" s="54" t="s">
        <v>202</v>
      </c>
      <c r="T6" s="55" t="s">
        <v>28</v>
      </c>
      <c r="U6" s="86"/>
      <c r="V6" s="86"/>
      <c r="X6" s="53" t="s">
        <v>21</v>
      </c>
      <c r="Y6" s="54" t="s">
        <v>26</v>
      </c>
      <c r="Z6" s="54" t="s">
        <v>27</v>
      </c>
      <c r="AA6" s="54" t="s">
        <v>61</v>
      </c>
      <c r="AB6" s="54" t="s">
        <v>201</v>
      </c>
      <c r="AC6" s="54" t="s">
        <v>202</v>
      </c>
      <c r="AD6" s="55" t="s">
        <v>42</v>
      </c>
      <c r="AF6" s="69"/>
    </row>
    <row r="7" spans="1:32" ht="15" thickTop="1" x14ac:dyDescent="0.3">
      <c r="B7" s="68"/>
      <c r="C7" s="36">
        <v>1</v>
      </c>
      <c r="D7" s="35">
        <f>'Rainfall Max'!V4</f>
        <v>2014</v>
      </c>
      <c r="E7" s="38">
        <f>RANK(F7,$F$7:$F$18,0)</f>
        <v>6</v>
      </c>
      <c r="F7" s="203">
        <f>'Rainfall Max'!W4</f>
        <v>121</v>
      </c>
      <c r="G7" s="203">
        <f>VLOOKUP(C7,$E$7:$F$18,2,FALSE)</f>
        <v>172</v>
      </c>
      <c r="H7" s="284">
        <f t="shared" ref="H7" si="0">LOG10(G7)</f>
        <v>2.2355284469075487</v>
      </c>
      <c r="I7" s="286">
        <f>(H7-$G$26)^2</f>
        <v>2.4570881540644691E-2</v>
      </c>
      <c r="J7" s="287">
        <f>(H7-$G$26)^3</f>
        <v>3.8515106865500922E-3</v>
      </c>
      <c r="K7" s="69"/>
      <c r="M7" s="68"/>
      <c r="N7" s="36">
        <f>C7</f>
        <v>1</v>
      </c>
      <c r="O7" s="57">
        <f>N7/($G$20+1)</f>
        <v>8.3333333333333329E-2</v>
      </c>
      <c r="P7" s="57">
        <f t="shared" ref="P7" si="1">1/O7</f>
        <v>12</v>
      </c>
      <c r="Q7" s="79">
        <f t="shared" ref="Q7" si="2">0.2044*LN(P7)+0.4407</f>
        <v>0.9486149192166673</v>
      </c>
      <c r="R7" s="203">
        <f t="shared" ref="R7" si="3">G7</f>
        <v>172</v>
      </c>
      <c r="S7" s="200">
        <f>10^($G$26+Q7*$G$28)</f>
        <v>151.31647382718168</v>
      </c>
      <c r="T7" s="58">
        <f t="shared" ref="T7" si="4">ABS((S7-R7)/R7)*100</f>
        <v>12.025305914429255</v>
      </c>
      <c r="U7" s="82"/>
      <c r="V7" s="82"/>
      <c r="X7" s="36">
        <v>1</v>
      </c>
      <c r="Y7" s="79">
        <f t="shared" ref="Y7" si="5">O7</f>
        <v>8.3333333333333329E-2</v>
      </c>
      <c r="Z7" s="79">
        <f t="shared" ref="Z7" si="6">P7</f>
        <v>12</v>
      </c>
      <c r="AA7" s="79">
        <f t="shared" ref="AA7" si="7">Q7</f>
        <v>0.9486149192166673</v>
      </c>
      <c r="AB7" s="200">
        <f t="shared" ref="AB7" si="8">R7</f>
        <v>172</v>
      </c>
      <c r="AC7" s="203">
        <f t="shared" ref="AC7" si="9">S7</f>
        <v>151.31647382718168</v>
      </c>
      <c r="AD7" s="58">
        <f t="shared" ref="AD7" si="10">(AC7-AB7)^2</f>
        <v>427.80825494166038</v>
      </c>
      <c r="AF7" s="69"/>
    </row>
    <row r="8" spans="1:32" x14ac:dyDescent="0.3">
      <c r="B8" s="68"/>
      <c r="C8" s="36">
        <v>2</v>
      </c>
      <c r="D8" s="35">
        <f>'Rainfall Max'!V5</f>
        <v>2015</v>
      </c>
      <c r="E8" s="38">
        <f t="shared" ref="E8:E17" si="11">RANK(F8,$F$7:$F$18,0)</f>
        <v>7</v>
      </c>
      <c r="F8" s="203">
        <f>'Rainfall Max'!W5</f>
        <v>119</v>
      </c>
      <c r="G8" s="203">
        <f t="shared" ref="G8:G17" si="12">VLOOKUP(C8,$E$7:$F$18,2,FALSE)</f>
        <v>155</v>
      </c>
      <c r="H8" s="284">
        <f t="shared" ref="H8:H17" si="13">LOG10(G8)</f>
        <v>2.1903316981702914</v>
      </c>
      <c r="I8" s="286">
        <f t="shared" ref="I8:I17" si="14">(H8-$G$26)^2</f>
        <v>1.2444354917164254E-2</v>
      </c>
      <c r="J8" s="287">
        <f t="shared" ref="J8:J17" si="15">(H8-$G$26)^3</f>
        <v>1.3882209151263819E-3</v>
      </c>
      <c r="K8" s="69"/>
      <c r="M8" s="68"/>
      <c r="N8" s="36">
        <f t="shared" ref="N8:N17" si="16">C8</f>
        <v>2</v>
      </c>
      <c r="O8" s="57">
        <f t="shared" ref="O8:O17" si="17">N8/($G$20+1)</f>
        <v>0.16666666666666666</v>
      </c>
      <c r="P8" s="57">
        <f t="shared" ref="P8:P17" si="18">1/O8</f>
        <v>6</v>
      </c>
      <c r="Q8" s="79">
        <f t="shared" ref="Q8:Q17" si="19">0.2044*LN(P8)+0.4407</f>
        <v>0.80693563551021441</v>
      </c>
      <c r="R8" s="203">
        <f t="shared" ref="R8:R17" si="20">G8</f>
        <v>155</v>
      </c>
      <c r="S8" s="200">
        <f t="shared" ref="S8:S17" si="21">10^($G$26+Q8*$G$28)</f>
        <v>146.14542580079248</v>
      </c>
      <c r="T8" s="58">
        <f t="shared" ref="T8:T17" si="22">ABS((S8-R8)/R8)*100</f>
        <v>5.7126285156177543</v>
      </c>
      <c r="U8" s="82"/>
      <c r="V8" s="82"/>
      <c r="X8" s="36">
        <v>2</v>
      </c>
      <c r="Y8" s="79">
        <f t="shared" ref="Y8:Y17" si="23">O8</f>
        <v>0.16666666666666666</v>
      </c>
      <c r="Z8" s="79">
        <f t="shared" ref="Z8:Z17" si="24">P8</f>
        <v>6</v>
      </c>
      <c r="AA8" s="79">
        <f t="shared" ref="AA8:AA17" si="25">Q8</f>
        <v>0.80693563551021441</v>
      </c>
      <c r="AB8" s="200">
        <f t="shared" ref="AB8:AB17" si="26">R8</f>
        <v>155</v>
      </c>
      <c r="AC8" s="203">
        <f t="shared" ref="AC8:AC17" si="27">S8</f>
        <v>146.14542580079248</v>
      </c>
      <c r="AD8" s="58">
        <f t="shared" ref="AD8:AD17" si="28">(AC8-AB8)^2</f>
        <v>78.403484249271486</v>
      </c>
      <c r="AF8" s="69"/>
    </row>
    <row r="9" spans="1:32" x14ac:dyDescent="0.3">
      <c r="B9" s="68"/>
      <c r="C9" s="36">
        <v>3</v>
      </c>
      <c r="D9" s="35">
        <f>'Rainfall Max'!V6</f>
        <v>2016</v>
      </c>
      <c r="E9" s="38">
        <f t="shared" si="11"/>
        <v>11</v>
      </c>
      <c r="F9" s="203">
        <f>'Rainfall Max'!W6</f>
        <v>74</v>
      </c>
      <c r="G9" s="203">
        <f t="shared" si="12"/>
        <v>141</v>
      </c>
      <c r="H9" s="284">
        <f t="shared" si="13"/>
        <v>2.1492191126553797</v>
      </c>
      <c r="I9" s="286">
        <f t="shared" si="14"/>
        <v>4.9620307627667023E-3</v>
      </c>
      <c r="J9" s="287">
        <f t="shared" si="15"/>
        <v>3.4953380010136403E-4</v>
      </c>
      <c r="K9" s="69"/>
      <c r="M9" s="68"/>
      <c r="N9" s="36">
        <f t="shared" si="16"/>
        <v>3</v>
      </c>
      <c r="O9" s="57">
        <f t="shared" si="17"/>
        <v>0.25</v>
      </c>
      <c r="P9" s="57">
        <f t="shared" si="18"/>
        <v>4</v>
      </c>
      <c r="Q9" s="79">
        <f t="shared" si="19"/>
        <v>0.72405856741290564</v>
      </c>
      <c r="R9" s="203">
        <f t="shared" si="20"/>
        <v>141</v>
      </c>
      <c r="S9" s="200">
        <f t="shared" si="21"/>
        <v>143.20286830036628</v>
      </c>
      <c r="T9" s="58">
        <f t="shared" si="22"/>
        <v>1.5623179435221819</v>
      </c>
      <c r="U9" s="82"/>
      <c r="V9" s="82"/>
      <c r="X9" s="36">
        <v>3</v>
      </c>
      <c r="Y9" s="79">
        <f t="shared" si="23"/>
        <v>0.25</v>
      </c>
      <c r="Z9" s="79">
        <f t="shared" si="24"/>
        <v>4</v>
      </c>
      <c r="AA9" s="79">
        <f t="shared" si="25"/>
        <v>0.72405856741290564</v>
      </c>
      <c r="AB9" s="200">
        <f t="shared" si="26"/>
        <v>141</v>
      </c>
      <c r="AC9" s="203">
        <f t="shared" si="27"/>
        <v>143.20286830036628</v>
      </c>
      <c r="AD9" s="58">
        <f t="shared" si="28"/>
        <v>4.8526287487586073</v>
      </c>
      <c r="AF9" s="69"/>
    </row>
    <row r="10" spans="1:32" x14ac:dyDescent="0.3">
      <c r="B10" s="68"/>
      <c r="C10" s="36">
        <v>4</v>
      </c>
      <c r="D10" s="35">
        <f>'Rainfall Max'!V7</f>
        <v>2017</v>
      </c>
      <c r="E10" s="38">
        <f t="shared" si="11"/>
        <v>9</v>
      </c>
      <c r="F10" s="203">
        <f>'Rainfall Max'!W7</f>
        <v>100</v>
      </c>
      <c r="G10" s="203">
        <f t="shared" si="12"/>
        <v>139</v>
      </c>
      <c r="H10" s="284">
        <f t="shared" si="13"/>
        <v>2.143014800254095</v>
      </c>
      <c r="I10" s="286">
        <f t="shared" si="14"/>
        <v>4.1264398351436617E-3</v>
      </c>
      <c r="J10" s="287">
        <f t="shared" si="15"/>
        <v>2.6507164666842229E-4</v>
      </c>
      <c r="K10" s="69"/>
      <c r="M10" s="68"/>
      <c r="N10" s="36">
        <f t="shared" si="16"/>
        <v>4</v>
      </c>
      <c r="O10" s="57">
        <f t="shared" si="17"/>
        <v>0.33333333333333331</v>
      </c>
      <c r="P10" s="57">
        <f t="shared" si="18"/>
        <v>3</v>
      </c>
      <c r="Q10" s="79">
        <f t="shared" si="19"/>
        <v>0.66525635180376164</v>
      </c>
      <c r="R10" s="203">
        <f t="shared" si="20"/>
        <v>139</v>
      </c>
      <c r="S10" s="200">
        <f t="shared" si="21"/>
        <v>141.15109176340198</v>
      </c>
      <c r="T10" s="58">
        <f t="shared" si="22"/>
        <v>1.5475480312244454</v>
      </c>
      <c r="U10" s="82"/>
      <c r="V10" s="82"/>
      <c r="X10" s="36">
        <v>4</v>
      </c>
      <c r="Y10" s="79">
        <f t="shared" si="23"/>
        <v>0.33333333333333331</v>
      </c>
      <c r="Z10" s="79">
        <f t="shared" si="24"/>
        <v>3</v>
      </c>
      <c r="AA10" s="79">
        <f t="shared" si="25"/>
        <v>0.66525635180376164</v>
      </c>
      <c r="AB10" s="200">
        <f t="shared" si="26"/>
        <v>139</v>
      </c>
      <c r="AC10" s="203">
        <f t="shared" si="27"/>
        <v>141.15109176340198</v>
      </c>
      <c r="AD10" s="58">
        <f t="shared" si="28"/>
        <v>4.6271957745758359</v>
      </c>
      <c r="AF10" s="69"/>
    </row>
    <row r="11" spans="1:32" x14ac:dyDescent="0.3">
      <c r="B11" s="68"/>
      <c r="C11" s="36">
        <v>5</v>
      </c>
      <c r="D11" s="35">
        <f>'Rainfall Max'!V8</f>
        <v>2018</v>
      </c>
      <c r="E11" s="38">
        <f t="shared" si="11"/>
        <v>4</v>
      </c>
      <c r="F11" s="203">
        <f>'Rainfall Max'!W8</f>
        <v>139</v>
      </c>
      <c r="G11" s="203">
        <f t="shared" si="12"/>
        <v>134</v>
      </c>
      <c r="H11" s="284">
        <f t="shared" si="13"/>
        <v>2.1271047983648077</v>
      </c>
      <c r="I11" s="286">
        <f t="shared" si="14"/>
        <v>2.3355346067820901E-3</v>
      </c>
      <c r="J11" s="287">
        <f t="shared" si="15"/>
        <v>1.1287024305192285E-4</v>
      </c>
      <c r="K11" s="69"/>
      <c r="M11" s="68"/>
      <c r="N11" s="36">
        <f t="shared" si="16"/>
        <v>5</v>
      </c>
      <c r="O11" s="57">
        <f t="shared" si="17"/>
        <v>0.41666666666666669</v>
      </c>
      <c r="P11" s="57">
        <f t="shared" si="18"/>
        <v>2.4</v>
      </c>
      <c r="Q11" s="79">
        <f t="shared" si="19"/>
        <v>0.61964580991513707</v>
      </c>
      <c r="R11" s="203">
        <f t="shared" si="20"/>
        <v>134</v>
      </c>
      <c r="S11" s="200">
        <f t="shared" si="21"/>
        <v>139.57987665530032</v>
      </c>
      <c r="T11" s="58">
        <f t="shared" si="22"/>
        <v>4.1640870561942727</v>
      </c>
      <c r="U11" s="82"/>
      <c r="V11" s="82"/>
      <c r="X11" s="36">
        <v>5</v>
      </c>
      <c r="Y11" s="79">
        <f t="shared" si="23"/>
        <v>0.41666666666666669</v>
      </c>
      <c r="Z11" s="79">
        <f t="shared" si="24"/>
        <v>2.4</v>
      </c>
      <c r="AA11" s="79">
        <f t="shared" si="25"/>
        <v>0.61964580991513707</v>
      </c>
      <c r="AB11" s="200">
        <f t="shared" si="26"/>
        <v>134</v>
      </c>
      <c r="AC11" s="203">
        <f t="shared" si="27"/>
        <v>139.57987665530032</v>
      </c>
      <c r="AD11" s="58">
        <f t="shared" si="28"/>
        <v>31.13502348836554</v>
      </c>
      <c r="AF11" s="69"/>
    </row>
    <row r="12" spans="1:32" x14ac:dyDescent="0.3">
      <c r="B12" s="68"/>
      <c r="C12" s="36">
        <v>6</v>
      </c>
      <c r="D12" s="35">
        <f>'Rainfall Max'!V9</f>
        <v>2019</v>
      </c>
      <c r="E12" s="38">
        <f t="shared" si="11"/>
        <v>10</v>
      </c>
      <c r="F12" s="203">
        <f>'Rainfall Max'!W9</f>
        <v>93</v>
      </c>
      <c r="G12" s="203">
        <f t="shared" si="12"/>
        <v>121</v>
      </c>
      <c r="H12" s="284">
        <f t="shared" si="13"/>
        <v>2.0827853703164503</v>
      </c>
      <c r="I12" s="286">
        <f t="shared" si="14"/>
        <v>1.6063591693584149E-5</v>
      </c>
      <c r="J12" s="287">
        <f t="shared" si="15"/>
        <v>6.4381929026699386E-8</v>
      </c>
      <c r="K12" s="69"/>
      <c r="M12" s="68"/>
      <c r="N12" s="36">
        <f t="shared" si="16"/>
        <v>6</v>
      </c>
      <c r="O12" s="57">
        <f t="shared" si="17"/>
        <v>0.5</v>
      </c>
      <c r="P12" s="57">
        <f t="shared" si="18"/>
        <v>2</v>
      </c>
      <c r="Q12" s="79">
        <f t="shared" si="19"/>
        <v>0.58237928370645275</v>
      </c>
      <c r="R12" s="203">
        <f t="shared" si="20"/>
        <v>121</v>
      </c>
      <c r="S12" s="200">
        <f t="shared" si="21"/>
        <v>138.30909242277335</v>
      </c>
      <c r="T12" s="58">
        <f t="shared" si="22"/>
        <v>14.305035060143261</v>
      </c>
      <c r="U12" s="82"/>
      <c r="V12" s="82"/>
      <c r="X12" s="36">
        <v>6</v>
      </c>
      <c r="Y12" s="79">
        <f t="shared" si="23"/>
        <v>0.5</v>
      </c>
      <c r="Z12" s="79">
        <f t="shared" si="24"/>
        <v>2</v>
      </c>
      <c r="AA12" s="79">
        <f t="shared" si="25"/>
        <v>0.58237928370645275</v>
      </c>
      <c r="AB12" s="200">
        <f t="shared" si="26"/>
        <v>121</v>
      </c>
      <c r="AC12" s="203">
        <f t="shared" si="27"/>
        <v>138.30909242277335</v>
      </c>
      <c r="AD12" s="58">
        <f t="shared" si="28"/>
        <v>299.60468050010968</v>
      </c>
      <c r="AF12" s="69"/>
    </row>
    <row r="13" spans="1:32" x14ac:dyDescent="0.3">
      <c r="B13" s="68"/>
      <c r="C13" s="36">
        <v>7</v>
      </c>
      <c r="D13" s="35">
        <f>'Rainfall Max'!V10</f>
        <v>2020</v>
      </c>
      <c r="E13" s="38">
        <f t="shared" si="11"/>
        <v>8</v>
      </c>
      <c r="F13" s="203">
        <f>'Rainfall Max'!W10</f>
        <v>106</v>
      </c>
      <c r="G13" s="203">
        <f t="shared" si="12"/>
        <v>119</v>
      </c>
      <c r="H13" s="284">
        <f t="shared" si="13"/>
        <v>2.0755469613925306</v>
      </c>
      <c r="I13" s="286">
        <f t="shared" si="14"/>
        <v>1.0435922496376206E-5</v>
      </c>
      <c r="J13" s="287">
        <f t="shared" si="15"/>
        <v>-3.3712912055512757E-8</v>
      </c>
      <c r="K13" s="69"/>
      <c r="M13" s="68"/>
      <c r="N13" s="36">
        <f t="shared" si="16"/>
        <v>7</v>
      </c>
      <c r="O13" s="57">
        <f t="shared" si="17"/>
        <v>0.58333333333333337</v>
      </c>
      <c r="P13" s="57">
        <f t="shared" si="18"/>
        <v>1.7142857142857142</v>
      </c>
      <c r="Q13" s="79">
        <f t="shared" si="19"/>
        <v>0.5508708847497612</v>
      </c>
      <c r="R13" s="203">
        <f t="shared" si="20"/>
        <v>119</v>
      </c>
      <c r="S13" s="200">
        <f t="shared" si="21"/>
        <v>137.24369020094781</v>
      </c>
      <c r="T13" s="58">
        <f t="shared" si="22"/>
        <v>15.330832101636815</v>
      </c>
      <c r="U13" s="82"/>
      <c r="V13" s="82"/>
      <c r="X13" s="36">
        <v>7</v>
      </c>
      <c r="Y13" s="79">
        <f t="shared" si="23"/>
        <v>0.58333333333333337</v>
      </c>
      <c r="Z13" s="79">
        <f t="shared" si="24"/>
        <v>1.7142857142857142</v>
      </c>
      <c r="AA13" s="79">
        <f t="shared" si="25"/>
        <v>0.5508708847497612</v>
      </c>
      <c r="AB13" s="200">
        <f t="shared" si="26"/>
        <v>119</v>
      </c>
      <c r="AC13" s="203">
        <f t="shared" si="27"/>
        <v>137.24369020094781</v>
      </c>
      <c r="AD13" s="58">
        <f t="shared" si="28"/>
        <v>332.83223214815916</v>
      </c>
      <c r="AF13" s="69"/>
    </row>
    <row r="14" spans="1:32" x14ac:dyDescent="0.3">
      <c r="B14" s="68"/>
      <c r="C14" s="36">
        <v>8</v>
      </c>
      <c r="D14" s="35">
        <f>'Rainfall Max'!V11</f>
        <v>2021</v>
      </c>
      <c r="E14" s="38">
        <f t="shared" si="11"/>
        <v>2</v>
      </c>
      <c r="F14" s="203">
        <f>'Rainfall Max'!W11</f>
        <v>155</v>
      </c>
      <c r="G14" s="203">
        <f t="shared" si="12"/>
        <v>106</v>
      </c>
      <c r="H14" s="284">
        <f t="shared" si="13"/>
        <v>2.0253058652647704</v>
      </c>
      <c r="I14" s="286">
        <f t="shared" si="14"/>
        <v>2.8592081536730762E-3</v>
      </c>
      <c r="J14" s="287">
        <f t="shared" si="15"/>
        <v>-1.5288633170003514E-4</v>
      </c>
      <c r="K14" s="69"/>
      <c r="M14" s="68"/>
      <c r="N14" s="36">
        <f t="shared" si="16"/>
        <v>8</v>
      </c>
      <c r="O14" s="57">
        <f t="shared" si="17"/>
        <v>0.66666666666666663</v>
      </c>
      <c r="P14" s="57">
        <f t="shared" si="18"/>
        <v>1.5</v>
      </c>
      <c r="Q14" s="79">
        <f t="shared" si="19"/>
        <v>0.52357706809730875</v>
      </c>
      <c r="R14" s="203">
        <f t="shared" si="20"/>
        <v>106</v>
      </c>
      <c r="S14" s="200">
        <f t="shared" si="21"/>
        <v>136.32743273920715</v>
      </c>
      <c r="T14" s="58">
        <f t="shared" si="22"/>
        <v>28.610785603025619</v>
      </c>
      <c r="U14" s="82"/>
      <c r="V14" s="82"/>
      <c r="X14" s="36">
        <v>8</v>
      </c>
      <c r="Y14" s="79">
        <f t="shared" si="23"/>
        <v>0.66666666666666663</v>
      </c>
      <c r="Z14" s="79">
        <f t="shared" si="24"/>
        <v>1.5</v>
      </c>
      <c r="AA14" s="79">
        <f t="shared" si="25"/>
        <v>0.52357706809730875</v>
      </c>
      <c r="AB14" s="200">
        <f t="shared" si="26"/>
        <v>106</v>
      </c>
      <c r="AC14" s="203">
        <f t="shared" si="27"/>
        <v>136.32743273920715</v>
      </c>
      <c r="AD14" s="58">
        <f t="shared" si="28"/>
        <v>919.75317655113395</v>
      </c>
      <c r="AF14" s="69"/>
    </row>
    <row r="15" spans="1:32" x14ac:dyDescent="0.3">
      <c r="B15" s="68"/>
      <c r="C15" s="36">
        <v>9</v>
      </c>
      <c r="D15" s="35">
        <f>'Rainfall Max'!V12</f>
        <v>2022</v>
      </c>
      <c r="E15" s="38">
        <f t="shared" si="11"/>
        <v>5</v>
      </c>
      <c r="F15" s="203">
        <f>'Rainfall Max'!W12</f>
        <v>134</v>
      </c>
      <c r="G15" s="203">
        <f t="shared" si="12"/>
        <v>100</v>
      </c>
      <c r="H15" s="284">
        <f t="shared" si="13"/>
        <v>2</v>
      </c>
      <c r="I15" s="286">
        <f t="shared" si="14"/>
        <v>6.205883357244809E-3</v>
      </c>
      <c r="J15" s="287">
        <f t="shared" si="15"/>
        <v>-4.8888353703056646E-4</v>
      </c>
      <c r="K15" s="69"/>
      <c r="M15" s="68"/>
      <c r="N15" s="36">
        <f t="shared" si="16"/>
        <v>9</v>
      </c>
      <c r="O15" s="57">
        <f t="shared" si="17"/>
        <v>0.75</v>
      </c>
      <c r="P15" s="57">
        <f t="shared" si="18"/>
        <v>1.3333333333333333</v>
      </c>
      <c r="Q15" s="79">
        <f t="shared" si="19"/>
        <v>0.49950221560914398</v>
      </c>
      <c r="R15" s="203">
        <f t="shared" si="20"/>
        <v>100</v>
      </c>
      <c r="S15" s="200">
        <f t="shared" si="21"/>
        <v>135.52431517055527</v>
      </c>
      <c r="T15" s="58">
        <f t="shared" si="22"/>
        <v>35.524315170555269</v>
      </c>
      <c r="U15" s="82"/>
      <c r="V15" s="82"/>
      <c r="X15" s="36">
        <v>9</v>
      </c>
      <c r="Y15" s="79">
        <f t="shared" si="23"/>
        <v>0.75</v>
      </c>
      <c r="Z15" s="79">
        <f t="shared" si="24"/>
        <v>1.3333333333333333</v>
      </c>
      <c r="AA15" s="79">
        <f t="shared" si="25"/>
        <v>0.49950221560914398</v>
      </c>
      <c r="AB15" s="200">
        <f t="shared" si="26"/>
        <v>100</v>
      </c>
      <c r="AC15" s="203">
        <f t="shared" si="27"/>
        <v>135.52431517055527</v>
      </c>
      <c r="AD15" s="58">
        <f t="shared" si="28"/>
        <v>1261.9769683369432</v>
      </c>
      <c r="AF15" s="69"/>
    </row>
    <row r="16" spans="1:32" x14ac:dyDescent="0.3">
      <c r="B16" s="68"/>
      <c r="C16" s="36">
        <v>10</v>
      </c>
      <c r="D16" s="35">
        <f>'Rainfall Max'!V13</f>
        <v>2023</v>
      </c>
      <c r="E16" s="38">
        <f t="shared" si="11"/>
        <v>3</v>
      </c>
      <c r="F16" s="203">
        <f>'Rainfall Max'!W13</f>
        <v>141</v>
      </c>
      <c r="G16" s="203">
        <f t="shared" si="12"/>
        <v>93</v>
      </c>
      <c r="H16" s="284">
        <f t="shared" si="13"/>
        <v>1.968482948553935</v>
      </c>
      <c r="I16" s="286">
        <f t="shared" si="14"/>
        <v>1.2164872469222971E-2</v>
      </c>
      <c r="J16" s="287">
        <f t="shared" si="15"/>
        <v>-1.341718291572852E-3</v>
      </c>
      <c r="K16" s="69"/>
      <c r="M16" s="68"/>
      <c r="N16" s="36">
        <f t="shared" si="16"/>
        <v>10</v>
      </c>
      <c r="O16" s="57">
        <f t="shared" si="17"/>
        <v>0.83333333333333337</v>
      </c>
      <c r="P16" s="57">
        <f t="shared" si="18"/>
        <v>1.2</v>
      </c>
      <c r="Q16" s="79">
        <f t="shared" si="19"/>
        <v>0.47796652620868429</v>
      </c>
      <c r="R16" s="203">
        <f t="shared" si="20"/>
        <v>93</v>
      </c>
      <c r="S16" s="200">
        <f t="shared" si="21"/>
        <v>134.80991190892141</v>
      </c>
      <c r="T16" s="58">
        <f t="shared" si="22"/>
        <v>44.956894525721943</v>
      </c>
      <c r="U16" s="82"/>
      <c r="V16" s="82"/>
      <c r="X16" s="36">
        <v>10</v>
      </c>
      <c r="Y16" s="79">
        <f t="shared" si="23"/>
        <v>0.83333333333333337</v>
      </c>
      <c r="Z16" s="79">
        <f t="shared" si="24"/>
        <v>1.2</v>
      </c>
      <c r="AA16" s="79">
        <f t="shared" si="25"/>
        <v>0.47796652620868429</v>
      </c>
      <c r="AB16" s="200">
        <f t="shared" si="26"/>
        <v>93</v>
      </c>
      <c r="AC16" s="203">
        <f t="shared" si="27"/>
        <v>134.80991190892141</v>
      </c>
      <c r="AD16" s="58">
        <f t="shared" si="28"/>
        <v>1748.068733831768</v>
      </c>
      <c r="AF16" s="69"/>
    </row>
    <row r="17" spans="2:32" x14ac:dyDescent="0.3">
      <c r="B17" s="68"/>
      <c r="C17" s="36">
        <v>11</v>
      </c>
      <c r="D17" s="35">
        <f>'Rainfall Max'!V14</f>
        <v>2024</v>
      </c>
      <c r="E17" s="38">
        <f t="shared" si="11"/>
        <v>1</v>
      </c>
      <c r="F17" s="203">
        <f>'Rainfall Max'!W14</f>
        <v>172</v>
      </c>
      <c r="G17" s="203">
        <f t="shared" si="12"/>
        <v>74</v>
      </c>
      <c r="H17" s="284">
        <f t="shared" si="13"/>
        <v>1.8692317197309762</v>
      </c>
      <c r="I17" s="286">
        <f t="shared" si="14"/>
        <v>4.3909404372527244E-2</v>
      </c>
      <c r="J17" s="287">
        <f t="shared" si="15"/>
        <v>-9.2010272932432479E-3</v>
      </c>
      <c r="K17" s="69"/>
      <c r="M17" s="68"/>
      <c r="N17" s="36">
        <f t="shared" si="16"/>
        <v>11</v>
      </c>
      <c r="O17" s="57">
        <f t="shared" si="17"/>
        <v>0.91666666666666663</v>
      </c>
      <c r="P17" s="57">
        <f t="shared" si="18"/>
        <v>1.0909090909090911</v>
      </c>
      <c r="Q17" s="79">
        <f t="shared" si="19"/>
        <v>0.45848512545668035</v>
      </c>
      <c r="R17" s="203">
        <f t="shared" si="20"/>
        <v>74</v>
      </c>
      <c r="S17" s="200">
        <f t="shared" si="21"/>
        <v>134.1669002898351</v>
      </c>
      <c r="T17" s="58">
        <f t="shared" si="22"/>
        <v>81.306622013290678</v>
      </c>
      <c r="U17" s="82"/>
      <c r="V17" s="82"/>
      <c r="X17" s="36">
        <v>11</v>
      </c>
      <c r="Y17" s="79">
        <f t="shared" si="23"/>
        <v>0.91666666666666663</v>
      </c>
      <c r="Z17" s="79">
        <f t="shared" si="24"/>
        <v>1.0909090909090911</v>
      </c>
      <c r="AA17" s="79">
        <f t="shared" si="25"/>
        <v>0.45848512545668035</v>
      </c>
      <c r="AB17" s="200">
        <f t="shared" si="26"/>
        <v>74</v>
      </c>
      <c r="AC17" s="203">
        <f t="shared" si="27"/>
        <v>134.1669002898351</v>
      </c>
      <c r="AD17" s="58">
        <f t="shared" si="28"/>
        <v>3620.055890486959</v>
      </c>
      <c r="AF17" s="69"/>
    </row>
    <row r="18" spans="2:32" ht="15" thickBot="1" x14ac:dyDescent="0.35">
      <c r="B18" s="68"/>
      <c r="C18" s="42"/>
      <c r="D18" s="43"/>
      <c r="E18" s="43"/>
      <c r="F18" s="43"/>
      <c r="G18" s="43"/>
      <c r="H18" s="168"/>
      <c r="I18" s="166"/>
      <c r="J18" s="170"/>
      <c r="K18" s="69"/>
      <c r="M18" s="68"/>
      <c r="N18" s="42"/>
      <c r="O18" s="78"/>
      <c r="P18" s="78"/>
      <c r="Q18" s="126"/>
      <c r="R18" s="43"/>
      <c r="S18" s="126"/>
      <c r="T18" s="59"/>
      <c r="U18" s="82"/>
      <c r="V18" s="82"/>
      <c r="X18" s="42"/>
      <c r="Y18" s="78"/>
      <c r="Z18" s="78"/>
      <c r="AA18" s="126"/>
      <c r="AB18" s="43"/>
      <c r="AC18" s="78"/>
      <c r="AD18" s="59"/>
      <c r="AF18" s="69"/>
    </row>
    <row r="19" spans="2:32" x14ac:dyDescent="0.3">
      <c r="B19" s="68"/>
      <c r="K19" s="69"/>
      <c r="M19" s="68"/>
      <c r="AF19" s="69"/>
    </row>
    <row r="20" spans="2:32" x14ac:dyDescent="0.3">
      <c r="B20" s="68"/>
      <c r="C20" s="858" t="s">
        <v>17</v>
      </c>
      <c r="D20" s="858"/>
      <c r="E20" s="858"/>
      <c r="F20" s="122" t="s">
        <v>20</v>
      </c>
      <c r="G20" s="38">
        <f>COUNT(F7:F18)</f>
        <v>11</v>
      </c>
      <c r="J20" s="86"/>
      <c r="K20" s="69"/>
      <c r="M20" s="68"/>
      <c r="O20" s="855" t="s">
        <v>37</v>
      </c>
      <c r="P20" s="855"/>
      <c r="Q20" s="855"/>
      <c r="R20" s="855"/>
      <c r="S20" s="855"/>
      <c r="T20" s="80">
        <f>SUM(T7:T18)</f>
        <v>245.04637193536149</v>
      </c>
      <c r="U20" s="85"/>
      <c r="V20" s="85"/>
      <c r="X20" s="856" t="s">
        <v>39</v>
      </c>
      <c r="Y20" s="856"/>
      <c r="Z20" s="856"/>
      <c r="AA20" s="856"/>
      <c r="AB20" s="856"/>
      <c r="AC20" s="856"/>
      <c r="AD20" s="83">
        <f>SUM(AD7:AD18)</f>
        <v>8729.1182690577043</v>
      </c>
      <c r="AF20" s="69"/>
    </row>
    <row r="21" spans="2:32" x14ac:dyDescent="0.3">
      <c r="B21" s="68"/>
      <c r="C21" s="891" t="s">
        <v>18</v>
      </c>
      <c r="D21" s="892"/>
      <c r="E21" s="893"/>
      <c r="F21" s="233" t="s">
        <v>21</v>
      </c>
      <c r="G21" s="57">
        <f>AVERAGE(F7:F18)</f>
        <v>123.09090909090909</v>
      </c>
      <c r="J21" s="86"/>
      <c r="K21" s="69"/>
      <c r="M21" s="68"/>
      <c r="O21" s="855" t="s">
        <v>17</v>
      </c>
      <c r="P21" s="855"/>
      <c r="Q21" s="855"/>
      <c r="R21" s="855"/>
      <c r="S21" s="855"/>
      <c r="T21" s="81">
        <f>COUNT(R7:R18)</f>
        <v>11</v>
      </c>
      <c r="U21" s="85"/>
      <c r="V21" s="85"/>
      <c r="X21" s="856" t="s">
        <v>17</v>
      </c>
      <c r="Y21" s="856"/>
      <c r="Z21" s="856"/>
      <c r="AA21" s="856"/>
      <c r="AB21" s="856"/>
      <c r="AC21" s="856"/>
      <c r="AD21" s="84">
        <f>COUNT(AB7:AB18)</f>
        <v>11</v>
      </c>
      <c r="AF21" s="69"/>
    </row>
    <row r="22" spans="2:32" ht="35.25" customHeight="1" x14ac:dyDescent="0.3">
      <c r="B22" s="68"/>
      <c r="C22" s="891" t="s">
        <v>19</v>
      </c>
      <c r="D22" s="892"/>
      <c r="E22" s="893"/>
      <c r="F22" s="122" t="s">
        <v>62</v>
      </c>
      <c r="G22" s="57">
        <f>_xlfn.STDEV.S(F7:F18)</f>
        <v>28.748754913750766</v>
      </c>
      <c r="J22" s="86"/>
      <c r="K22" s="69"/>
      <c r="M22" s="68"/>
      <c r="O22" s="855" t="s">
        <v>40</v>
      </c>
      <c r="P22" s="855"/>
      <c r="Q22" s="855"/>
      <c r="R22" s="855"/>
      <c r="S22" s="855"/>
      <c r="T22" s="80">
        <f>T20/T21</f>
        <v>22.276942903214682</v>
      </c>
      <c r="U22" s="86"/>
      <c r="V22" s="86"/>
      <c r="X22" s="856" t="s">
        <v>41</v>
      </c>
      <c r="Y22" s="856"/>
      <c r="Z22" s="856"/>
      <c r="AA22" s="856"/>
      <c r="AB22" s="856"/>
      <c r="AC22" s="856"/>
      <c r="AD22" s="83">
        <f>(AD20/(AD21-1))^0.5</f>
        <v>29.54508126415919</v>
      </c>
      <c r="AF22" s="69"/>
    </row>
    <row r="23" spans="2:32" ht="36.75" customHeight="1" x14ac:dyDescent="0.3">
      <c r="B23" s="68"/>
      <c r="C23" s="891" t="s">
        <v>124</v>
      </c>
      <c r="D23" s="892"/>
      <c r="E23" s="893"/>
      <c r="F23" s="122" t="s">
        <v>128</v>
      </c>
      <c r="G23" s="203">
        <f>MAX(G7:G18)</f>
        <v>172</v>
      </c>
      <c r="J23" s="86"/>
      <c r="K23" s="69"/>
      <c r="M23" s="68"/>
      <c r="O23" s="120"/>
      <c r="P23" s="120"/>
      <c r="Q23" s="120"/>
      <c r="R23" s="120"/>
      <c r="S23" s="120"/>
      <c r="T23" s="86"/>
      <c r="U23" s="86"/>
      <c r="V23" s="86"/>
      <c r="X23" s="86"/>
      <c r="Y23" s="86"/>
      <c r="Z23" s="86"/>
      <c r="AA23" s="86"/>
      <c r="AB23" s="86"/>
      <c r="AC23" s="86"/>
      <c r="AD23" s="86"/>
      <c r="AF23" s="69"/>
    </row>
    <row r="24" spans="2:32" ht="15.6" x14ac:dyDescent="0.3">
      <c r="B24" s="68"/>
      <c r="C24" s="891" t="s">
        <v>127</v>
      </c>
      <c r="D24" s="892"/>
      <c r="E24" s="893"/>
      <c r="F24" s="122" t="s">
        <v>129</v>
      </c>
      <c r="G24" s="203">
        <f>MIN(G7:G18)</f>
        <v>74</v>
      </c>
      <c r="J24" s="86"/>
      <c r="K24" s="69"/>
      <c r="M24" s="68"/>
      <c r="U24" s="86"/>
      <c r="V24" s="86"/>
      <c r="AF24" s="69"/>
    </row>
    <row r="25" spans="2:32" ht="16.2" thickBot="1" x14ac:dyDescent="0.35">
      <c r="B25" s="68"/>
      <c r="C25" s="889" t="s">
        <v>76</v>
      </c>
      <c r="D25" s="889"/>
      <c r="E25" s="889"/>
      <c r="F25" s="122" t="s">
        <v>82</v>
      </c>
      <c r="G25" s="169">
        <f>SUM(H7:H18)</f>
        <v>22.866551721610787</v>
      </c>
      <c r="J25" s="86"/>
      <c r="K25" s="69"/>
      <c r="M25" s="68"/>
      <c r="U25" s="86"/>
      <c r="V25" s="86"/>
      <c r="AF25" s="69"/>
    </row>
    <row r="26" spans="2:32" ht="33.75" customHeight="1" x14ac:dyDescent="0.3">
      <c r="B26" s="68"/>
      <c r="C26" s="889" t="s">
        <v>77</v>
      </c>
      <c r="D26" s="889"/>
      <c r="E26" s="889"/>
      <c r="F26" s="122" t="s">
        <v>83</v>
      </c>
      <c r="G26" s="57">
        <f>AVERAGE(H7:H18)</f>
        <v>2.0787774292373444</v>
      </c>
      <c r="J26" s="165"/>
      <c r="K26" s="331"/>
      <c r="L26" s="165"/>
      <c r="M26" s="303"/>
      <c r="N26" s="864" t="s">
        <v>188</v>
      </c>
      <c r="O26" s="865"/>
      <c r="P26" s="865"/>
      <c r="Q26" s="865"/>
      <c r="R26" s="865"/>
      <c r="S26" s="865"/>
      <c r="T26" s="865"/>
      <c r="U26" s="866"/>
      <c r="V26" s="68"/>
      <c r="W26" s="69"/>
      <c r="X26" s="864" t="s">
        <v>113</v>
      </c>
      <c r="Y26" s="865"/>
      <c r="Z26" s="865"/>
      <c r="AA26" s="865"/>
      <c r="AB26" s="865"/>
      <c r="AC26" s="865"/>
      <c r="AD26" s="865"/>
      <c r="AE26" s="866"/>
      <c r="AF26" s="69"/>
    </row>
    <row r="27" spans="2:32" ht="34.5" customHeight="1" x14ac:dyDescent="0.3">
      <c r="B27" s="68"/>
      <c r="C27" s="889" t="s">
        <v>78</v>
      </c>
      <c r="D27" s="889"/>
      <c r="E27" s="889"/>
      <c r="F27" s="122" t="s">
        <v>84</v>
      </c>
      <c r="G27" s="123">
        <f>SUM(I7:I18)</f>
        <v>0.11360510952935947</v>
      </c>
      <c r="J27" s="120"/>
      <c r="K27" s="332"/>
      <c r="L27" s="120"/>
      <c r="M27" s="303"/>
      <c r="N27" s="867" t="s">
        <v>72</v>
      </c>
      <c r="O27" s="868"/>
      <c r="P27" s="868"/>
      <c r="Q27" s="868"/>
      <c r="R27" s="868"/>
      <c r="S27" s="868"/>
      <c r="T27" s="868"/>
      <c r="U27" s="869"/>
      <c r="V27" s="74"/>
      <c r="W27" s="74"/>
      <c r="X27" s="867" t="s">
        <v>16</v>
      </c>
      <c r="Y27" s="868"/>
      <c r="Z27" s="868"/>
      <c r="AA27" s="868"/>
      <c r="AB27" s="868"/>
      <c r="AC27" s="868"/>
      <c r="AD27" s="868"/>
      <c r="AE27" s="869"/>
      <c r="AF27" s="69"/>
    </row>
    <row r="28" spans="2:32" ht="16.2" thickBot="1" x14ac:dyDescent="0.4">
      <c r="B28" s="68"/>
      <c r="C28" s="889" t="s">
        <v>79</v>
      </c>
      <c r="D28" s="889"/>
      <c r="E28" s="889"/>
      <c r="F28" s="122" t="s">
        <v>86</v>
      </c>
      <c r="G28" s="57">
        <f>_xlfn.STDEV.S(H7:H18)</f>
        <v>0.10658569769409001</v>
      </c>
      <c r="J28" s="86"/>
      <c r="K28" s="333"/>
      <c r="L28" s="86"/>
      <c r="M28" s="303"/>
      <c r="N28" s="53" t="s">
        <v>21</v>
      </c>
      <c r="O28" s="54" t="s">
        <v>26</v>
      </c>
      <c r="P28" s="54" t="s">
        <v>201</v>
      </c>
      <c r="Q28" s="54" t="s">
        <v>182</v>
      </c>
      <c r="R28" s="54" t="s">
        <v>183</v>
      </c>
      <c r="S28" s="54" t="s">
        <v>184</v>
      </c>
      <c r="T28" s="54" t="s">
        <v>185</v>
      </c>
      <c r="U28" s="55" t="s">
        <v>186</v>
      </c>
      <c r="V28" s="74"/>
      <c r="W28" s="74"/>
      <c r="X28" s="215"/>
      <c r="AE28" s="69"/>
      <c r="AF28" s="69"/>
    </row>
    <row r="29" spans="2:32" ht="36.75" customHeight="1" thickTop="1" x14ac:dyDescent="0.3">
      <c r="B29" s="68"/>
      <c r="C29" s="889" t="s">
        <v>80</v>
      </c>
      <c r="D29" s="889"/>
      <c r="E29" s="889"/>
      <c r="F29" s="122" t="s">
        <v>85</v>
      </c>
      <c r="G29" s="125">
        <f>SUM(J7:J18)</f>
        <v>-5.2172774930315481E-3</v>
      </c>
      <c r="J29" s="86"/>
      <c r="K29" s="333"/>
      <c r="L29" s="86"/>
      <c r="M29" s="303"/>
      <c r="N29" s="36">
        <v>1</v>
      </c>
      <c r="O29" s="79">
        <f>N29/($G$20+1)</f>
        <v>8.3333333333333329E-2</v>
      </c>
      <c r="P29" s="200">
        <f>G7</f>
        <v>172</v>
      </c>
      <c r="Q29" s="163">
        <f>$N$29-O29</f>
        <v>0.91666666666666663</v>
      </c>
      <c r="R29" s="163">
        <f>(H7-$G$26)/$G$28</f>
        <v>1.4706571431384066</v>
      </c>
      <c r="S29" s="163">
        <f>1-FORECAST(R29,Z_SCORE!G52:G53,Z_SCORE!A52:A53)</f>
        <v>6.4373247392125355E-2</v>
      </c>
      <c r="T29" s="163">
        <f>$N$29-S29</f>
        <v>0.93562675260787465</v>
      </c>
      <c r="U29" s="285">
        <f>ABS(O29-S29)</f>
        <v>1.8960085941207974E-2</v>
      </c>
      <c r="V29" s="74"/>
      <c r="W29" s="74"/>
      <c r="X29" s="870" t="s">
        <v>135</v>
      </c>
      <c r="Y29" s="871"/>
      <c r="Z29" s="208" t="s">
        <v>130</v>
      </c>
      <c r="AA29" s="290">
        <f>ROUNDUP(1+1.33*LN(G20),0)</f>
        <v>5</v>
      </c>
      <c r="AB29" s="872" t="s">
        <v>133</v>
      </c>
      <c r="AC29" s="871"/>
      <c r="AD29" s="208" t="s">
        <v>118</v>
      </c>
      <c r="AE29" s="231">
        <f>G20/AA29</f>
        <v>2.2000000000000002</v>
      </c>
      <c r="AF29" s="69"/>
    </row>
    <row r="30" spans="2:32" x14ac:dyDescent="0.3">
      <c r="B30" s="68"/>
      <c r="C30" s="890" t="s">
        <v>81</v>
      </c>
      <c r="D30" s="890"/>
      <c r="E30" s="890"/>
      <c r="F30" s="122" t="s">
        <v>45</v>
      </c>
      <c r="G30" s="57">
        <f>SKEW(H7:H18)</f>
        <v>-0.52661995897061831</v>
      </c>
      <c r="J30" s="86"/>
      <c r="K30" s="333"/>
      <c r="L30" s="86"/>
      <c r="M30" s="303"/>
      <c r="N30" s="40">
        <v>2</v>
      </c>
      <c r="O30" s="57">
        <f t="shared" ref="O30:O39" si="29">N30/($G$20+1)</f>
        <v>0.16666666666666666</v>
      </c>
      <c r="P30" s="200">
        <f t="shared" ref="P30:P39" si="30">G8</f>
        <v>155</v>
      </c>
      <c r="Q30" s="169">
        <f t="shared" ref="Q30:Q39" si="31">$N$29-O30</f>
        <v>0.83333333333333337</v>
      </c>
      <c r="R30" s="163">
        <f t="shared" ref="R30:R39" si="32">(H8-$G$26)/$G$28</f>
        <v>1.0466157406326424</v>
      </c>
      <c r="S30" s="163">
        <f>1-FORECAST(R30,Z_SCORE!G48:G49,Z_SCORE!A48:A49)</f>
        <v>0.13670282858836624</v>
      </c>
      <c r="T30" s="163">
        <f t="shared" ref="T30:T39" si="33">$N$29-S30</f>
        <v>0.86329717141163376</v>
      </c>
      <c r="U30" s="285">
        <f t="shared" ref="U30:U39" si="34">ABS(O30-S30)</f>
        <v>2.9963838078300414E-2</v>
      </c>
      <c r="V30" s="74"/>
      <c r="W30" s="74"/>
      <c r="X30" s="870" t="s">
        <v>134</v>
      </c>
      <c r="Y30" s="871"/>
      <c r="Z30" s="208" t="s">
        <v>131</v>
      </c>
      <c r="AA30" s="385">
        <f>AA29-(2+1)</f>
        <v>2</v>
      </c>
      <c r="AB30" s="229" t="s">
        <v>138</v>
      </c>
      <c r="AC30" s="230"/>
      <c r="AD30" s="208" t="s">
        <v>137</v>
      </c>
      <c r="AE30" s="41">
        <f>ROUND((G23-G24)/(AA29-1),0)</f>
        <v>25</v>
      </c>
      <c r="AF30" s="69"/>
    </row>
    <row r="31" spans="2:32" ht="16.2" thickBot="1" x14ac:dyDescent="0.4">
      <c r="B31" s="68"/>
      <c r="K31" s="69"/>
      <c r="M31" s="303"/>
      <c r="N31" s="40">
        <v>3</v>
      </c>
      <c r="O31" s="57">
        <f t="shared" si="29"/>
        <v>0.25</v>
      </c>
      <c r="P31" s="200">
        <f t="shared" si="30"/>
        <v>141</v>
      </c>
      <c r="Q31" s="169">
        <f t="shared" si="31"/>
        <v>0.75</v>
      </c>
      <c r="R31" s="163">
        <f t="shared" si="32"/>
        <v>0.66089245501032279</v>
      </c>
      <c r="S31" s="163">
        <f>1-FORECAST(R31,Z_SCORE!G44:G45,Z_SCORE!A44:A45)</f>
        <v>0.23883598447032728</v>
      </c>
      <c r="T31" s="163">
        <f t="shared" si="33"/>
        <v>0.76116401552967272</v>
      </c>
      <c r="U31" s="285">
        <f t="shared" si="34"/>
        <v>1.1164015529672722E-2</v>
      </c>
      <c r="V31" s="74"/>
      <c r="W31" s="74"/>
      <c r="X31" s="873" t="s">
        <v>144</v>
      </c>
      <c r="Y31" s="874"/>
      <c r="Z31" s="289">
        <v>0.05</v>
      </c>
      <c r="AA31" s="232">
        <f>IF(Z31='Tabel Alfa Chi Square'!C5,2,IF(Z31='Tabel Alfa Chi Square'!D5,3,IF(Z31='Tabel Alfa Chi Square'!E5,4,IF(Z31='Tabel Alfa Chi Square'!F5,5,IF(Z31='Tabel Alfa Chi Square'!G5,6,IF(Z31='Tabel Alfa Chi Square'!H5,7,IF(Z31='Tabel Alfa Chi Square'!I5,8,IF(Z31='Tabel Alfa Chi Square'!J5,9))))))))</f>
        <v>6</v>
      </c>
      <c r="AB31" s="229" t="s">
        <v>139</v>
      </c>
      <c r="AC31" s="230"/>
      <c r="AD31" s="208" t="s">
        <v>125</v>
      </c>
      <c r="AE31" s="41">
        <f>ROUND(G24-0.5*AE30,0)</f>
        <v>62</v>
      </c>
      <c r="AF31" s="69"/>
    </row>
    <row r="32" spans="2:32" ht="16.2" thickBot="1" x14ac:dyDescent="0.4">
      <c r="B32" s="68"/>
      <c r="D32" s="61" t="s">
        <v>23</v>
      </c>
      <c r="E32" s="62" t="s">
        <v>61</v>
      </c>
      <c r="F32" s="164" t="s">
        <v>87</v>
      </c>
      <c r="G32" s="63" t="s">
        <v>203</v>
      </c>
      <c r="K32" s="69"/>
      <c r="M32" s="303"/>
      <c r="N32" s="40">
        <v>4</v>
      </c>
      <c r="O32" s="57">
        <f t="shared" si="29"/>
        <v>0.33333333333333331</v>
      </c>
      <c r="P32" s="200">
        <f t="shared" si="30"/>
        <v>139</v>
      </c>
      <c r="Q32" s="169">
        <f t="shared" si="31"/>
        <v>0.66666666666666674</v>
      </c>
      <c r="R32" s="163">
        <f t="shared" si="32"/>
        <v>0.60268284025420771</v>
      </c>
      <c r="S32" s="163">
        <f>1-FORECAST(R32,Z_SCORE!G44:G45,Z_SCORE!A44:A45)</f>
        <v>0.25700844410103885</v>
      </c>
      <c r="T32" s="163">
        <f t="shared" si="33"/>
        <v>0.74299155589896115</v>
      </c>
      <c r="U32" s="285">
        <f t="shared" si="34"/>
        <v>7.6324889232294468E-2</v>
      </c>
      <c r="V32" s="74"/>
      <c r="W32" s="74"/>
      <c r="X32" s="870" t="s">
        <v>132</v>
      </c>
      <c r="Y32" s="871"/>
      <c r="Z32" s="204" t="s">
        <v>112</v>
      </c>
      <c r="AA32" s="38">
        <f>VLOOKUP(AA30,'Tabel Alfa Chi Square'!$B$7:$J$36,AA31,FALSE)</f>
        <v>5.9909999999999997</v>
      </c>
      <c r="AB32" s="229" t="s">
        <v>140</v>
      </c>
      <c r="AC32" s="230"/>
      <c r="AD32" s="208" t="s">
        <v>126</v>
      </c>
      <c r="AE32" s="41">
        <f>ROUND(G23+0.5*AE30,0)</f>
        <v>185</v>
      </c>
      <c r="AF32" s="69"/>
    </row>
    <row r="33" spans="2:33" ht="15" thickTop="1" x14ac:dyDescent="0.3">
      <c r="B33" s="68"/>
      <c r="D33" s="36">
        <v>2</v>
      </c>
      <c r="E33" s="163">
        <f>P49</f>
        <v>8.3000000000000004E-2</v>
      </c>
      <c r="F33" s="167">
        <f t="shared" ref="F33:F40" si="35">$G$26+E33*$G$28</f>
        <v>2.0876240421459538</v>
      </c>
      <c r="G33" s="60">
        <f>10^(F33)</f>
        <v>122.3556538424686</v>
      </c>
      <c r="K33" s="69"/>
      <c r="M33" s="303"/>
      <c r="N33" s="40">
        <v>5</v>
      </c>
      <c r="O33" s="57">
        <f t="shared" si="29"/>
        <v>0.41666666666666669</v>
      </c>
      <c r="P33" s="200">
        <f t="shared" si="30"/>
        <v>134</v>
      </c>
      <c r="Q33" s="169">
        <f t="shared" si="31"/>
        <v>0.58333333333333326</v>
      </c>
      <c r="R33" s="163">
        <f t="shared" si="32"/>
        <v>0.45341326437780533</v>
      </c>
      <c r="S33" s="163">
        <f>1-FORECAST(R33,Z_SCORE!G42:G43,Z_SCORE!A42:A43)</f>
        <v>0.30755620160223152</v>
      </c>
      <c r="T33" s="163">
        <f t="shared" si="33"/>
        <v>0.69244379839776848</v>
      </c>
      <c r="U33" s="285">
        <f t="shared" si="34"/>
        <v>0.10911046506443517</v>
      </c>
      <c r="V33" s="74"/>
      <c r="W33" s="74"/>
      <c r="X33" s="68"/>
      <c r="AE33" s="69"/>
      <c r="AF33" s="69"/>
    </row>
    <row r="34" spans="2:33" ht="16.8" thickBot="1" x14ac:dyDescent="0.35">
      <c r="B34" s="68"/>
      <c r="D34" s="40">
        <v>5</v>
      </c>
      <c r="E34" s="163">
        <f>Q49</f>
        <v>0.85599999999999998</v>
      </c>
      <c r="F34" s="167">
        <f t="shared" si="35"/>
        <v>2.1700147864634856</v>
      </c>
      <c r="G34" s="60">
        <f t="shared" ref="G34:G40" si="36">10^(F34)</f>
        <v>147.9158748362515</v>
      </c>
      <c r="K34" s="69"/>
      <c r="M34" s="303"/>
      <c r="N34" s="40">
        <v>6</v>
      </c>
      <c r="O34" s="57">
        <f t="shared" si="29"/>
        <v>0.5</v>
      </c>
      <c r="P34" s="200">
        <f t="shared" si="30"/>
        <v>121</v>
      </c>
      <c r="Q34" s="169">
        <f t="shared" si="31"/>
        <v>0.5</v>
      </c>
      <c r="R34" s="163">
        <f t="shared" si="32"/>
        <v>3.7602991450212939E-2</v>
      </c>
      <c r="S34" s="163">
        <f>1-FORECAST(R34,Z_SCORE!G38:G39,Z_SCORE!A38:A39)</f>
        <v>0.46514050902247006</v>
      </c>
      <c r="T34" s="163">
        <f t="shared" si="33"/>
        <v>0.53485949097752994</v>
      </c>
      <c r="U34" s="285">
        <f t="shared" si="34"/>
        <v>3.4859490977529939E-2</v>
      </c>
      <c r="V34" s="74"/>
      <c r="W34" s="74"/>
      <c r="X34" s="216" t="s">
        <v>114</v>
      </c>
      <c r="Y34" s="214" t="s">
        <v>115</v>
      </c>
      <c r="Z34" s="214" t="s">
        <v>116</v>
      </c>
      <c r="AA34" s="214" t="s">
        <v>117</v>
      </c>
      <c r="AB34" s="214" t="s">
        <v>118</v>
      </c>
      <c r="AC34" s="214" t="s">
        <v>119</v>
      </c>
      <c r="AD34" s="214" t="s">
        <v>120</v>
      </c>
      <c r="AE34" s="217" t="s">
        <v>143</v>
      </c>
      <c r="AF34" s="69"/>
    </row>
    <row r="35" spans="2:33" ht="15" thickTop="1" x14ac:dyDescent="0.3">
      <c r="B35" s="68"/>
      <c r="D35" s="40">
        <v>10</v>
      </c>
      <c r="E35" s="163">
        <f>R49</f>
        <v>1.216</v>
      </c>
      <c r="F35" s="167">
        <f t="shared" si="35"/>
        <v>2.2083856376333579</v>
      </c>
      <c r="G35" s="60">
        <f t="shared" si="36"/>
        <v>161.57926848781858</v>
      </c>
      <c r="K35" s="69"/>
      <c r="M35" s="303"/>
      <c r="N35" s="40">
        <v>7</v>
      </c>
      <c r="O35" s="57">
        <f t="shared" si="29"/>
        <v>0.58333333333333337</v>
      </c>
      <c r="P35" s="200">
        <f t="shared" si="30"/>
        <v>119</v>
      </c>
      <c r="Q35" s="169">
        <f t="shared" si="31"/>
        <v>0.41666666666666663</v>
      </c>
      <c r="R35" s="163">
        <f t="shared" si="32"/>
        <v>-3.0308642854555975E-2</v>
      </c>
      <c r="S35" s="163">
        <f>1-FORECAST(R35,Z_SCORE!G36:G37,Z_SCORE!A36:A37)</f>
        <v>0.53193253121325856</v>
      </c>
      <c r="T35" s="163">
        <f t="shared" si="33"/>
        <v>0.46806746878674144</v>
      </c>
      <c r="U35" s="285">
        <f t="shared" si="34"/>
        <v>5.1400802120074807E-2</v>
      </c>
      <c r="V35" s="74"/>
      <c r="W35" s="74"/>
      <c r="X35" s="218">
        <v>1</v>
      </c>
      <c r="Y35" s="211">
        <f>AE31</f>
        <v>62</v>
      </c>
      <c r="Z35" s="211">
        <f>Y35+AE30</f>
        <v>87</v>
      </c>
      <c r="AA35" s="211" t="str">
        <f>ROUND(Y35,0)&amp;" &lt;= P &lt;= " &amp; ROUND(Z35,0)</f>
        <v>62 &lt;= P &lt;= 87</v>
      </c>
      <c r="AB35" s="212">
        <f>$AE$29</f>
        <v>2.2000000000000002</v>
      </c>
      <c r="AC35" s="38">
        <f>COUNTIFS($F$7:$F$17,"&gt;" &amp;Y35,$F$7:$F$17,"&lt;=" &amp;Z35)</f>
        <v>1</v>
      </c>
      <c r="AD35" s="213">
        <f>AB35-AC35</f>
        <v>1.2000000000000002</v>
      </c>
      <c r="AE35" s="219">
        <f>AD35^2/AB35</f>
        <v>0.65454545454545465</v>
      </c>
      <c r="AF35" s="69"/>
    </row>
    <row r="36" spans="2:33" x14ac:dyDescent="0.3">
      <c r="B36" s="68"/>
      <c r="D36" s="40">
        <v>25</v>
      </c>
      <c r="E36" s="163">
        <f>S49</f>
        <v>1.5669999999999999</v>
      </c>
      <c r="F36" s="167">
        <f t="shared" si="35"/>
        <v>2.2457972175239833</v>
      </c>
      <c r="G36" s="60">
        <f t="shared" si="36"/>
        <v>176.11535297143615</v>
      </c>
      <c r="K36" s="69"/>
      <c r="M36" s="303"/>
      <c r="N36" s="40">
        <v>8</v>
      </c>
      <c r="O36" s="57">
        <f t="shared" si="29"/>
        <v>0.66666666666666663</v>
      </c>
      <c r="P36" s="200">
        <f t="shared" si="30"/>
        <v>106</v>
      </c>
      <c r="Q36" s="169">
        <f t="shared" si="31"/>
        <v>0.33333333333333337</v>
      </c>
      <c r="R36" s="163">
        <f t="shared" si="32"/>
        <v>-0.50167672707873001</v>
      </c>
      <c r="S36" s="163">
        <f>1-FORECAST(R36,Z_SCORE!G31:G32,Z_SCORE!A31:A32)</f>
        <v>0.70936002684429578</v>
      </c>
      <c r="T36" s="163">
        <f t="shared" si="33"/>
        <v>0.29063997315570422</v>
      </c>
      <c r="U36" s="285">
        <f t="shared" si="34"/>
        <v>4.2693360177629147E-2</v>
      </c>
      <c r="V36" s="74"/>
      <c r="W36" s="74"/>
      <c r="X36" s="220">
        <v>2</v>
      </c>
      <c r="Y36" s="210">
        <f>Z35</f>
        <v>87</v>
      </c>
      <c r="Z36" s="210">
        <f>Y36+$AE$30</f>
        <v>112</v>
      </c>
      <c r="AA36" s="210" t="str">
        <f>ROUND(Y36,0)&amp;" &lt; P &lt;= " &amp; ROUND(Z36,0)</f>
        <v>87 &lt; P &lt;= 112</v>
      </c>
      <c r="AB36" s="212">
        <f t="shared" ref="AB36:AB39" si="37">$AE$29</f>
        <v>2.2000000000000002</v>
      </c>
      <c r="AC36" s="38">
        <f>COUNTIFS($F$7:$F$17,"&gt;" &amp;Y36,$F$7:$F$17,"&lt;=" &amp;Z36)</f>
        <v>3</v>
      </c>
      <c r="AD36" s="123">
        <f t="shared" ref="AD36:AD39" si="38">AB36-AC36</f>
        <v>-0.79999999999999982</v>
      </c>
      <c r="AE36" s="221">
        <f t="shared" ref="AE36:AE39" si="39">AD36^2/AB36</f>
        <v>0.29090909090909073</v>
      </c>
      <c r="AF36" s="69"/>
    </row>
    <row r="37" spans="2:33" x14ac:dyDescent="0.3">
      <c r="B37" s="68"/>
      <c r="D37" s="40">
        <v>50</v>
      </c>
      <c r="E37" s="163">
        <f>T49</f>
        <v>1.77</v>
      </c>
      <c r="F37" s="167">
        <f t="shared" si="35"/>
        <v>2.2674341141558836</v>
      </c>
      <c r="G37" s="60">
        <f t="shared" si="36"/>
        <v>185.11180439256572</v>
      </c>
      <c r="K37" s="69"/>
      <c r="M37" s="303"/>
      <c r="N37" s="40">
        <v>9</v>
      </c>
      <c r="O37" s="57">
        <f t="shared" si="29"/>
        <v>0.75</v>
      </c>
      <c r="P37" s="200">
        <f t="shared" si="30"/>
        <v>100</v>
      </c>
      <c r="Q37" s="169">
        <f t="shared" si="31"/>
        <v>0.25</v>
      </c>
      <c r="R37" s="163">
        <f t="shared" si="32"/>
        <v>-0.73909943774484954</v>
      </c>
      <c r="S37" s="163">
        <f>1-FORECAST(R37,Z_SCORE!G29:G30,Z_SCORE!A29:A30)</f>
        <v>0.7846997375082615</v>
      </c>
      <c r="T37" s="163">
        <f t="shared" si="33"/>
        <v>0.2153002624917385</v>
      </c>
      <c r="U37" s="285">
        <f t="shared" si="34"/>
        <v>3.4699737508261497E-2</v>
      </c>
      <c r="V37" s="74"/>
      <c r="W37" s="74"/>
      <c r="X37" s="220">
        <v>3</v>
      </c>
      <c r="Y37" s="210">
        <f t="shared" ref="Y37:Y39" si="40">Z36</f>
        <v>112</v>
      </c>
      <c r="Z37" s="210">
        <f t="shared" ref="Z37:Z39" si="41">Y37+$AE$30</f>
        <v>137</v>
      </c>
      <c r="AA37" s="210" t="str">
        <f>ROUND(Y37,0)&amp;" &lt; P &lt;= " &amp; ROUND(Z37,0)</f>
        <v>112 &lt; P &lt;= 137</v>
      </c>
      <c r="AB37" s="212">
        <f t="shared" si="37"/>
        <v>2.2000000000000002</v>
      </c>
      <c r="AC37" s="38">
        <f>COUNTIFS($F$7:$F$17,"&gt;" &amp;Y37,$F$7:$F$17,"&lt;=" &amp;Z37)</f>
        <v>3</v>
      </c>
      <c r="AD37" s="123">
        <f t="shared" si="38"/>
        <v>-0.79999999999999982</v>
      </c>
      <c r="AE37" s="221">
        <f t="shared" si="39"/>
        <v>0.29090909090909073</v>
      </c>
      <c r="AF37" s="69"/>
    </row>
    <row r="38" spans="2:33" x14ac:dyDescent="0.3">
      <c r="B38" s="68"/>
      <c r="D38" s="40">
        <v>100</v>
      </c>
      <c r="E38" s="163">
        <f>U49</f>
        <v>1.9550000000000001</v>
      </c>
      <c r="F38" s="167">
        <f t="shared" si="35"/>
        <v>2.2871524682292903</v>
      </c>
      <c r="G38" s="60">
        <f t="shared" si="36"/>
        <v>193.71019050280165</v>
      </c>
      <c r="K38" s="69"/>
      <c r="M38" s="303"/>
      <c r="N38" s="304">
        <v>10</v>
      </c>
      <c r="O38" s="305">
        <f t="shared" si="29"/>
        <v>0.83333333333333337</v>
      </c>
      <c r="P38" s="200">
        <f t="shared" si="30"/>
        <v>93</v>
      </c>
      <c r="Q38" s="308">
        <f t="shared" si="31"/>
        <v>0.16666666666666663</v>
      </c>
      <c r="R38" s="163">
        <f t="shared" si="32"/>
        <v>-1.034796253808498</v>
      </c>
      <c r="S38" s="163">
        <f>1-FORECAST(R38,Z_SCORE!G27:G28,Z_SCORE!A26:A27)</f>
        <v>0.83732069342165649</v>
      </c>
      <c r="T38" s="163">
        <f t="shared" si="33"/>
        <v>0.16267930657834351</v>
      </c>
      <c r="U38" s="285">
        <f t="shared" si="34"/>
        <v>3.9873600883231219E-3</v>
      </c>
      <c r="V38" s="74"/>
      <c r="W38" s="74"/>
      <c r="X38" s="220">
        <v>4</v>
      </c>
      <c r="Y38" s="210">
        <f t="shared" si="40"/>
        <v>137</v>
      </c>
      <c r="Z38" s="210">
        <f t="shared" si="41"/>
        <v>162</v>
      </c>
      <c r="AA38" s="210" t="str">
        <f>ROUND(Y38,0)&amp;" &lt; P &lt;= " &amp; ROUND(Z38,0)</f>
        <v>137 &lt; P &lt;= 162</v>
      </c>
      <c r="AB38" s="212">
        <f t="shared" si="37"/>
        <v>2.2000000000000002</v>
      </c>
      <c r="AC38" s="38">
        <f>COUNTIFS($F$7:$F$17,"&gt;" &amp;Y38,$F$7:$F$17,"&lt;=" &amp;Z38)</f>
        <v>3</v>
      </c>
      <c r="AD38" s="123">
        <f t="shared" si="38"/>
        <v>-0.79999999999999982</v>
      </c>
      <c r="AE38" s="221">
        <f t="shared" si="39"/>
        <v>0.29090909090909073</v>
      </c>
      <c r="AF38" s="69"/>
    </row>
    <row r="39" spans="2:33" ht="15" thickBot="1" x14ac:dyDescent="0.35">
      <c r="B39" s="68"/>
      <c r="D39" s="40">
        <v>200</v>
      </c>
      <c r="E39" s="163">
        <f>V49</f>
        <v>2.1080000000000001</v>
      </c>
      <c r="F39" s="167">
        <f t="shared" si="35"/>
        <v>2.3034600799764862</v>
      </c>
      <c r="G39" s="60">
        <f t="shared" si="36"/>
        <v>201.12223196547632</v>
      </c>
      <c r="K39" s="69"/>
      <c r="M39" s="303"/>
      <c r="N39" s="310">
        <v>11</v>
      </c>
      <c r="O39" s="311">
        <f t="shared" si="29"/>
        <v>0.91666666666666663</v>
      </c>
      <c r="P39" s="200">
        <f t="shared" si="30"/>
        <v>74</v>
      </c>
      <c r="Q39" s="311">
        <f t="shared" si="31"/>
        <v>8.333333333333337E-2</v>
      </c>
      <c r="R39" s="163">
        <f t="shared" si="32"/>
        <v>-1.9659833733769998</v>
      </c>
      <c r="S39" s="163">
        <f>1-FORECAST(R39,Z_SCORE!G17:G18,Z_SCORE!A17:A18)</f>
        <v>0.97796310216235793</v>
      </c>
      <c r="T39" s="163">
        <f t="shared" si="33"/>
        <v>2.2036897837642067E-2</v>
      </c>
      <c r="U39" s="285">
        <f t="shared" si="34"/>
        <v>6.1296435495691304E-2</v>
      </c>
      <c r="V39" s="74"/>
      <c r="W39" s="74"/>
      <c r="X39" s="220">
        <v>5</v>
      </c>
      <c r="Y39" s="210">
        <f t="shared" si="40"/>
        <v>162</v>
      </c>
      <c r="Z39" s="210">
        <f t="shared" si="41"/>
        <v>187</v>
      </c>
      <c r="AA39" s="210" t="str">
        <f>ROUND(Y39,0)&amp;" &lt; P &lt;= " &amp; ROUND(Z39,0)</f>
        <v>162 &lt; P &lt;= 187</v>
      </c>
      <c r="AB39" s="212">
        <f t="shared" si="37"/>
        <v>2.2000000000000002</v>
      </c>
      <c r="AC39" s="38">
        <f>COUNTIFS($F$7:$F$17,"&gt;" &amp;Y39,$F$7:$F$17,"&lt;=" &amp;Z39)</f>
        <v>1</v>
      </c>
      <c r="AD39" s="123">
        <f t="shared" si="38"/>
        <v>1.2000000000000002</v>
      </c>
      <c r="AE39" s="221">
        <f t="shared" si="39"/>
        <v>0.65454545454545465</v>
      </c>
      <c r="AF39" s="69"/>
    </row>
    <row r="40" spans="2:33" ht="15" thickBot="1" x14ac:dyDescent="0.35">
      <c r="B40" s="68"/>
      <c r="D40" s="42">
        <v>1000</v>
      </c>
      <c r="E40" s="195">
        <f>W49</f>
        <v>2.4</v>
      </c>
      <c r="F40" s="168">
        <f t="shared" si="35"/>
        <v>2.3345831037031606</v>
      </c>
      <c r="G40" s="194">
        <f t="shared" si="36"/>
        <v>216.06434415766256</v>
      </c>
      <c r="K40" s="69"/>
      <c r="M40" s="68"/>
      <c r="N40" s="74"/>
      <c r="O40" s="74"/>
      <c r="P40" s="74"/>
      <c r="Q40" s="74"/>
      <c r="R40" s="74"/>
      <c r="S40" s="74"/>
      <c r="T40" s="312" t="s">
        <v>187</v>
      </c>
      <c r="U40" s="313">
        <f>ROUND(MAX(U29:U39),3)</f>
        <v>0.109</v>
      </c>
      <c r="V40" s="74"/>
      <c r="W40" s="74"/>
      <c r="X40" s="220"/>
      <c r="Y40" s="210"/>
      <c r="Z40" s="210"/>
      <c r="AA40" s="210"/>
      <c r="AB40" s="210"/>
      <c r="AC40" s="210"/>
      <c r="AD40" s="210"/>
      <c r="AE40" s="222"/>
      <c r="AF40" s="69"/>
    </row>
    <row r="41" spans="2:33" ht="15" thickBot="1" x14ac:dyDescent="0.35">
      <c r="B41" s="70"/>
      <c r="C41" s="71"/>
      <c r="D41" s="71"/>
      <c r="E41" s="71"/>
      <c r="F41" s="71"/>
      <c r="G41" s="71"/>
      <c r="H41" s="71"/>
      <c r="I41" s="71"/>
      <c r="J41" s="71"/>
      <c r="K41" s="72"/>
      <c r="M41" s="68"/>
      <c r="N41" s="74" t="s">
        <v>189</v>
      </c>
      <c r="O41" s="74"/>
      <c r="P41" s="314">
        <v>0.05</v>
      </c>
      <c r="Q41" s="327">
        <f>IF(P41=0.2,2,IF(P41=0.1,3,IF(P41=0.05,4,IF(P41=0.01,5))))</f>
        <v>4</v>
      </c>
      <c r="S41" s="74"/>
      <c r="T41" s="74"/>
      <c r="U41" s="74"/>
      <c r="V41" s="74"/>
      <c r="W41" s="74"/>
      <c r="X41" s="223"/>
      <c r="Y41" s="224"/>
      <c r="Z41" s="224"/>
      <c r="AA41" s="224"/>
      <c r="AB41" s="224"/>
      <c r="AC41" s="224"/>
      <c r="AD41" s="224"/>
      <c r="AE41" s="225"/>
      <c r="AF41" s="69"/>
    </row>
    <row r="42" spans="2:33" ht="17.399999999999999" thickTop="1" thickBot="1" x14ac:dyDescent="0.35">
      <c r="M42" s="68"/>
      <c r="N42" s="74" t="s">
        <v>190</v>
      </c>
      <c r="O42" s="74"/>
      <c r="P42" s="74">
        <f>VLOOKUP(G20,'Tabel Do Smirnov-Kolmogorov'!$B$6:$F$49,'RTr Normal'!O41,FALSE)</f>
        <v>0.39100000000000001</v>
      </c>
      <c r="Q42" s="74"/>
      <c r="S42" s="74"/>
      <c r="T42" s="74"/>
      <c r="U42" s="74"/>
      <c r="V42" s="74"/>
      <c r="W42" s="74"/>
      <c r="X42" s="853" t="s">
        <v>122</v>
      </c>
      <c r="Y42" s="854"/>
      <c r="Z42" s="226"/>
      <c r="AA42" s="226"/>
      <c r="AB42" s="269">
        <f>SUM(AB35:AB41)</f>
        <v>11</v>
      </c>
      <c r="AC42" s="269">
        <f>SUM(AC35:AC41)</f>
        <v>11</v>
      </c>
      <c r="AD42" s="227" t="s">
        <v>123</v>
      </c>
      <c r="AE42" s="228">
        <f>SUM(AE35:AE41)</f>
        <v>2.1818181818181817</v>
      </c>
      <c r="AF42" s="69"/>
    </row>
    <row r="43" spans="2:33" x14ac:dyDescent="0.3">
      <c r="M43" s="68"/>
      <c r="N43" s="74" t="str">
        <f>"Nilai D max = " &amp;U40 &amp; ", maka uji ini:"</f>
        <v>Nilai D max = 0.109, maka uji ini:</v>
      </c>
      <c r="O43" s="74"/>
      <c r="P43" s="328" t="str">
        <f>IF(U40&lt;P42,"MEMENUHI SYARAT","TIDAK MEMENUHI SYARAT")</f>
        <v>MEMENUHI SYARAT</v>
      </c>
      <c r="Q43" s="74"/>
      <c r="S43" s="74"/>
      <c r="T43" s="74"/>
      <c r="U43" s="74"/>
      <c r="V43" s="74"/>
      <c r="W43" s="74"/>
      <c r="AF43" s="69"/>
    </row>
    <row r="44" spans="2:33" ht="16.2" x14ac:dyDescent="0.3">
      <c r="M44" s="68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t="s">
        <v>136</v>
      </c>
      <c r="Y44" s="82">
        <f>AE42</f>
        <v>2.1818181818181817</v>
      </c>
      <c r="Z44" t="s">
        <v>121</v>
      </c>
      <c r="AA44" s="209" t="str">
        <f>IF(Y44&lt;AA32,"MEMENUHI SYARAT","TIDAK MEMENUHI SYARAT")</f>
        <v>MEMENUHI SYARAT</v>
      </c>
      <c r="AC44"/>
      <c r="AF44" s="69"/>
    </row>
    <row r="45" spans="2:33" x14ac:dyDescent="0.3">
      <c r="M45" s="68"/>
      <c r="AF45" s="69"/>
    </row>
    <row r="46" spans="2:33" x14ac:dyDescent="0.3">
      <c r="M46" s="68"/>
      <c r="O46" s="74" t="s">
        <v>71</v>
      </c>
      <c r="AG46" s="68"/>
    </row>
    <row r="47" spans="2:33" x14ac:dyDescent="0.3">
      <c r="M47" s="68"/>
      <c r="P47" s="1">
        <v>2</v>
      </c>
      <c r="Q47" s="1">
        <v>5</v>
      </c>
      <c r="R47" s="1">
        <v>10</v>
      </c>
      <c r="S47" s="1">
        <v>25</v>
      </c>
      <c r="T47" s="1">
        <v>50</v>
      </c>
      <c r="U47" s="1">
        <v>100</v>
      </c>
      <c r="V47" s="1">
        <v>200</v>
      </c>
      <c r="W47" s="1">
        <v>1000</v>
      </c>
      <c r="AG47" s="68"/>
    </row>
    <row r="48" spans="2:33" x14ac:dyDescent="0.3">
      <c r="M48" s="68"/>
      <c r="N48" s="207" t="s">
        <v>111</v>
      </c>
      <c r="O48" s="288">
        <f>ROUNDUP(O49,1)</f>
        <v>-0.6</v>
      </c>
      <c r="P48" s="162">
        <f>VLOOKUP($O$48,'Tabel KTr Pearson'!$D$13:$N$73,P52)</f>
        <v>9.9000000000000005E-2</v>
      </c>
      <c r="Q48" s="162">
        <f>VLOOKUP($O$48,'Tabel KTr Pearson'!$D$13:$N$73,Q52)</f>
        <v>0.85699999999999998</v>
      </c>
      <c r="R48" s="162">
        <f>VLOOKUP($O$48,'Tabel KTr Pearson'!$D$13:$N$73,R52)</f>
        <v>1.2</v>
      </c>
      <c r="S48" s="162">
        <f>VLOOKUP($O$48,'Tabel KTr Pearson'!$D$13:$N$73,S52)</f>
        <v>1.528</v>
      </c>
      <c r="T48" s="162">
        <f>VLOOKUP($O$48,'Tabel KTr Pearson'!$D$13:$N$73,T52)</f>
        <v>1.72</v>
      </c>
      <c r="U48" s="162">
        <f>VLOOKUP($O$48,'Tabel KTr Pearson'!$D$13:$N$73,U52)</f>
        <v>1.88</v>
      </c>
      <c r="V48" s="162">
        <f>VLOOKUP($O$48,'Tabel KTr Pearson'!$D$13:$N$73,V52)</f>
        <v>2.016</v>
      </c>
      <c r="W48" s="162">
        <f>VLOOKUP($O$48,'Tabel KTr Pearson'!$D$13:$N$73,W52)</f>
        <v>2.2749999999999999</v>
      </c>
      <c r="AG48" s="68"/>
    </row>
    <row r="49" spans="13:33" x14ac:dyDescent="0.3">
      <c r="M49" s="68"/>
      <c r="O49" s="77">
        <f>G30</f>
        <v>-0.52661995897061831</v>
      </c>
      <c r="P49" s="206">
        <f t="shared" ref="P49:W49" si="42">P48-(($O$48-$O$50)*((P48-P50)/($O$48-$O$50)))</f>
        <v>8.3000000000000004E-2</v>
      </c>
      <c r="Q49" s="206">
        <f t="shared" si="42"/>
        <v>0.85599999999999998</v>
      </c>
      <c r="R49" s="206">
        <f t="shared" si="42"/>
        <v>1.216</v>
      </c>
      <c r="S49" s="206">
        <f t="shared" si="42"/>
        <v>1.5669999999999999</v>
      </c>
      <c r="T49" s="206">
        <f t="shared" si="42"/>
        <v>1.77</v>
      </c>
      <c r="U49" s="206">
        <f t="shared" si="42"/>
        <v>1.9550000000000001</v>
      </c>
      <c r="V49" s="206">
        <f t="shared" si="42"/>
        <v>2.1080000000000001</v>
      </c>
      <c r="W49" s="206">
        <f t="shared" si="42"/>
        <v>2.4</v>
      </c>
      <c r="AG49" s="68"/>
    </row>
    <row r="50" spans="13:33" x14ac:dyDescent="0.3">
      <c r="M50" s="68"/>
      <c r="N50" s="207" t="s">
        <v>110</v>
      </c>
      <c r="O50" s="288">
        <f>ROUNDDOWN(O49,1)</f>
        <v>-0.5</v>
      </c>
      <c r="P50" s="162">
        <f>VLOOKUP($O$50,'Tabel KTr Pearson'!$D$13:$N$73,P52)</f>
        <v>8.3000000000000004E-2</v>
      </c>
      <c r="Q50" s="162">
        <f>VLOOKUP($O$50,'Tabel KTr Pearson'!$D$13:$N$73,Q52)</f>
        <v>0.85599999999999998</v>
      </c>
      <c r="R50" s="162">
        <f>VLOOKUP($O$50,'Tabel KTr Pearson'!$D$13:$N$73,R52)</f>
        <v>1.216</v>
      </c>
      <c r="S50" s="162">
        <f>VLOOKUP($O$50,'Tabel KTr Pearson'!$D$13:$N$73,S52)</f>
        <v>1.5669999999999999</v>
      </c>
      <c r="T50" s="162">
        <f>VLOOKUP($O$50,'Tabel KTr Pearson'!$D$13:$N$73,T52)</f>
        <v>1.77</v>
      </c>
      <c r="U50" s="162">
        <f>VLOOKUP($O$50,'Tabel KTr Pearson'!$D$13:$N$73,U52)</f>
        <v>1.9550000000000001</v>
      </c>
      <c r="V50" s="162">
        <f>VLOOKUP($O$50,'Tabel KTr Pearson'!$D$13:$N$73,V52)</f>
        <v>2.1080000000000001</v>
      </c>
      <c r="W50" s="162">
        <f>VLOOKUP($O$50,'Tabel KTr Pearson'!$D$13:$N$73,W52)</f>
        <v>2.4</v>
      </c>
      <c r="AG50" s="68"/>
    </row>
    <row r="51" spans="13:33" x14ac:dyDescent="0.3">
      <c r="M51" s="68"/>
      <c r="AG51" s="68"/>
    </row>
    <row r="52" spans="13:33" x14ac:dyDescent="0.3">
      <c r="M52" s="68"/>
      <c r="P52" s="1">
        <v>4</v>
      </c>
      <c r="Q52" s="82">
        <v>5</v>
      </c>
      <c r="R52" s="1">
        <v>6</v>
      </c>
      <c r="S52" s="1">
        <v>7</v>
      </c>
      <c r="T52" s="1">
        <v>8</v>
      </c>
      <c r="U52" s="1">
        <v>9</v>
      </c>
      <c r="V52" s="1">
        <v>10</v>
      </c>
      <c r="W52" s="1">
        <v>11</v>
      </c>
      <c r="AG52" s="68"/>
    </row>
    <row r="53" spans="13:33" x14ac:dyDescent="0.3">
      <c r="M53" s="68"/>
      <c r="AG53" s="68"/>
    </row>
    <row r="54" spans="13:33" x14ac:dyDescent="0.3">
      <c r="M54" s="68"/>
      <c r="AG54" s="68"/>
    </row>
    <row r="55" spans="13:33" x14ac:dyDescent="0.3">
      <c r="M55" s="68"/>
      <c r="AG55" s="68"/>
    </row>
    <row r="56" spans="13:33" x14ac:dyDescent="0.3">
      <c r="M56" s="68"/>
      <c r="Q56" s="82"/>
      <c r="AG56" s="68"/>
    </row>
    <row r="57" spans="13:33" x14ac:dyDescent="0.3">
      <c r="M57" s="68"/>
      <c r="AG57" s="68"/>
    </row>
    <row r="58" spans="13:33" x14ac:dyDescent="0.3">
      <c r="M58" s="68"/>
      <c r="AG58" s="68"/>
    </row>
    <row r="59" spans="13:33" x14ac:dyDescent="0.3">
      <c r="M59" s="68"/>
      <c r="AG59" s="68"/>
    </row>
    <row r="60" spans="13:33" x14ac:dyDescent="0.3">
      <c r="M60" s="68"/>
      <c r="Q60" s="82"/>
      <c r="AG60" s="68"/>
    </row>
    <row r="61" spans="13:33" x14ac:dyDescent="0.3">
      <c r="M61" s="68"/>
      <c r="AG61" s="68"/>
    </row>
    <row r="62" spans="13:33" x14ac:dyDescent="0.3">
      <c r="M62" s="68"/>
      <c r="AG62" s="68"/>
    </row>
    <row r="63" spans="13:33" x14ac:dyDescent="0.3">
      <c r="M63" s="68"/>
      <c r="AG63" s="68"/>
    </row>
    <row r="64" spans="13:33" x14ac:dyDescent="0.3">
      <c r="M64" s="68"/>
      <c r="Q64" s="82"/>
      <c r="AG64" s="68"/>
    </row>
    <row r="65" spans="13:33" x14ac:dyDescent="0.3">
      <c r="M65" s="68"/>
      <c r="AG65" s="68"/>
    </row>
    <row r="66" spans="13:33" x14ac:dyDescent="0.3">
      <c r="M66" s="68"/>
      <c r="AG66" s="68"/>
    </row>
    <row r="67" spans="13:33" x14ac:dyDescent="0.3">
      <c r="M67" s="68"/>
      <c r="AG67" s="68"/>
    </row>
    <row r="68" spans="13:33" x14ac:dyDescent="0.3">
      <c r="M68" s="68"/>
      <c r="Q68" s="82"/>
      <c r="AG68" s="68"/>
    </row>
    <row r="69" spans="13:33" ht="15" thickBot="1" x14ac:dyDescent="0.35">
      <c r="M69" s="70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68"/>
    </row>
    <row r="71" spans="13:33" x14ac:dyDescent="0.3">
      <c r="X71" s="1" t="s">
        <v>4817</v>
      </c>
      <c r="Y71" s="1" t="s">
        <v>4610</v>
      </c>
      <c r="Z71" s="1" t="s">
        <v>27</v>
      </c>
      <c r="AA71" s="1" t="s">
        <v>24</v>
      </c>
      <c r="AB71" s="1" t="s">
        <v>4818</v>
      </c>
    </row>
    <row r="72" spans="13:33" x14ac:dyDescent="0.3">
      <c r="O72" s="82"/>
      <c r="X72" s="1">
        <v>1</v>
      </c>
      <c r="Y72" s="1">
        <f>X72/(COUNT($X$72:$X$76))</f>
        <v>0.2</v>
      </c>
      <c r="Z72" s="82">
        <f>1/Y72</f>
        <v>5</v>
      </c>
      <c r="AA72" s="1">
        <f>'Tabel KTr Pearson'!V87</f>
        <v>0.85629999999999995</v>
      </c>
      <c r="AB72" s="1">
        <f>10^($G$26+AA72*$G$28)</f>
        <v>147.9267658084699</v>
      </c>
    </row>
    <row r="73" spans="13:33" x14ac:dyDescent="0.3">
      <c r="X73" s="1">
        <v>2</v>
      </c>
      <c r="Y73" s="1">
        <f t="shared" ref="Y73:Y76" si="43">X73/(COUNT($X$72:$X$76))</f>
        <v>0.4</v>
      </c>
      <c r="Z73" s="82">
        <f t="shared" ref="Z73:Z76" si="44">1/Y73</f>
        <v>2.5</v>
      </c>
      <c r="AA73" s="1">
        <f>FORECAST(Z73,'Tabel KTr Pearson'!U87:V87,'Tabel KTr Pearson'!U83:V83)</f>
        <v>0.21559166666666657</v>
      </c>
      <c r="AB73" s="1">
        <f t="shared" ref="AB73:AB75" si="45">10^($G$26+AA73*$G$28)</f>
        <v>126.40271942452128</v>
      </c>
    </row>
    <row r="74" spans="13:33" x14ac:dyDescent="0.3">
      <c r="X74" s="1">
        <v>3</v>
      </c>
      <c r="Y74" s="1">
        <f t="shared" si="43"/>
        <v>0.6</v>
      </c>
      <c r="Z74" s="82">
        <f t="shared" si="44"/>
        <v>1.6666666666666667</v>
      </c>
      <c r="AA74" s="1">
        <f>FORECAST(Z74,'Tabel KTr Pearson'!T87:U87,'Tabel KTr Pearson'!T83:U83)</f>
        <v>-0.85320057076472278</v>
      </c>
      <c r="AB74" s="1">
        <f t="shared" si="45"/>
        <v>97.238544853474181</v>
      </c>
    </row>
    <row r="75" spans="13:33" x14ac:dyDescent="0.3">
      <c r="X75" s="1">
        <v>4</v>
      </c>
      <c r="Y75" s="1">
        <f t="shared" si="43"/>
        <v>0.8</v>
      </c>
      <c r="Z75" s="82">
        <f t="shared" si="44"/>
        <v>1.25</v>
      </c>
      <c r="AA75" s="1">
        <f>FORECAST(Z75,'Tabel KTr Pearson'!T87:U87,'Tabel KTr Pearson'!T83:U83)</f>
        <v>-2.0290137842206279</v>
      </c>
      <c r="AB75" s="1">
        <f t="shared" si="45"/>
        <v>72.86409571270039</v>
      </c>
    </row>
    <row r="76" spans="13:33" x14ac:dyDescent="0.3">
      <c r="O76" s="82"/>
      <c r="X76" s="1">
        <v>5</v>
      </c>
    </row>
    <row r="80" spans="13:33" x14ac:dyDescent="0.3">
      <c r="O80" s="82"/>
    </row>
    <row r="82" spans="15:31" ht="16.8" thickBot="1" x14ac:dyDescent="0.35">
      <c r="X82" s="216" t="s">
        <v>114</v>
      </c>
      <c r="Y82" s="214" t="s">
        <v>115</v>
      </c>
      <c r="Z82" s="214" t="s">
        <v>116</v>
      </c>
      <c r="AA82" s="214" t="s">
        <v>117</v>
      </c>
      <c r="AB82" s="214" t="s">
        <v>118</v>
      </c>
      <c r="AC82" s="214" t="s">
        <v>119</v>
      </c>
      <c r="AD82" s="214" t="s">
        <v>120</v>
      </c>
      <c r="AE82" s="217" t="s">
        <v>143</v>
      </c>
    </row>
    <row r="83" spans="15:31" ht="15" thickTop="1" x14ac:dyDescent="0.3">
      <c r="X83" s="218">
        <v>1</v>
      </c>
      <c r="Y83" s="213">
        <f>AB72</f>
        <v>147.9267658084699</v>
      </c>
      <c r="Z83" s="211"/>
      <c r="AA83" s="211" t="str">
        <f>" P &gt; "&amp;ROUND(Y83,2)</f>
        <v xml:space="preserve"> P &gt; 147.93</v>
      </c>
      <c r="AB83" s="212">
        <f>$AE$29</f>
        <v>2.2000000000000002</v>
      </c>
      <c r="AC83" s="38">
        <f>COUNTIFS($F$7:$F$17,"&gt;" &amp;Y83)</f>
        <v>2</v>
      </c>
      <c r="AD83" s="213">
        <f>AB83-AC83</f>
        <v>0.20000000000000018</v>
      </c>
      <c r="AE83" s="219">
        <f>AD83^2/AB83</f>
        <v>1.8181818181818212E-2</v>
      </c>
    </row>
    <row r="84" spans="15:31" x14ac:dyDescent="0.3">
      <c r="O84" s="82"/>
      <c r="X84" s="220">
        <v>2</v>
      </c>
      <c r="Y84" s="213">
        <f t="shared" ref="Y84:Y86" si="46">AB73</f>
        <v>126.40271942452128</v>
      </c>
      <c r="Z84" s="123">
        <f>Y83</f>
        <v>147.9267658084699</v>
      </c>
      <c r="AA84" s="210" t="str">
        <f>ROUND(Y84,2)&amp;" &lt; P &lt;= " &amp; ROUND(Z84,2)</f>
        <v>126.4 &lt; P &lt;= 147.93</v>
      </c>
      <c r="AB84" s="212">
        <f t="shared" ref="AB84:AB87" si="47">$AE$29</f>
        <v>2.2000000000000002</v>
      </c>
      <c r="AC84" s="38">
        <f>COUNTIFS($F$7:$F$17,"&gt;" &amp;Y84,$F$7:$F$17,"&lt;=" &amp;Z84)</f>
        <v>3</v>
      </c>
      <c r="AD84" s="213">
        <f t="shared" ref="AD84:AD87" si="48">AB84-AC84</f>
        <v>-0.79999999999999982</v>
      </c>
      <c r="AE84" s="219">
        <f t="shared" ref="AE84:AE87" si="49">AD84^2/AB84</f>
        <v>0.29090909090909073</v>
      </c>
    </row>
    <row r="85" spans="15:31" x14ac:dyDescent="0.3">
      <c r="X85" s="220">
        <v>3</v>
      </c>
      <c r="Y85" s="213">
        <f t="shared" si="46"/>
        <v>97.238544853474181</v>
      </c>
      <c r="Z85" s="123">
        <f t="shared" ref="Z85:Z87" si="50">Y84</f>
        <v>126.40271942452128</v>
      </c>
      <c r="AA85" s="210" t="str">
        <f>ROUND(Y85,2)&amp;" &lt; P &lt;= " &amp; ROUND(Z85,2)</f>
        <v>97.24 &lt; P &lt;= 126.4</v>
      </c>
      <c r="AB85" s="212">
        <f t="shared" si="47"/>
        <v>2.2000000000000002</v>
      </c>
      <c r="AC85" s="38">
        <f>COUNTIFS($F$7:$F$17,"&gt;" &amp;Y85,$F$7:$F$17,"&lt;=" &amp;Z85)</f>
        <v>4</v>
      </c>
      <c r="AD85" s="213">
        <f t="shared" si="48"/>
        <v>-1.7999999999999998</v>
      </c>
      <c r="AE85" s="219">
        <f t="shared" si="49"/>
        <v>1.4727272727272722</v>
      </c>
    </row>
    <row r="86" spans="15:31" x14ac:dyDescent="0.3">
      <c r="X86" s="220">
        <v>4</v>
      </c>
      <c r="Y86" s="213">
        <f t="shared" si="46"/>
        <v>72.86409571270039</v>
      </c>
      <c r="Z86" s="123">
        <f t="shared" si="50"/>
        <v>97.238544853474181</v>
      </c>
      <c r="AA86" s="210" t="str">
        <f>ROUND(Y86,2)&amp;" &lt; P &lt;= " &amp; ROUND(Z86,2)</f>
        <v>72.86 &lt; P &lt;= 97.24</v>
      </c>
      <c r="AB86" s="212">
        <f t="shared" si="47"/>
        <v>2.2000000000000002</v>
      </c>
      <c r="AC86" s="38">
        <f>COUNTIFS($F$7:$F$17,"&gt;" &amp;Y86,$F$7:$F$17,"&lt;=" &amp;Z86)</f>
        <v>2</v>
      </c>
      <c r="AD86" s="213">
        <f t="shared" si="48"/>
        <v>0.20000000000000018</v>
      </c>
      <c r="AE86" s="219">
        <f t="shared" si="49"/>
        <v>1.8181818181818212E-2</v>
      </c>
    </row>
    <row r="87" spans="15:31" x14ac:dyDescent="0.3">
      <c r="X87" s="220">
        <v>5</v>
      </c>
      <c r="Y87" s="210"/>
      <c r="Z87" s="123">
        <f t="shared" si="50"/>
        <v>72.86409571270039</v>
      </c>
      <c r="AA87" s="210" t="str">
        <f>"P &lt; " &amp; ROUND(Z87,2)</f>
        <v>P &lt; 72.86</v>
      </c>
      <c r="AB87" s="212">
        <f t="shared" si="47"/>
        <v>2.2000000000000002</v>
      </c>
      <c r="AC87" s="38">
        <f>COUNTIFS($F$7:$F$17,"&lt;=" &amp;Z87)</f>
        <v>0</v>
      </c>
      <c r="AD87" s="213">
        <f t="shared" si="48"/>
        <v>2.2000000000000002</v>
      </c>
      <c r="AE87" s="219">
        <f t="shared" si="49"/>
        <v>2.2000000000000002</v>
      </c>
    </row>
    <row r="88" spans="15:31" x14ac:dyDescent="0.3">
      <c r="O88" s="82"/>
      <c r="X88" s="220"/>
      <c r="Y88" s="210"/>
      <c r="Z88" s="210"/>
      <c r="AA88" s="210"/>
      <c r="AB88" s="210"/>
      <c r="AC88" s="210"/>
      <c r="AD88" s="210"/>
      <c r="AE88" s="222"/>
    </row>
    <row r="89" spans="15:31" ht="15" thickBot="1" x14ac:dyDescent="0.35">
      <c r="X89" s="223"/>
      <c r="Y89" s="224"/>
      <c r="Z89" s="224"/>
      <c r="AA89" s="224"/>
      <c r="AB89" s="224"/>
      <c r="AC89" s="224"/>
      <c r="AD89" s="224"/>
      <c r="AE89" s="225"/>
    </row>
    <row r="90" spans="15:31" ht="17.399999999999999" thickTop="1" thickBot="1" x14ac:dyDescent="0.35">
      <c r="X90" s="853" t="s">
        <v>122</v>
      </c>
      <c r="Y90" s="854"/>
      <c r="Z90" s="226"/>
      <c r="AA90" s="226"/>
      <c r="AB90" s="269">
        <f>SUM(AB83:AB89)</f>
        <v>11</v>
      </c>
      <c r="AC90" s="269">
        <f>SUM(AC83:AC89)</f>
        <v>11</v>
      </c>
      <c r="AD90" s="227" t="s">
        <v>123</v>
      </c>
      <c r="AE90" s="228">
        <f>SUM(AE83:AE89)</f>
        <v>3.9999999999999996</v>
      </c>
    </row>
    <row r="92" spans="15:31" x14ac:dyDescent="0.3">
      <c r="O92" s="82"/>
    </row>
    <row r="93" spans="15:31" x14ac:dyDescent="0.3">
      <c r="X93" s="86">
        <v>172</v>
      </c>
    </row>
    <row r="94" spans="15:31" x14ac:dyDescent="0.3">
      <c r="X94" s="86">
        <v>155</v>
      </c>
    </row>
    <row r="95" spans="15:31" x14ac:dyDescent="0.3">
      <c r="X95" s="1018">
        <v>141</v>
      </c>
    </row>
    <row r="96" spans="15:31" x14ac:dyDescent="0.3">
      <c r="X96" s="1018">
        <v>139</v>
      </c>
    </row>
    <row r="97" spans="24:24" x14ac:dyDescent="0.3">
      <c r="X97" s="1018">
        <v>134</v>
      </c>
    </row>
    <row r="98" spans="24:24" x14ac:dyDescent="0.3">
      <c r="X98" s="86">
        <v>121</v>
      </c>
    </row>
    <row r="99" spans="24:24" x14ac:dyDescent="0.3">
      <c r="X99" s="86">
        <v>119</v>
      </c>
    </row>
    <row r="100" spans="24:24" x14ac:dyDescent="0.3">
      <c r="X100" s="86">
        <v>106</v>
      </c>
    </row>
    <row r="101" spans="24:24" x14ac:dyDescent="0.3">
      <c r="X101" s="86">
        <v>100</v>
      </c>
    </row>
    <row r="102" spans="24:24" x14ac:dyDescent="0.3">
      <c r="X102" s="1018">
        <v>93</v>
      </c>
    </row>
    <row r="103" spans="24:24" x14ac:dyDescent="0.3">
      <c r="X103" s="1018">
        <v>74</v>
      </c>
    </row>
  </sheetData>
  <mergeCells count="34">
    <mergeCell ref="X90:Y90"/>
    <mergeCell ref="X31:Y31"/>
    <mergeCell ref="X32:Y32"/>
    <mergeCell ref="X42:Y42"/>
    <mergeCell ref="N26:U26"/>
    <mergeCell ref="X26:AE26"/>
    <mergeCell ref="N27:U27"/>
    <mergeCell ref="X27:AE27"/>
    <mergeCell ref="X29:Y29"/>
    <mergeCell ref="AB29:AC29"/>
    <mergeCell ref="X30:Y30"/>
    <mergeCell ref="O20:S20"/>
    <mergeCell ref="X20:AC20"/>
    <mergeCell ref="O21:S21"/>
    <mergeCell ref="X21:AC21"/>
    <mergeCell ref="O22:S22"/>
    <mergeCell ref="X22:AC22"/>
    <mergeCell ref="N4:T4"/>
    <mergeCell ref="X4:AD4"/>
    <mergeCell ref="N5:T5"/>
    <mergeCell ref="X5:AD5"/>
    <mergeCell ref="C4:J4"/>
    <mergeCell ref="C5:J5"/>
    <mergeCell ref="C29:E29"/>
    <mergeCell ref="C30:E30"/>
    <mergeCell ref="C20:E20"/>
    <mergeCell ref="C25:E25"/>
    <mergeCell ref="C21:E21"/>
    <mergeCell ref="C22:E22"/>
    <mergeCell ref="C23:E23"/>
    <mergeCell ref="C24:E24"/>
    <mergeCell ref="C26:E26"/>
    <mergeCell ref="C27:E27"/>
    <mergeCell ref="C28:E28"/>
  </mergeCells>
  <pageMargins left="0.7" right="0.7" top="0.75" bottom="0.75" header="0.3" footer="0.3"/>
  <pageSetup orientation="portrait" verticalDpi="300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17"/>
  <sheetViews>
    <sheetView zoomScale="85" zoomScaleNormal="85" workbookViewId="0">
      <selection activeCell="G19" sqref="G19"/>
    </sheetView>
  </sheetViews>
  <sheetFormatPr defaultColWidth="9.109375" defaultRowHeight="14.4" x14ac:dyDescent="0.3"/>
  <cols>
    <col min="3" max="3" width="10" customWidth="1"/>
  </cols>
  <sheetData>
    <row r="1" spans="2:9" x14ac:dyDescent="0.3">
      <c r="C1" s="897" t="s">
        <v>14</v>
      </c>
      <c r="D1" s="897"/>
      <c r="E1" s="897"/>
      <c r="F1" s="897"/>
      <c r="G1" s="897"/>
      <c r="H1" s="897"/>
      <c r="I1" s="9"/>
    </row>
    <row r="2" spans="2:9" x14ac:dyDescent="0.3">
      <c r="B2" s="171"/>
      <c r="C2" s="171"/>
      <c r="D2" s="171"/>
      <c r="E2" s="171"/>
      <c r="F2" s="171"/>
      <c r="G2" s="171"/>
      <c r="H2" s="171"/>
      <c r="I2" s="171"/>
    </row>
    <row r="3" spans="2:9" x14ac:dyDescent="0.3">
      <c r="B3" s="9"/>
      <c r="C3" s="896" t="s">
        <v>88</v>
      </c>
      <c r="D3" s="896"/>
      <c r="E3" s="896"/>
      <c r="F3" s="896"/>
      <c r="G3" s="896"/>
      <c r="H3" s="896"/>
      <c r="I3" s="9"/>
    </row>
    <row r="4" spans="2:9" ht="15" thickBot="1" x14ac:dyDescent="0.35">
      <c r="B4" s="9"/>
      <c r="C4" s="9"/>
      <c r="D4" s="9"/>
      <c r="E4" s="9"/>
      <c r="F4" s="9"/>
      <c r="G4" s="9"/>
      <c r="H4" s="9"/>
      <c r="I4" s="9"/>
    </row>
    <row r="5" spans="2:9" x14ac:dyDescent="0.3">
      <c r="B5" s="9"/>
      <c r="C5" s="894" t="s">
        <v>4500</v>
      </c>
      <c r="D5" s="898" t="s">
        <v>4501</v>
      </c>
      <c r="E5" s="899"/>
      <c r="F5" s="899"/>
      <c r="G5" s="899"/>
      <c r="H5" s="900"/>
      <c r="I5" s="25"/>
    </row>
    <row r="6" spans="2:9" ht="43.8" thickBot="1" x14ac:dyDescent="0.35">
      <c r="B6" s="188"/>
      <c r="C6" s="895"/>
      <c r="D6" s="189" t="s">
        <v>89</v>
      </c>
      <c r="E6" s="189" t="s">
        <v>90</v>
      </c>
      <c r="F6" s="189" t="s">
        <v>91</v>
      </c>
      <c r="G6" s="189" t="s">
        <v>92</v>
      </c>
      <c r="H6" s="190" t="s">
        <v>93</v>
      </c>
      <c r="I6" s="188"/>
    </row>
    <row r="7" spans="2:9" ht="16.2" thickTop="1" x14ac:dyDescent="0.3">
      <c r="B7" s="9">
        <v>2</v>
      </c>
      <c r="C7" s="177" t="s">
        <v>101</v>
      </c>
      <c r="D7" s="179">
        <f>'RTr Normal'!F27</f>
        <v>123.09090909090909</v>
      </c>
      <c r="E7" s="179">
        <f>'RTr Log Normal'!H28</f>
        <v>119.88847315000804</v>
      </c>
      <c r="F7" s="179">
        <f>'RTr Gumbel'!F31</f>
        <v>119.13670505165257</v>
      </c>
      <c r="G7" s="179">
        <f>'RTr Pearson Type III'!F29</f>
        <v>123.09090909090909</v>
      </c>
      <c r="H7" s="180">
        <f>'RTr Log Pearson Type III'!G33</f>
        <v>122.3556538424686</v>
      </c>
      <c r="I7" s="9"/>
    </row>
    <row r="8" spans="2:9" ht="15.6" x14ac:dyDescent="0.3">
      <c r="B8" s="9">
        <v>5</v>
      </c>
      <c r="C8" s="174" t="s">
        <v>102</v>
      </c>
      <c r="D8" s="179">
        <f>'RTr Normal'!F28</f>
        <v>147.23986321845973</v>
      </c>
      <c r="E8" s="179">
        <f>'RTr Log Normal'!H29</f>
        <v>147.3361832678263</v>
      </c>
      <c r="F8" s="179">
        <f>'RTr Gumbel'!F32</f>
        <v>152.81241499187436</v>
      </c>
      <c r="G8" s="179">
        <f>'RTr Pearson Type III'!F30</f>
        <v>147.29736072828723</v>
      </c>
      <c r="H8" s="180">
        <f>'RTr Log Pearson Type III'!G34</f>
        <v>147.9158748362515</v>
      </c>
      <c r="I8" s="9"/>
    </row>
    <row r="9" spans="2:9" ht="15.6" x14ac:dyDescent="0.3">
      <c r="B9">
        <v>10</v>
      </c>
      <c r="C9" s="174" t="s">
        <v>103</v>
      </c>
      <c r="D9" s="179">
        <f>'RTr Normal'!F29</f>
        <v>159.88931538051008</v>
      </c>
      <c r="E9" s="179">
        <f>'RTr Log Normal'!H30</f>
        <v>164.13723844453364</v>
      </c>
      <c r="F9" s="179">
        <f>'RTr Gumbel'!F33</f>
        <v>175.10866519250885</v>
      </c>
      <c r="G9" s="179">
        <f>'RTr Pearson Type III'!F31</f>
        <v>159.94681289033758</v>
      </c>
      <c r="H9" s="180">
        <f>'RTr Log Pearson Type III'!G35</f>
        <v>161.57926848781858</v>
      </c>
      <c r="I9" s="9"/>
    </row>
    <row r="10" spans="2:9" ht="15.6" x14ac:dyDescent="0.3">
      <c r="B10">
        <v>25</v>
      </c>
      <c r="C10" s="174" t="s">
        <v>104</v>
      </c>
      <c r="D10" s="179">
        <f>'RTr Normal'!F30</f>
        <v>170.23886714946036</v>
      </c>
      <c r="E10" s="179">
        <f>'RTr Log Normal'!H31</f>
        <v>179.29904378984557</v>
      </c>
      <c r="F10" s="179">
        <f>'RTr Gumbel'!F34</f>
        <v>203.28003642722399</v>
      </c>
      <c r="G10" s="179">
        <f>'RTr Pearson Type III'!F32</f>
        <v>173.42997894488667</v>
      </c>
      <c r="H10" s="180">
        <f>'RTr Log Pearson Type III'!G36</f>
        <v>176.11535297143615</v>
      </c>
      <c r="I10" s="9"/>
    </row>
    <row r="11" spans="2:9" ht="15.6" x14ac:dyDescent="0.3">
      <c r="B11">
        <v>50</v>
      </c>
      <c r="C11" s="174" t="s">
        <v>105</v>
      </c>
      <c r="D11" s="179">
        <f>'RTr Normal'!F31</f>
        <v>182.02585666409817</v>
      </c>
      <c r="E11" s="179">
        <f>'RTr Log Normal'!H32</f>
        <v>198.27963442504156</v>
      </c>
      <c r="F11" s="179">
        <f>'RTr Gumbel'!F35</f>
        <v>224.1791689199469</v>
      </c>
      <c r="G11" s="179">
        <f>'RTr Pearson Type III'!F33</f>
        <v>182.14085168375317</v>
      </c>
      <c r="H11" s="180">
        <f>'RTr Log Pearson Type III'!G37</f>
        <v>185.11180439256572</v>
      </c>
      <c r="I11" s="9"/>
    </row>
    <row r="12" spans="2:9" ht="15.6" x14ac:dyDescent="0.3">
      <c r="B12">
        <v>100</v>
      </c>
      <c r="C12" s="174" t="s">
        <v>106</v>
      </c>
      <c r="D12" s="179">
        <f>'RTr Normal'!F32</f>
        <v>190.07550803994837</v>
      </c>
      <c r="E12" s="179">
        <f>'RTr Log Normal'!H33</f>
        <v>212.38415106339423</v>
      </c>
      <c r="F12" s="179">
        <f>'RTr Gumbel'!F36</f>
        <v>244.92398549889785</v>
      </c>
      <c r="G12" s="179">
        <f>'RTr Pearson Type III'!F34</f>
        <v>189.96051302029338</v>
      </c>
      <c r="H12" s="180">
        <f>'RTr Log Pearson Type III'!G38</f>
        <v>193.71019050280165</v>
      </c>
      <c r="I12" s="9"/>
    </row>
    <row r="13" spans="2:9" ht="15.6" x14ac:dyDescent="0.3">
      <c r="B13">
        <v>200</v>
      </c>
      <c r="C13" s="174" t="s">
        <v>107</v>
      </c>
      <c r="D13" s="179">
        <f>'RTr Normal'!F33</f>
        <v>197.26269676838606</v>
      </c>
      <c r="E13" s="179">
        <f>'RTr Log Normal'!H34</f>
        <v>225.8231854721119</v>
      </c>
      <c r="F13" s="179">
        <f>'RTr Gumbel'!F37</f>
        <v>265.5931077268076</v>
      </c>
      <c r="G13" s="179">
        <f>'RTr Pearson Type III'!F35</f>
        <v>197.14770174873107</v>
      </c>
      <c r="H13" s="180">
        <f>'RTr Log Pearson Type III'!G39</f>
        <v>201.12223196547632</v>
      </c>
      <c r="I13" s="9"/>
    </row>
    <row r="14" spans="2:9" ht="16.2" thickBot="1" x14ac:dyDescent="0.35">
      <c r="B14">
        <v>1000</v>
      </c>
      <c r="C14" s="191" t="s">
        <v>108</v>
      </c>
      <c r="D14" s="192">
        <f>'RTr Normal'!F34</f>
        <v>211.92456177439897</v>
      </c>
      <c r="E14" s="192">
        <f>'RTr Log Normal'!H35</f>
        <v>255.93355847887165</v>
      </c>
      <c r="F14" s="192">
        <f>'RTr Gumbel'!F38</f>
        <v>313.47134025496052</v>
      </c>
      <c r="G14" s="192">
        <f>'RTr Pearson Type III'!F36</f>
        <v>211.92456177439897</v>
      </c>
      <c r="H14" s="193">
        <f>'RTr Log Pearson Type III'!G40</f>
        <v>216.06434415766256</v>
      </c>
      <c r="I14" s="9"/>
    </row>
    <row r="15" spans="2:9" x14ac:dyDescent="0.3">
      <c r="B15" s="9"/>
      <c r="I15" s="9"/>
    </row>
    <row r="16" spans="2:9" x14ac:dyDescent="0.3">
      <c r="B16" s="9"/>
      <c r="D16" s="25"/>
      <c r="E16" s="25"/>
      <c r="F16" s="25"/>
      <c r="G16" s="25"/>
      <c r="H16" s="25"/>
      <c r="I16" s="9"/>
    </row>
    <row r="17" spans="2:9" x14ac:dyDescent="0.3">
      <c r="B17" s="9"/>
      <c r="D17" s="9"/>
      <c r="E17" s="9"/>
      <c r="F17" s="9"/>
      <c r="G17" s="9"/>
      <c r="H17" s="9"/>
      <c r="I17" s="9"/>
    </row>
  </sheetData>
  <mergeCells count="4">
    <mergeCell ref="C5:C6"/>
    <mergeCell ref="C3:H3"/>
    <mergeCell ref="C1:H1"/>
    <mergeCell ref="D5:H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8700-582A-4D89-95FD-E839D467D8C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B2:F14"/>
  <sheetViews>
    <sheetView zoomScale="85" zoomScaleNormal="85" workbookViewId="0">
      <selection activeCell="V12" sqref="V12"/>
    </sheetView>
  </sheetViews>
  <sheetFormatPr defaultColWidth="9.109375" defaultRowHeight="14.4" x14ac:dyDescent="0.3"/>
  <cols>
    <col min="2" max="2" width="4.109375" bestFit="1" customWidth="1"/>
    <col min="3" max="3" width="19.109375" customWidth="1"/>
    <col min="4" max="4" width="15.88671875" bestFit="1" customWidth="1"/>
    <col min="5" max="5" width="9.5546875" customWidth="1"/>
  </cols>
  <sheetData>
    <row r="2" spans="2:6" x14ac:dyDescent="0.3">
      <c r="B2" s="897" t="s">
        <v>14</v>
      </c>
      <c r="C2" s="897"/>
      <c r="D2" s="897"/>
      <c r="E2" s="897"/>
    </row>
    <row r="3" spans="2:6" x14ac:dyDescent="0.3">
      <c r="B3" s="25"/>
      <c r="C3" s="25"/>
      <c r="D3" s="25"/>
      <c r="E3" s="25"/>
    </row>
    <row r="4" spans="2:6" x14ac:dyDescent="0.3">
      <c r="B4" s="896" t="s">
        <v>94</v>
      </c>
      <c r="C4" s="896"/>
      <c r="D4" s="896"/>
      <c r="E4" s="896"/>
    </row>
    <row r="5" spans="2:6" ht="15" thickBot="1" x14ac:dyDescent="0.35">
      <c r="B5" s="9"/>
      <c r="C5" s="87"/>
      <c r="D5" s="87"/>
      <c r="E5" s="88"/>
    </row>
    <row r="6" spans="2:6" x14ac:dyDescent="0.3">
      <c r="B6" s="903" t="s">
        <v>8</v>
      </c>
      <c r="C6" s="905" t="s">
        <v>95</v>
      </c>
      <c r="D6" s="905" t="s">
        <v>96</v>
      </c>
      <c r="E6" s="907"/>
    </row>
    <row r="7" spans="2:6" ht="15" thickBot="1" x14ac:dyDescent="0.35">
      <c r="B7" s="904"/>
      <c r="C7" s="906"/>
      <c r="D7" s="181" t="s">
        <v>97</v>
      </c>
      <c r="E7" s="182" t="s">
        <v>98</v>
      </c>
      <c r="F7" t="s">
        <v>198</v>
      </c>
    </row>
    <row r="8" spans="2:6" ht="15" thickTop="1" x14ac:dyDescent="0.3">
      <c r="B8" s="177">
        <v>1</v>
      </c>
      <c r="C8" s="178" t="s">
        <v>89</v>
      </c>
      <c r="D8" s="179">
        <f>'RTr Normal'!Q22</f>
        <v>3.9754169177076988</v>
      </c>
      <c r="E8" s="180">
        <f>'RTr Normal'!AA22</f>
        <v>5.6098768862998138</v>
      </c>
      <c r="F8" s="291">
        <f>AVERAGE(D8:E8)</f>
        <v>4.7926469020037565</v>
      </c>
    </row>
    <row r="9" spans="2:6" x14ac:dyDescent="0.3">
      <c r="B9" s="174">
        <v>2</v>
      </c>
      <c r="C9" s="172" t="s">
        <v>90</v>
      </c>
      <c r="D9" s="173">
        <f>'RTr Log Normal'!R22</f>
        <v>3.8688363484588781</v>
      </c>
      <c r="E9" s="175">
        <f>'RTr Log Normal'!AB22</f>
        <v>5.6129758059612005</v>
      </c>
      <c r="F9" s="291">
        <f t="shared" ref="F9:F12" si="0">AVERAGE(D9:E9)</f>
        <v>4.7409060772100391</v>
      </c>
    </row>
    <row r="10" spans="2:6" x14ac:dyDescent="0.3">
      <c r="B10" s="174">
        <v>3</v>
      </c>
      <c r="C10" s="172" t="s">
        <v>91</v>
      </c>
      <c r="D10" s="173">
        <f>'RTr Gumbel'!R22</f>
        <v>3.6492820667357178</v>
      </c>
      <c r="E10" s="175">
        <f>'RTr Gumbel'!AB22</f>
        <v>5.3713056929380985</v>
      </c>
      <c r="F10" s="291">
        <f t="shared" si="0"/>
        <v>4.5102938798369081</v>
      </c>
    </row>
    <row r="11" spans="2:6" x14ac:dyDescent="0.3">
      <c r="B11" s="174">
        <v>4</v>
      </c>
      <c r="C11" s="172" t="s">
        <v>92</v>
      </c>
      <c r="D11" s="173">
        <f>'RTr Pearson Type III'!R22</f>
        <v>22.064849623939413</v>
      </c>
      <c r="E11" s="175">
        <f>'RTr Pearson Type III'!AB22</f>
        <v>29.150122329717728</v>
      </c>
      <c r="F11" s="291">
        <f t="shared" si="0"/>
        <v>25.607485976828571</v>
      </c>
    </row>
    <row r="12" spans="2:6" ht="15" thickBot="1" x14ac:dyDescent="0.35">
      <c r="B12" s="183">
        <v>5</v>
      </c>
      <c r="C12" s="184" t="s">
        <v>93</v>
      </c>
      <c r="D12" s="185">
        <f>'RTr Log Pearson Type III'!T22</f>
        <v>22.276942903214682</v>
      </c>
      <c r="E12" s="186">
        <f>'RTr Log Pearson Type III'!AD22</f>
        <v>29.54508126415919</v>
      </c>
      <c r="F12" s="291">
        <f t="shared" si="0"/>
        <v>25.911012083686934</v>
      </c>
    </row>
    <row r="13" spans="2:6" x14ac:dyDescent="0.3">
      <c r="B13" s="908" t="s">
        <v>99</v>
      </c>
      <c r="C13" s="909"/>
      <c r="D13" s="187">
        <f>MAX(D8:D12)</f>
        <v>22.276942903214682</v>
      </c>
      <c r="E13" s="187">
        <f>MAX(E8:E12)</f>
        <v>29.54508126415919</v>
      </c>
      <c r="F13" s="291"/>
    </row>
    <row r="14" spans="2:6" ht="15" thickBot="1" x14ac:dyDescent="0.35">
      <c r="B14" s="901" t="s">
        <v>100</v>
      </c>
      <c r="C14" s="902"/>
      <c r="D14" s="176">
        <f>MIN(D8:D12)</f>
        <v>3.6492820667357178</v>
      </c>
      <c r="E14" s="176">
        <f>MIN(E8:E12)</f>
        <v>5.3713056929380985</v>
      </c>
    </row>
  </sheetData>
  <mergeCells count="7">
    <mergeCell ref="B14:C14"/>
    <mergeCell ref="B2:E2"/>
    <mergeCell ref="B4:E4"/>
    <mergeCell ref="B6:B7"/>
    <mergeCell ref="C6:C7"/>
    <mergeCell ref="D6:E6"/>
    <mergeCell ref="B13:C1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1260-E40E-4DA0-B352-E03BDE7CEBF9}">
  <sheetPr>
    <tabColor rgb="FFC00000"/>
  </sheetPr>
  <dimension ref="A1:S41"/>
  <sheetViews>
    <sheetView topLeftCell="A8" zoomScale="70" zoomScaleNormal="70" workbookViewId="0">
      <selection activeCell="O42" sqref="O42"/>
    </sheetView>
  </sheetViews>
  <sheetFormatPr defaultColWidth="8.88671875" defaultRowHeight="14.4" x14ac:dyDescent="0.3"/>
  <cols>
    <col min="1" max="3" width="8.88671875" style="468"/>
    <col min="4" max="4" width="10.33203125" style="468" bestFit="1" customWidth="1"/>
    <col min="5" max="5" width="10.44140625" style="468" bestFit="1" customWidth="1"/>
    <col min="6" max="6" width="16.6640625" style="468" customWidth="1"/>
    <col min="7" max="7" width="9.6640625" style="468" bestFit="1" customWidth="1"/>
    <col min="8" max="8" width="12.33203125" style="468" bestFit="1" customWidth="1"/>
    <col min="9" max="12" width="8.88671875" style="468"/>
    <col min="13" max="13" width="9.6640625" style="468" bestFit="1" customWidth="1"/>
    <col min="14" max="16384" width="8.88671875" style="468"/>
  </cols>
  <sheetData>
    <row r="1" spans="1:19" ht="15" thickTop="1" x14ac:dyDescent="0.3">
      <c r="A1" s="399"/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1"/>
    </row>
    <row r="2" spans="1:19" ht="22.8" x14ac:dyDescent="0.4">
      <c r="A2" s="910" t="s">
        <v>4447</v>
      </c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2"/>
    </row>
    <row r="3" spans="1:19" x14ac:dyDescent="0.3">
      <c r="A3" s="402"/>
      <c r="B3" s="403"/>
      <c r="C3" s="403"/>
      <c r="D3" s="403"/>
      <c r="E3" s="403"/>
      <c r="F3" s="403"/>
      <c r="G3" s="403"/>
      <c r="H3" s="403"/>
      <c r="I3" s="403"/>
      <c r="J3" s="403"/>
      <c r="K3" s="403"/>
      <c r="L3" s="403"/>
      <c r="M3" s="404"/>
    </row>
    <row r="4" spans="1:19" ht="17.399999999999999" x14ac:dyDescent="0.3">
      <c r="A4" s="405" t="s">
        <v>4392</v>
      </c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7"/>
    </row>
    <row r="5" spans="1:19" ht="15" thickBot="1" x14ac:dyDescent="0.35">
      <c r="A5" s="408"/>
      <c r="B5" s="409"/>
      <c r="C5" s="409"/>
      <c r="D5" s="409"/>
      <c r="E5" s="409"/>
      <c r="F5" s="409"/>
      <c r="G5" s="409"/>
      <c r="H5" s="409"/>
      <c r="I5" s="409"/>
      <c r="J5" s="409"/>
      <c r="K5" s="409"/>
      <c r="L5" s="409"/>
      <c r="M5" s="410"/>
    </row>
    <row r="6" spans="1:19" ht="16.2" thickTop="1" x14ac:dyDescent="0.3">
      <c r="A6" s="411" t="s">
        <v>4393</v>
      </c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3"/>
    </row>
    <row r="7" spans="1:19" ht="15.6" x14ac:dyDescent="0.3">
      <c r="A7" s="414">
        <v>1</v>
      </c>
      <c r="B7" s="415" t="s">
        <v>4394</v>
      </c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7"/>
    </row>
    <row r="8" spans="1:19" ht="15.6" x14ac:dyDescent="0.3">
      <c r="A8" s="418"/>
      <c r="B8" s="419" t="s">
        <v>4395</v>
      </c>
      <c r="C8" s="420"/>
      <c r="D8" s="421"/>
      <c r="E8" s="416"/>
      <c r="F8" s="416"/>
      <c r="G8" s="416"/>
      <c r="H8" s="416"/>
      <c r="I8" s="416"/>
      <c r="J8" s="416"/>
      <c r="K8" s="416"/>
      <c r="L8" s="416"/>
      <c r="M8" s="417"/>
    </row>
    <row r="9" spans="1:19" ht="15.6" x14ac:dyDescent="0.3">
      <c r="A9" s="414"/>
      <c r="B9" s="422"/>
      <c r="C9" s="422"/>
      <c r="D9" s="416"/>
      <c r="E9" s="416"/>
      <c r="F9" s="416"/>
      <c r="G9" s="416"/>
      <c r="H9" s="416"/>
      <c r="I9" s="416" t="s">
        <v>112</v>
      </c>
      <c r="J9" s="416" t="s">
        <v>4396</v>
      </c>
      <c r="K9" s="416"/>
      <c r="L9" s="416"/>
      <c r="M9" s="417"/>
    </row>
    <row r="10" spans="1:19" ht="15.6" x14ac:dyDescent="0.3">
      <c r="A10" s="414"/>
      <c r="B10" s="423" t="s">
        <v>21</v>
      </c>
      <c r="C10" s="423" t="s">
        <v>4436</v>
      </c>
      <c r="D10" s="423" t="s">
        <v>4397</v>
      </c>
      <c r="E10" s="423" t="s">
        <v>4398</v>
      </c>
      <c r="F10" s="423" t="s">
        <v>4399</v>
      </c>
      <c r="G10" s="423" t="s">
        <v>4400</v>
      </c>
      <c r="H10" s="423" t="s">
        <v>4401</v>
      </c>
      <c r="I10" s="423" t="s">
        <v>4402</v>
      </c>
      <c r="J10" s="424" t="s">
        <v>4403</v>
      </c>
      <c r="K10" s="424" t="s">
        <v>4404</v>
      </c>
      <c r="L10" s="423" t="s">
        <v>4405</v>
      </c>
      <c r="M10" s="425" t="s">
        <v>4406</v>
      </c>
    </row>
    <row r="11" spans="1:19" ht="15.6" x14ac:dyDescent="0.3">
      <c r="A11" s="414"/>
      <c r="B11" s="426">
        <v>1</v>
      </c>
      <c r="C11" s="469">
        <f>'Rainfall Max'!R5</f>
        <v>2015</v>
      </c>
      <c r="D11" s="427">
        <f>'Rainfall Max'!W5</f>
        <v>119</v>
      </c>
      <c r="E11" s="428">
        <f t="shared" ref="E11:E20" si="0">D$24-D11</f>
        <v>4.2999999999999972</v>
      </c>
      <c r="F11" s="429">
        <f t="shared" ref="F11:F20" si="1">(E11)^2</f>
        <v>18.489999999999977</v>
      </c>
      <c r="G11" s="430">
        <f>$B$20+1</f>
        <v>11</v>
      </c>
      <c r="H11" s="430">
        <f t="shared" ref="H11:H20" si="2">G11-B11</f>
        <v>10</v>
      </c>
      <c r="I11" s="431">
        <f t="shared" ref="I11:I20" si="3">H11/G11</f>
        <v>0.90909090909090906</v>
      </c>
      <c r="J11" s="431">
        <f t="shared" ref="J11:K20" si="4">-LN(I11)</f>
        <v>9.5310179804324893E-2</v>
      </c>
      <c r="K11" s="431">
        <f t="shared" si="4"/>
        <v>2.3506186555132942</v>
      </c>
      <c r="L11" s="428">
        <f>K11-$G$27</f>
        <v>1.8554121020902232</v>
      </c>
      <c r="M11" s="432">
        <f t="shared" ref="M11:M20" si="5">L11^2</f>
        <v>3.4425540685828611</v>
      </c>
    </row>
    <row r="12" spans="1:19" ht="15.6" x14ac:dyDescent="0.3">
      <c r="A12" s="414"/>
      <c r="B12" s="426">
        <v>2</v>
      </c>
      <c r="C12" s="469">
        <f>'Rainfall Max'!R6</f>
        <v>2016</v>
      </c>
      <c r="D12" s="427">
        <f>'Rainfall Max'!W6</f>
        <v>74</v>
      </c>
      <c r="E12" s="428">
        <f t="shared" si="0"/>
        <v>49.3</v>
      </c>
      <c r="F12" s="429">
        <f t="shared" si="1"/>
        <v>2430.4899999999998</v>
      </c>
      <c r="G12" s="430">
        <f t="shared" ref="G12:G20" si="6">$B$20+1</f>
        <v>11</v>
      </c>
      <c r="H12" s="430">
        <f t="shared" si="2"/>
        <v>9</v>
      </c>
      <c r="I12" s="431">
        <f t="shared" si="3"/>
        <v>0.81818181818181823</v>
      </c>
      <c r="J12" s="431">
        <f t="shared" si="4"/>
        <v>0.20067069546215111</v>
      </c>
      <c r="K12" s="431">
        <f t="shared" si="4"/>
        <v>1.6060900454890579</v>
      </c>
      <c r="L12" s="428">
        <f t="shared" ref="L12:L20" si="7">K12-$G$27</f>
        <v>1.1108834920659869</v>
      </c>
      <c r="M12" s="432">
        <f t="shared" si="5"/>
        <v>1.2340621329447217</v>
      </c>
    </row>
    <row r="13" spans="1:19" ht="15.6" x14ac:dyDescent="0.3">
      <c r="A13" s="414"/>
      <c r="B13" s="426">
        <v>3</v>
      </c>
      <c r="C13" s="469">
        <f>'Rainfall Max'!R7</f>
        <v>2017</v>
      </c>
      <c r="D13" s="427">
        <f>'Rainfall Max'!W7</f>
        <v>100</v>
      </c>
      <c r="E13" s="428">
        <f t="shared" si="0"/>
        <v>23.299999999999997</v>
      </c>
      <c r="F13" s="429">
        <f t="shared" si="1"/>
        <v>542.88999999999987</v>
      </c>
      <c r="G13" s="430">
        <f t="shared" si="6"/>
        <v>11</v>
      </c>
      <c r="H13" s="430">
        <f t="shared" si="2"/>
        <v>8</v>
      </c>
      <c r="I13" s="431">
        <f t="shared" si="3"/>
        <v>0.72727272727272729</v>
      </c>
      <c r="J13" s="431">
        <f t="shared" si="4"/>
        <v>0.31845373111853459</v>
      </c>
      <c r="K13" s="431">
        <f t="shared" si="4"/>
        <v>1.144278085736196</v>
      </c>
      <c r="L13" s="428">
        <f t="shared" si="7"/>
        <v>0.64907153231312498</v>
      </c>
      <c r="M13" s="432">
        <f t="shared" si="5"/>
        <v>0.42129385405930803</v>
      </c>
    </row>
    <row r="14" spans="1:19" ht="15.6" x14ac:dyDescent="0.3">
      <c r="A14" s="414"/>
      <c r="B14" s="426">
        <v>4</v>
      </c>
      <c r="C14" s="469">
        <f>'Rainfall Max'!R8</f>
        <v>2018</v>
      </c>
      <c r="D14" s="427">
        <f>'Rainfall Max'!W8</f>
        <v>139</v>
      </c>
      <c r="E14" s="428">
        <f t="shared" si="0"/>
        <v>-15.700000000000003</v>
      </c>
      <c r="F14" s="429">
        <f t="shared" si="1"/>
        <v>246.49000000000009</v>
      </c>
      <c r="G14" s="430">
        <f t="shared" si="6"/>
        <v>11</v>
      </c>
      <c r="H14" s="430">
        <f t="shared" si="2"/>
        <v>7</v>
      </c>
      <c r="I14" s="431">
        <f t="shared" si="3"/>
        <v>0.63636363636363635</v>
      </c>
      <c r="J14" s="431">
        <f t="shared" si="4"/>
        <v>0.45198512374305727</v>
      </c>
      <c r="K14" s="431">
        <f t="shared" si="4"/>
        <v>0.79410601176440221</v>
      </c>
      <c r="L14" s="428">
        <f t="shared" si="7"/>
        <v>0.29889945834133114</v>
      </c>
      <c r="M14" s="432">
        <f t="shared" si="5"/>
        <v>8.9340886196741146E-2</v>
      </c>
      <c r="R14" s="468" t="s">
        <v>4502</v>
      </c>
      <c r="S14" s="468">
        <v>805</v>
      </c>
    </row>
    <row r="15" spans="1:19" ht="15.6" x14ac:dyDescent="0.3">
      <c r="A15" s="414"/>
      <c r="B15" s="426">
        <v>5</v>
      </c>
      <c r="C15" s="469">
        <f>'Rainfall Max'!R9</f>
        <v>2019</v>
      </c>
      <c r="D15" s="427">
        <f>'Rainfall Max'!W9</f>
        <v>93</v>
      </c>
      <c r="E15" s="428">
        <f t="shared" si="0"/>
        <v>30.299999999999997</v>
      </c>
      <c r="F15" s="429">
        <f t="shared" si="1"/>
        <v>918.0899999999998</v>
      </c>
      <c r="G15" s="430">
        <f t="shared" si="6"/>
        <v>11</v>
      </c>
      <c r="H15" s="430">
        <f t="shared" si="2"/>
        <v>6</v>
      </c>
      <c r="I15" s="431">
        <f t="shared" si="3"/>
        <v>0.54545454545454541</v>
      </c>
      <c r="J15" s="431">
        <f t="shared" si="4"/>
        <v>0.6061358035703156</v>
      </c>
      <c r="K15" s="431">
        <f t="shared" si="4"/>
        <v>0.50065121971824522</v>
      </c>
      <c r="L15" s="428">
        <f t="shared" si="7"/>
        <v>5.4446662951741498E-3</v>
      </c>
      <c r="M15" s="432">
        <f t="shared" si="5"/>
        <v>2.9644391065805403E-5</v>
      </c>
      <c r="R15" s="468" t="s">
        <v>4503</v>
      </c>
      <c r="S15" s="468">
        <v>720</v>
      </c>
    </row>
    <row r="16" spans="1:19" ht="15.6" x14ac:dyDescent="0.3">
      <c r="A16" s="414"/>
      <c r="B16" s="426">
        <v>6</v>
      </c>
      <c r="C16" s="469">
        <f>'Rainfall Max'!R10</f>
        <v>2020</v>
      </c>
      <c r="D16" s="427">
        <f>'Rainfall Max'!W10</f>
        <v>106</v>
      </c>
      <c r="E16" s="428">
        <f t="shared" si="0"/>
        <v>17.299999999999997</v>
      </c>
      <c r="F16" s="429">
        <f t="shared" si="1"/>
        <v>299.28999999999991</v>
      </c>
      <c r="G16" s="430">
        <f t="shared" si="6"/>
        <v>11</v>
      </c>
      <c r="H16" s="430">
        <f t="shared" si="2"/>
        <v>5</v>
      </c>
      <c r="I16" s="431">
        <f t="shared" si="3"/>
        <v>0.45454545454545453</v>
      </c>
      <c r="J16" s="431">
        <f t="shared" si="4"/>
        <v>0.78845736036427017</v>
      </c>
      <c r="K16" s="431">
        <f t="shared" si="4"/>
        <v>0.23767695094135349</v>
      </c>
      <c r="L16" s="428">
        <f t="shared" si="7"/>
        <v>-0.25752960248171758</v>
      </c>
      <c r="M16" s="432">
        <f t="shared" si="5"/>
        <v>6.6321496154391479E-2</v>
      </c>
      <c r="Q16" s="468" t="s">
        <v>4505</v>
      </c>
      <c r="R16" s="468">
        <f>S14-S15</f>
        <v>85</v>
      </c>
    </row>
    <row r="17" spans="1:18" ht="15.6" x14ac:dyDescent="0.3">
      <c r="A17" s="414"/>
      <c r="B17" s="426">
        <v>7</v>
      </c>
      <c r="C17" s="469">
        <f>'Rainfall Max'!R11</f>
        <v>2021</v>
      </c>
      <c r="D17" s="427">
        <f>'Rainfall Max'!W11</f>
        <v>155</v>
      </c>
      <c r="E17" s="428">
        <f t="shared" si="0"/>
        <v>-31.700000000000003</v>
      </c>
      <c r="F17" s="429">
        <f t="shared" si="1"/>
        <v>1004.8900000000002</v>
      </c>
      <c r="G17" s="430">
        <f t="shared" si="6"/>
        <v>11</v>
      </c>
      <c r="H17" s="430">
        <f t="shared" si="2"/>
        <v>4</v>
      </c>
      <c r="I17" s="431">
        <f t="shared" si="3"/>
        <v>0.36363636363636365</v>
      </c>
      <c r="J17" s="431">
        <f t="shared" si="4"/>
        <v>1.0116009116784799</v>
      </c>
      <c r="K17" s="431">
        <f t="shared" si="4"/>
        <v>-1.1534137037545175E-2</v>
      </c>
      <c r="L17" s="428">
        <f t="shared" si="7"/>
        <v>-0.50674069046061621</v>
      </c>
      <c r="M17" s="432">
        <f t="shared" si="5"/>
        <v>0.25678612736850204</v>
      </c>
      <c r="Q17" s="468" t="s">
        <v>4504</v>
      </c>
      <c r="R17" s="468">
        <v>450</v>
      </c>
    </row>
    <row r="18" spans="1:18" ht="15.6" x14ac:dyDescent="0.3">
      <c r="A18" s="414"/>
      <c r="B18" s="426">
        <v>8</v>
      </c>
      <c r="C18" s="469">
        <f>'Rainfall Max'!R12</f>
        <v>2022</v>
      </c>
      <c r="D18" s="427">
        <f>'Rainfall Max'!W12</f>
        <v>134</v>
      </c>
      <c r="E18" s="428">
        <f t="shared" si="0"/>
        <v>-10.700000000000003</v>
      </c>
      <c r="F18" s="429">
        <f t="shared" si="1"/>
        <v>114.49000000000007</v>
      </c>
      <c r="G18" s="430">
        <f t="shared" si="6"/>
        <v>11</v>
      </c>
      <c r="H18" s="430">
        <f t="shared" si="2"/>
        <v>3</v>
      </c>
      <c r="I18" s="431">
        <f t="shared" si="3"/>
        <v>0.27272727272727271</v>
      </c>
      <c r="J18" s="431">
        <f t="shared" si="4"/>
        <v>1.2992829841302609</v>
      </c>
      <c r="K18" s="431">
        <f t="shared" si="4"/>
        <v>-0.26181256163843886</v>
      </c>
      <c r="L18" s="428">
        <f t="shared" si="7"/>
        <v>-0.75701911506150998</v>
      </c>
      <c r="M18" s="432">
        <f t="shared" si="5"/>
        <v>0.57307794056851169</v>
      </c>
      <c r="Q18" s="468" t="s">
        <v>62</v>
      </c>
      <c r="R18" s="468">
        <f>R16/R17</f>
        <v>0.18888888888888888</v>
      </c>
    </row>
    <row r="19" spans="1:18" ht="15.6" x14ac:dyDescent="0.3">
      <c r="A19" s="414"/>
      <c r="B19" s="426">
        <v>9</v>
      </c>
      <c r="C19" s="469">
        <f>'Rainfall Max'!R13</f>
        <v>2023</v>
      </c>
      <c r="D19" s="427">
        <f>'Rainfall Max'!W13</f>
        <v>141</v>
      </c>
      <c r="E19" s="428">
        <f t="shared" si="0"/>
        <v>-17.700000000000003</v>
      </c>
      <c r="F19" s="429">
        <f t="shared" si="1"/>
        <v>313.29000000000008</v>
      </c>
      <c r="G19" s="430">
        <f t="shared" si="6"/>
        <v>11</v>
      </c>
      <c r="H19" s="430">
        <f t="shared" si="2"/>
        <v>2</v>
      </c>
      <c r="I19" s="431">
        <f t="shared" si="3"/>
        <v>0.18181818181818182</v>
      </c>
      <c r="J19" s="431">
        <f t="shared" si="4"/>
        <v>1.7047480922384253</v>
      </c>
      <c r="K19" s="431">
        <f t="shared" si="4"/>
        <v>-0.53341735333216556</v>
      </c>
      <c r="L19" s="428">
        <f t="shared" si="7"/>
        <v>-1.0286239067552367</v>
      </c>
      <c r="M19" s="432">
        <f t="shared" si="5"/>
        <v>1.058067141548406</v>
      </c>
    </row>
    <row r="20" spans="1:18" ht="15.6" x14ac:dyDescent="0.3">
      <c r="A20" s="414" t="s">
        <v>4407</v>
      </c>
      <c r="B20" s="426">
        <v>10</v>
      </c>
      <c r="C20" s="469">
        <f>'Rainfall Max'!R14</f>
        <v>2024</v>
      </c>
      <c r="D20" s="427">
        <f>'Rainfall Max'!W14</f>
        <v>172</v>
      </c>
      <c r="E20" s="428">
        <f t="shared" si="0"/>
        <v>-48.7</v>
      </c>
      <c r="F20" s="429">
        <f t="shared" si="1"/>
        <v>2371.69</v>
      </c>
      <c r="G20" s="430">
        <f t="shared" si="6"/>
        <v>11</v>
      </c>
      <c r="H20" s="430">
        <f t="shared" si="2"/>
        <v>1</v>
      </c>
      <c r="I20" s="431">
        <f t="shared" si="3"/>
        <v>9.0909090909090912E-2</v>
      </c>
      <c r="J20" s="431">
        <f t="shared" si="4"/>
        <v>2.3978952727983707</v>
      </c>
      <c r="K20" s="431">
        <f t="shared" si="4"/>
        <v>-0.87459138292368899</v>
      </c>
      <c r="L20" s="428">
        <f t="shared" si="7"/>
        <v>-1.3697979363467601</v>
      </c>
      <c r="M20" s="432">
        <f t="shared" si="5"/>
        <v>1.8763463864198424</v>
      </c>
      <c r="Q20" s="468" t="s">
        <v>4506</v>
      </c>
      <c r="R20" s="530">
        <f>0.0195*(R17:R17/R18)^0.77</f>
        <v>7.7683593991693112</v>
      </c>
    </row>
    <row r="21" spans="1:18" ht="16.2" thickBot="1" x14ac:dyDescent="0.35">
      <c r="A21" s="433"/>
      <c r="B21" s="434" t="s">
        <v>4408</v>
      </c>
      <c r="C21" s="435"/>
      <c r="D21" s="436">
        <f>SUM(D11:D20)</f>
        <v>1233</v>
      </c>
      <c r="E21" s="435"/>
      <c r="F21" s="437">
        <f>SUM(F11:F20)</f>
        <v>8260.1</v>
      </c>
      <c r="G21" s="435"/>
      <c r="H21" s="435"/>
      <c r="I21" s="435"/>
      <c r="J21" s="435"/>
      <c r="K21" s="438">
        <f>SUM(K11:K20)</f>
        <v>4.9520655342307105</v>
      </c>
      <c r="L21" s="435"/>
      <c r="M21" s="439">
        <f>SUM(M11:M20)</f>
        <v>9.0178796782343511</v>
      </c>
    </row>
    <row r="22" spans="1:18" ht="16.2" thickTop="1" x14ac:dyDescent="0.3">
      <c r="A22" s="414"/>
      <c r="B22" s="416"/>
      <c r="C22" s="416"/>
      <c r="D22" s="440"/>
      <c r="E22" s="416"/>
      <c r="F22" s="441"/>
      <c r="G22" s="416"/>
      <c r="H22" s="416"/>
      <c r="I22" s="416"/>
      <c r="J22" s="416"/>
      <c r="K22" s="442"/>
      <c r="L22" s="416"/>
      <c r="M22" s="443"/>
    </row>
    <row r="23" spans="1:18" ht="15.6" x14ac:dyDescent="0.3">
      <c r="A23" s="414"/>
      <c r="B23" s="422"/>
      <c r="C23" s="422"/>
      <c r="D23" s="440"/>
      <c r="E23" s="416"/>
      <c r="F23" s="416"/>
      <c r="G23" s="416"/>
      <c r="H23" s="444"/>
      <c r="I23" s="445" t="s">
        <v>4409</v>
      </c>
      <c r="J23" s="416"/>
      <c r="K23" s="416"/>
      <c r="L23" s="416"/>
      <c r="M23" s="417"/>
    </row>
    <row r="24" spans="1:18" ht="19.2" x14ac:dyDescent="0.6">
      <c r="A24" s="414"/>
      <c r="B24" s="446" t="s">
        <v>4410</v>
      </c>
      <c r="C24" s="447"/>
      <c r="D24" s="448">
        <f>D21/B20</f>
        <v>123.3</v>
      </c>
      <c r="E24" s="449" t="s">
        <v>4411</v>
      </c>
      <c r="F24" s="416"/>
      <c r="G24" s="416"/>
      <c r="H24" s="444"/>
      <c r="I24" s="450" t="s">
        <v>4412</v>
      </c>
      <c r="J24" s="913" t="s">
        <v>4413</v>
      </c>
      <c r="K24" s="913"/>
      <c r="L24" s="422"/>
      <c r="M24" s="417"/>
    </row>
    <row r="25" spans="1:18" ht="15.6" x14ac:dyDescent="0.3">
      <c r="A25" s="414"/>
      <c r="B25" s="416"/>
      <c r="C25" s="416"/>
      <c r="D25" s="416"/>
      <c r="E25" s="416"/>
      <c r="F25" s="416"/>
      <c r="G25" s="416"/>
      <c r="H25" s="444"/>
      <c r="I25" s="422"/>
      <c r="J25" s="422"/>
      <c r="K25" s="422"/>
      <c r="L25" s="422"/>
      <c r="M25" s="417"/>
    </row>
    <row r="26" spans="1:18" ht="15.6" x14ac:dyDescent="0.3">
      <c r="A26" s="414">
        <v>2</v>
      </c>
      <c r="B26" s="914" t="s">
        <v>4414</v>
      </c>
      <c r="C26" s="914"/>
      <c r="D26" s="914"/>
      <c r="E26" s="914"/>
      <c r="F26" s="914"/>
      <c r="G26" s="431">
        <f>(F21/(B20-1))^0.5</f>
        <v>30.295030762303064</v>
      </c>
      <c r="H26" s="444"/>
      <c r="I26" s="450" t="s">
        <v>4415</v>
      </c>
      <c r="J26" s="913" t="s">
        <v>4416</v>
      </c>
      <c r="K26" s="913"/>
      <c r="L26" s="913"/>
      <c r="M26" s="417"/>
    </row>
    <row r="27" spans="1:18" ht="15.6" x14ac:dyDescent="0.3">
      <c r="A27" s="414">
        <v>3</v>
      </c>
      <c r="B27" s="914" t="s">
        <v>4417</v>
      </c>
      <c r="C27" s="914"/>
      <c r="D27" s="914"/>
      <c r="E27" s="914"/>
      <c r="F27" s="914"/>
      <c r="G27" s="428">
        <f>K21/B20</f>
        <v>0.49520655342307107</v>
      </c>
      <c r="H27" s="444"/>
      <c r="I27" s="450" t="s">
        <v>4418</v>
      </c>
      <c r="J27" s="915" t="s">
        <v>4419</v>
      </c>
      <c r="K27" s="915"/>
      <c r="L27" s="915"/>
      <c r="M27" s="417"/>
    </row>
    <row r="28" spans="1:18" ht="15.6" x14ac:dyDescent="0.3">
      <c r="A28" s="414">
        <v>4</v>
      </c>
      <c r="B28" s="921" t="s">
        <v>4420</v>
      </c>
      <c r="C28" s="921"/>
      <c r="D28" s="921"/>
      <c r="E28" s="921"/>
      <c r="F28" s="921"/>
      <c r="G28" s="452">
        <f>(M21/(B20-1))^0.5</f>
        <v>1.0009928226090974</v>
      </c>
      <c r="H28" s="444"/>
      <c r="I28" s="450" t="s">
        <v>4421</v>
      </c>
      <c r="J28" s="913" t="s">
        <v>4422</v>
      </c>
      <c r="K28" s="913"/>
      <c r="L28" s="913"/>
      <c r="M28" s="417"/>
    </row>
    <row r="29" spans="1:18" ht="15.6" x14ac:dyDescent="0.3">
      <c r="A29" s="414">
        <v>5</v>
      </c>
      <c r="B29" s="922" t="s">
        <v>4423</v>
      </c>
      <c r="C29" s="923"/>
      <c r="D29" s="923"/>
      <c r="E29" s="923"/>
      <c r="F29" s="923"/>
      <c r="G29" s="453">
        <f>-LN(-LN(1/2))</f>
        <v>0.36651292058166435</v>
      </c>
      <c r="H29" s="444"/>
      <c r="I29" s="450" t="s">
        <v>4424</v>
      </c>
      <c r="J29" s="915" t="s">
        <v>4425</v>
      </c>
      <c r="K29" s="915"/>
      <c r="L29" s="915"/>
      <c r="M29" s="417"/>
    </row>
    <row r="30" spans="1:18" ht="16.2" thickBot="1" x14ac:dyDescent="0.35">
      <c r="A30" s="414"/>
      <c r="B30" s="924" t="s">
        <v>4448</v>
      </c>
      <c r="C30" s="925"/>
      <c r="D30" s="925"/>
      <c r="E30" s="925"/>
      <c r="F30" s="925"/>
      <c r="G30" s="454"/>
      <c r="H30" s="444"/>
      <c r="I30" s="450"/>
      <c r="J30" s="451"/>
      <c r="K30" s="451"/>
      <c r="L30" s="451"/>
      <c r="M30" s="417"/>
    </row>
    <row r="31" spans="1:18" ht="19.8" thickBot="1" x14ac:dyDescent="0.65">
      <c r="A31" s="414">
        <v>6</v>
      </c>
      <c r="B31" s="926" t="s">
        <v>4449</v>
      </c>
      <c r="C31" s="926"/>
      <c r="D31" s="926"/>
      <c r="E31" s="926"/>
      <c r="F31" s="927"/>
      <c r="G31" s="455">
        <f>D24+(G26/G28)*(G29-G27)</f>
        <v>119.40508938947158</v>
      </c>
      <c r="H31" s="456" t="s">
        <v>4428</v>
      </c>
      <c r="I31" s="450" t="s">
        <v>4429</v>
      </c>
      <c r="J31" s="928" t="s">
        <v>4430</v>
      </c>
      <c r="K31" s="929"/>
      <c r="L31" s="929"/>
      <c r="M31" s="417"/>
    </row>
    <row r="32" spans="1:18" ht="16.2" thickBot="1" x14ac:dyDescent="0.35">
      <c r="A32" s="414"/>
      <c r="B32" s="416"/>
      <c r="C32" s="416"/>
      <c r="D32" s="416"/>
      <c r="E32" s="416"/>
      <c r="F32" s="416"/>
      <c r="G32" s="416"/>
      <c r="H32" s="416"/>
      <c r="I32" s="450"/>
      <c r="J32" s="916"/>
      <c r="K32" s="916"/>
      <c r="L32" s="916"/>
      <c r="M32" s="443"/>
    </row>
    <row r="33" spans="1:13" ht="16.2" thickTop="1" x14ac:dyDescent="0.3">
      <c r="A33" s="457"/>
      <c r="B33" s="412"/>
      <c r="C33" s="412"/>
      <c r="D33" s="412"/>
      <c r="E33" s="412"/>
      <c r="F33" s="412"/>
      <c r="G33" s="412"/>
      <c r="H33" s="412"/>
      <c r="I33" s="458"/>
      <c r="J33" s="458"/>
      <c r="K33" s="458"/>
      <c r="L33" s="458"/>
      <c r="M33" s="413"/>
    </row>
    <row r="34" spans="1:13" ht="15.6" x14ac:dyDescent="0.3">
      <c r="A34" s="459" t="s">
        <v>4431</v>
      </c>
      <c r="B34" s="416"/>
      <c r="C34" s="416"/>
      <c r="D34" s="460"/>
      <c r="E34" s="416"/>
      <c r="F34" s="416"/>
      <c r="G34" s="416"/>
      <c r="H34" s="444"/>
      <c r="I34" s="461"/>
      <c r="J34" s="461"/>
      <c r="K34" s="461"/>
      <c r="L34" s="422"/>
      <c r="M34" s="417"/>
    </row>
    <row r="35" spans="1:13" ht="15.6" x14ac:dyDescent="0.3">
      <c r="A35" s="414">
        <v>1</v>
      </c>
      <c r="B35" s="415" t="s">
        <v>4432</v>
      </c>
      <c r="C35" s="416"/>
      <c r="D35" s="416"/>
      <c r="E35" s="416"/>
      <c r="F35" s="416"/>
      <c r="G35" s="416"/>
      <c r="H35" s="416"/>
      <c r="I35" s="416"/>
      <c r="J35" s="416"/>
      <c r="K35" s="416"/>
      <c r="L35" s="416"/>
      <c r="M35" s="417"/>
    </row>
    <row r="36" spans="1:13" ht="16.2" thickBot="1" x14ac:dyDescent="0.35">
      <c r="A36" s="462"/>
      <c r="B36" s="444"/>
      <c r="C36" s="416"/>
      <c r="D36" s="444"/>
      <c r="E36" s="416"/>
      <c r="F36" s="416"/>
      <c r="G36" s="416"/>
      <c r="H36" s="416"/>
      <c r="I36" s="461"/>
      <c r="J36" s="461"/>
      <c r="K36" s="461"/>
      <c r="L36" s="422"/>
      <c r="M36" s="417"/>
    </row>
    <row r="37" spans="1:13" ht="16.2" thickBot="1" x14ac:dyDescent="0.35">
      <c r="A37" s="414"/>
      <c r="B37" s="917" t="s">
        <v>4450</v>
      </c>
      <c r="C37" s="918"/>
      <c r="D37" s="918"/>
      <c r="E37" s="918"/>
      <c r="F37" s="918"/>
      <c r="G37" s="463">
        <f>(G31/24) * (24/1)^0.66667</f>
        <v>41.395870996882913</v>
      </c>
      <c r="H37" s="464" t="s">
        <v>4434</v>
      </c>
      <c r="I37" s="450" t="s">
        <v>4435</v>
      </c>
      <c r="J37" s="919" t="s">
        <v>4438</v>
      </c>
      <c r="K37" s="919"/>
      <c r="L37" s="919"/>
      <c r="M37" s="417"/>
    </row>
    <row r="38" spans="1:13" ht="15.6" x14ac:dyDescent="0.3">
      <c r="A38" s="414"/>
      <c r="B38" s="920" t="s">
        <v>4437</v>
      </c>
      <c r="C38" s="920"/>
      <c r="D38" s="920"/>
      <c r="E38" s="920"/>
      <c r="F38" s="920"/>
      <c r="G38" s="416"/>
      <c r="H38" s="416"/>
      <c r="I38" s="416"/>
      <c r="J38" s="416"/>
      <c r="K38" s="416"/>
      <c r="L38" s="416"/>
      <c r="M38" s="417"/>
    </row>
    <row r="39" spans="1:13" ht="15.6" x14ac:dyDescent="0.3">
      <c r="A39" s="414"/>
      <c r="B39" s="416"/>
      <c r="C39" s="416"/>
      <c r="D39" s="416"/>
      <c r="E39" s="416"/>
      <c r="F39" s="416"/>
      <c r="G39" s="416"/>
      <c r="H39" s="416"/>
      <c r="I39" s="416"/>
      <c r="J39" s="416"/>
      <c r="K39" s="416"/>
      <c r="L39" s="416"/>
      <c r="M39" s="417"/>
    </row>
    <row r="40" spans="1:13" ht="16.2" thickBot="1" x14ac:dyDescent="0.35">
      <c r="A40" s="465"/>
      <c r="B40" s="466"/>
      <c r="C40" s="466"/>
      <c r="D40" s="466"/>
      <c r="E40" s="466"/>
      <c r="F40" s="466"/>
      <c r="G40" s="466"/>
      <c r="H40" s="466"/>
      <c r="I40" s="466"/>
      <c r="J40" s="466"/>
      <c r="K40" s="466"/>
      <c r="L40" s="466"/>
      <c r="M40" s="467"/>
    </row>
    <row r="41" spans="1:13" ht="15" thickTop="1" x14ac:dyDescent="0.3"/>
  </sheetData>
  <mergeCells count="17">
    <mergeCell ref="J32:L32"/>
    <mergeCell ref="B37:F37"/>
    <mergeCell ref="J37:L37"/>
    <mergeCell ref="B38:F38"/>
    <mergeCell ref="B28:F28"/>
    <mergeCell ref="J28:L28"/>
    <mergeCell ref="B29:F29"/>
    <mergeCell ref="J29:L29"/>
    <mergeCell ref="B30:F30"/>
    <mergeCell ref="B31:F31"/>
    <mergeCell ref="J31:L31"/>
    <mergeCell ref="A2:M2"/>
    <mergeCell ref="J24:K24"/>
    <mergeCell ref="B26:F26"/>
    <mergeCell ref="J26:L26"/>
    <mergeCell ref="B27:F27"/>
    <mergeCell ref="J27:L27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C9F6-2519-4C3F-93FE-5AA0BDC74351}">
  <sheetPr>
    <tabColor rgb="FFC00000"/>
  </sheetPr>
  <dimension ref="A1:M41"/>
  <sheetViews>
    <sheetView topLeftCell="A7" zoomScale="70" zoomScaleNormal="70" workbookViewId="0">
      <selection activeCell="O42" sqref="O42"/>
    </sheetView>
  </sheetViews>
  <sheetFormatPr defaultColWidth="8.88671875" defaultRowHeight="14.4" x14ac:dyDescent="0.3"/>
  <cols>
    <col min="1" max="3" width="8.88671875" style="468"/>
    <col min="4" max="4" width="10.33203125" style="468" bestFit="1" customWidth="1"/>
    <col min="5" max="5" width="10.44140625" style="468" bestFit="1" customWidth="1"/>
    <col min="6" max="6" width="16.6640625" style="468" customWidth="1"/>
    <col min="7" max="7" width="9.6640625" style="468" bestFit="1" customWidth="1"/>
    <col min="8" max="8" width="12.33203125" style="468" bestFit="1" customWidth="1"/>
    <col min="9" max="12" width="8.88671875" style="468"/>
    <col min="13" max="13" width="9.6640625" style="468" bestFit="1" customWidth="1"/>
    <col min="14" max="16384" width="8.88671875" style="468"/>
  </cols>
  <sheetData>
    <row r="1" spans="1:13" ht="15" thickTop="1" x14ac:dyDescent="0.3">
      <c r="A1" s="399"/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1"/>
    </row>
    <row r="2" spans="1:13" ht="22.8" x14ac:dyDescent="0.4">
      <c r="A2" s="910" t="s">
        <v>4443</v>
      </c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2"/>
    </row>
    <row r="3" spans="1:13" x14ac:dyDescent="0.3">
      <c r="A3" s="402"/>
      <c r="B3" s="403"/>
      <c r="C3" s="403"/>
      <c r="D3" s="403"/>
      <c r="E3" s="403"/>
      <c r="F3" s="403"/>
      <c r="G3" s="403"/>
      <c r="H3" s="403"/>
      <c r="I3" s="403"/>
      <c r="J3" s="403"/>
      <c r="K3" s="403"/>
      <c r="L3" s="403"/>
      <c r="M3" s="404"/>
    </row>
    <row r="4" spans="1:13" ht="17.399999999999999" x14ac:dyDescent="0.3">
      <c r="A4" s="405" t="s">
        <v>4392</v>
      </c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7"/>
    </row>
    <row r="5" spans="1:13" ht="15" thickBot="1" x14ac:dyDescent="0.35">
      <c r="A5" s="408"/>
      <c r="B5" s="409"/>
      <c r="C5" s="409"/>
      <c r="D5" s="409"/>
      <c r="E5" s="409"/>
      <c r="F5" s="409"/>
      <c r="G5" s="409"/>
      <c r="H5" s="409"/>
      <c r="I5" s="409"/>
      <c r="J5" s="409"/>
      <c r="K5" s="409"/>
      <c r="L5" s="409"/>
      <c r="M5" s="410"/>
    </row>
    <row r="6" spans="1:13" ht="16.2" thickTop="1" x14ac:dyDescent="0.3">
      <c r="A6" s="411" t="s">
        <v>4393</v>
      </c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3"/>
    </row>
    <row r="7" spans="1:13" ht="15.6" x14ac:dyDescent="0.3">
      <c r="A7" s="414">
        <v>1</v>
      </c>
      <c r="B7" s="415" t="s">
        <v>4394</v>
      </c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7"/>
    </row>
    <row r="8" spans="1:13" ht="15.6" x14ac:dyDescent="0.3">
      <c r="A8" s="418"/>
      <c r="B8" s="419" t="s">
        <v>4395</v>
      </c>
      <c r="C8" s="420"/>
      <c r="D8" s="421"/>
      <c r="E8" s="416"/>
      <c r="F8" s="416"/>
      <c r="G8" s="416"/>
      <c r="H8" s="416"/>
      <c r="I8" s="416"/>
      <c r="J8" s="416"/>
      <c r="K8" s="416"/>
      <c r="L8" s="416"/>
      <c r="M8" s="417"/>
    </row>
    <row r="9" spans="1:13" ht="15.6" x14ac:dyDescent="0.3">
      <c r="A9" s="414"/>
      <c r="B9" s="422"/>
      <c r="C9" s="422"/>
      <c r="D9" s="416"/>
      <c r="E9" s="416"/>
      <c r="F9" s="416"/>
      <c r="G9" s="416"/>
      <c r="H9" s="416"/>
      <c r="I9" s="416" t="s">
        <v>112</v>
      </c>
      <c r="J9" s="416" t="s">
        <v>4396</v>
      </c>
      <c r="K9" s="416"/>
      <c r="L9" s="416"/>
      <c r="M9" s="417"/>
    </row>
    <row r="10" spans="1:13" ht="15.6" x14ac:dyDescent="0.3">
      <c r="A10" s="414"/>
      <c r="B10" s="423" t="s">
        <v>21</v>
      </c>
      <c r="C10" s="423" t="s">
        <v>4436</v>
      </c>
      <c r="D10" s="423" t="s">
        <v>4397</v>
      </c>
      <c r="E10" s="423" t="s">
        <v>4398</v>
      </c>
      <c r="F10" s="423" t="s">
        <v>4399</v>
      </c>
      <c r="G10" s="423" t="s">
        <v>4400</v>
      </c>
      <c r="H10" s="423" t="s">
        <v>4401</v>
      </c>
      <c r="I10" s="423" t="s">
        <v>4402</v>
      </c>
      <c r="J10" s="424" t="s">
        <v>4403</v>
      </c>
      <c r="K10" s="424" t="s">
        <v>4404</v>
      </c>
      <c r="L10" s="423" t="s">
        <v>4405</v>
      </c>
      <c r="M10" s="425" t="s">
        <v>4406</v>
      </c>
    </row>
    <row r="11" spans="1:13" ht="15.6" x14ac:dyDescent="0.3">
      <c r="A11" s="414"/>
      <c r="B11" s="426">
        <v>1</v>
      </c>
      <c r="C11" s="469">
        <f>'Rainfall Max'!R5</f>
        <v>2015</v>
      </c>
      <c r="D11" s="427">
        <f>'Rainfall Max'!W5</f>
        <v>119</v>
      </c>
      <c r="E11" s="428">
        <f t="shared" ref="E11:E20" si="0">D$24-D11</f>
        <v>4.2999999999999972</v>
      </c>
      <c r="F11" s="429">
        <f>(E11)^2</f>
        <v>18.489999999999977</v>
      </c>
      <c r="G11" s="748">
        <f>$B$20+1</f>
        <v>11</v>
      </c>
      <c r="H11" s="430">
        <f t="shared" ref="H11:H20" si="1">G11-B11</f>
        <v>10</v>
      </c>
      <c r="I11" s="431">
        <f>H11/G11</f>
        <v>0.90909090909090906</v>
      </c>
      <c r="J11" s="431">
        <f t="shared" ref="J11:K20" si="2">-LN(I11)</f>
        <v>9.5310179804324893E-2</v>
      </c>
      <c r="K11" s="431">
        <f>-LN(J11)</f>
        <v>2.3506186555132942</v>
      </c>
      <c r="L11" s="428">
        <f>K11-$G$27</f>
        <v>1.8554121020902232</v>
      </c>
      <c r="M11" s="432">
        <f>L11^2</f>
        <v>3.4425540685828611</v>
      </c>
    </row>
    <row r="12" spans="1:13" ht="15.6" x14ac:dyDescent="0.3">
      <c r="A12" s="414"/>
      <c r="B12" s="426">
        <v>2</v>
      </c>
      <c r="C12" s="469">
        <f>'Rainfall Max'!R6</f>
        <v>2016</v>
      </c>
      <c r="D12" s="427">
        <f>'Rainfall Max'!W6</f>
        <v>74</v>
      </c>
      <c r="E12" s="428">
        <f t="shared" si="0"/>
        <v>49.3</v>
      </c>
      <c r="F12" s="429">
        <f t="shared" ref="F12:F20" si="3">(E12)^2</f>
        <v>2430.4899999999998</v>
      </c>
      <c r="G12" s="748">
        <f t="shared" ref="G12:G20" si="4">$B$20+1</f>
        <v>11</v>
      </c>
      <c r="H12" s="430">
        <f t="shared" si="1"/>
        <v>9</v>
      </c>
      <c r="I12" s="431">
        <f t="shared" ref="I12:I20" si="5">H12/G12</f>
        <v>0.81818181818181823</v>
      </c>
      <c r="J12" s="431">
        <f t="shared" si="2"/>
        <v>0.20067069546215111</v>
      </c>
      <c r="K12" s="431">
        <f t="shared" si="2"/>
        <v>1.6060900454890579</v>
      </c>
      <c r="L12" s="428">
        <f t="shared" ref="L12:L20" si="6">K12-$G$27</f>
        <v>1.1108834920659869</v>
      </c>
      <c r="M12" s="432">
        <f t="shared" ref="M12:M20" si="7">L12^2</f>
        <v>1.2340621329447217</v>
      </c>
    </row>
    <row r="13" spans="1:13" ht="15.6" x14ac:dyDescent="0.3">
      <c r="A13" s="414"/>
      <c r="B13" s="426">
        <v>3</v>
      </c>
      <c r="C13" s="469">
        <f>'Rainfall Max'!R7</f>
        <v>2017</v>
      </c>
      <c r="D13" s="427">
        <f>'Rainfall Max'!W7</f>
        <v>100</v>
      </c>
      <c r="E13" s="428">
        <f t="shared" si="0"/>
        <v>23.299999999999997</v>
      </c>
      <c r="F13" s="429">
        <f t="shared" si="3"/>
        <v>542.88999999999987</v>
      </c>
      <c r="G13" s="748">
        <f t="shared" si="4"/>
        <v>11</v>
      </c>
      <c r="H13" s="430">
        <f t="shared" si="1"/>
        <v>8</v>
      </c>
      <c r="I13" s="431">
        <f t="shared" si="5"/>
        <v>0.72727272727272729</v>
      </c>
      <c r="J13" s="431">
        <f t="shared" si="2"/>
        <v>0.31845373111853459</v>
      </c>
      <c r="K13" s="431">
        <f t="shared" si="2"/>
        <v>1.144278085736196</v>
      </c>
      <c r="L13" s="428">
        <f t="shared" si="6"/>
        <v>0.64907153231312498</v>
      </c>
      <c r="M13" s="432">
        <f t="shared" si="7"/>
        <v>0.42129385405930803</v>
      </c>
    </row>
    <row r="14" spans="1:13" ht="15.6" x14ac:dyDescent="0.3">
      <c r="A14" s="414"/>
      <c r="B14" s="426">
        <v>4</v>
      </c>
      <c r="C14" s="469">
        <f>'Rainfall Max'!R8</f>
        <v>2018</v>
      </c>
      <c r="D14" s="427">
        <f>'Rainfall Max'!W8</f>
        <v>139</v>
      </c>
      <c r="E14" s="428">
        <f t="shared" si="0"/>
        <v>-15.700000000000003</v>
      </c>
      <c r="F14" s="429">
        <f t="shared" si="3"/>
        <v>246.49000000000009</v>
      </c>
      <c r="G14" s="748">
        <f t="shared" si="4"/>
        <v>11</v>
      </c>
      <c r="H14" s="430">
        <f t="shared" si="1"/>
        <v>7</v>
      </c>
      <c r="I14" s="431">
        <f t="shared" si="5"/>
        <v>0.63636363636363635</v>
      </c>
      <c r="J14" s="431">
        <f t="shared" si="2"/>
        <v>0.45198512374305727</v>
      </c>
      <c r="K14" s="431">
        <f t="shared" si="2"/>
        <v>0.79410601176440221</v>
      </c>
      <c r="L14" s="428">
        <f t="shared" si="6"/>
        <v>0.29889945834133114</v>
      </c>
      <c r="M14" s="432">
        <f t="shared" si="7"/>
        <v>8.9340886196741146E-2</v>
      </c>
    </row>
    <row r="15" spans="1:13" ht="15.6" x14ac:dyDescent="0.3">
      <c r="A15" s="414"/>
      <c r="B15" s="426">
        <v>5</v>
      </c>
      <c r="C15" s="469">
        <f>'Rainfall Max'!R9</f>
        <v>2019</v>
      </c>
      <c r="D15" s="427">
        <f>'Rainfall Max'!W9</f>
        <v>93</v>
      </c>
      <c r="E15" s="428">
        <f t="shared" si="0"/>
        <v>30.299999999999997</v>
      </c>
      <c r="F15" s="429">
        <f t="shared" si="3"/>
        <v>918.0899999999998</v>
      </c>
      <c r="G15" s="748">
        <f t="shared" si="4"/>
        <v>11</v>
      </c>
      <c r="H15" s="430">
        <f t="shared" si="1"/>
        <v>6</v>
      </c>
      <c r="I15" s="431">
        <f t="shared" si="5"/>
        <v>0.54545454545454541</v>
      </c>
      <c r="J15" s="431">
        <f t="shared" si="2"/>
        <v>0.6061358035703156</v>
      </c>
      <c r="K15" s="431">
        <f t="shared" si="2"/>
        <v>0.50065121971824522</v>
      </c>
      <c r="L15" s="428">
        <f t="shared" si="6"/>
        <v>5.4446662951741498E-3</v>
      </c>
      <c r="M15" s="432">
        <f t="shared" si="7"/>
        <v>2.9644391065805403E-5</v>
      </c>
    </row>
    <row r="16" spans="1:13" ht="15.6" x14ac:dyDescent="0.3">
      <c r="A16" s="414"/>
      <c r="B16" s="426">
        <v>6</v>
      </c>
      <c r="C16" s="469">
        <f>'Rainfall Max'!R10</f>
        <v>2020</v>
      </c>
      <c r="D16" s="427">
        <f>'Rainfall Max'!W10</f>
        <v>106</v>
      </c>
      <c r="E16" s="428">
        <f t="shared" si="0"/>
        <v>17.299999999999997</v>
      </c>
      <c r="F16" s="429">
        <f t="shared" si="3"/>
        <v>299.28999999999991</v>
      </c>
      <c r="G16" s="748">
        <f t="shared" si="4"/>
        <v>11</v>
      </c>
      <c r="H16" s="430">
        <f t="shared" si="1"/>
        <v>5</v>
      </c>
      <c r="I16" s="431">
        <f t="shared" si="5"/>
        <v>0.45454545454545453</v>
      </c>
      <c r="J16" s="431">
        <f t="shared" si="2"/>
        <v>0.78845736036427017</v>
      </c>
      <c r="K16" s="431">
        <f t="shared" si="2"/>
        <v>0.23767695094135349</v>
      </c>
      <c r="L16" s="428">
        <f t="shared" si="6"/>
        <v>-0.25752960248171758</v>
      </c>
      <c r="M16" s="432">
        <f t="shared" si="7"/>
        <v>6.6321496154391479E-2</v>
      </c>
    </row>
    <row r="17" spans="1:13" ht="15.6" x14ac:dyDescent="0.3">
      <c r="A17" s="414"/>
      <c r="B17" s="426">
        <v>7</v>
      </c>
      <c r="C17" s="469">
        <f>'Rainfall Max'!R11</f>
        <v>2021</v>
      </c>
      <c r="D17" s="427">
        <f>'Rainfall Max'!W11</f>
        <v>155</v>
      </c>
      <c r="E17" s="428">
        <f t="shared" si="0"/>
        <v>-31.700000000000003</v>
      </c>
      <c r="F17" s="429">
        <f t="shared" si="3"/>
        <v>1004.8900000000002</v>
      </c>
      <c r="G17" s="748">
        <f t="shared" si="4"/>
        <v>11</v>
      </c>
      <c r="H17" s="430">
        <f t="shared" si="1"/>
        <v>4</v>
      </c>
      <c r="I17" s="431">
        <f t="shared" si="5"/>
        <v>0.36363636363636365</v>
      </c>
      <c r="J17" s="431">
        <f t="shared" si="2"/>
        <v>1.0116009116784799</v>
      </c>
      <c r="K17" s="431">
        <f t="shared" si="2"/>
        <v>-1.1534137037545175E-2</v>
      </c>
      <c r="L17" s="428">
        <f t="shared" si="6"/>
        <v>-0.50674069046061621</v>
      </c>
      <c r="M17" s="432">
        <f t="shared" si="7"/>
        <v>0.25678612736850204</v>
      </c>
    </row>
    <row r="18" spans="1:13" ht="15.6" x14ac:dyDescent="0.3">
      <c r="A18" s="414"/>
      <c r="B18" s="426">
        <v>8</v>
      </c>
      <c r="C18" s="469">
        <f>'Rainfall Max'!R12</f>
        <v>2022</v>
      </c>
      <c r="D18" s="427">
        <f>'Rainfall Max'!W12</f>
        <v>134</v>
      </c>
      <c r="E18" s="428">
        <f t="shared" si="0"/>
        <v>-10.700000000000003</v>
      </c>
      <c r="F18" s="429">
        <f t="shared" si="3"/>
        <v>114.49000000000007</v>
      </c>
      <c r="G18" s="748">
        <f t="shared" si="4"/>
        <v>11</v>
      </c>
      <c r="H18" s="430">
        <f t="shared" si="1"/>
        <v>3</v>
      </c>
      <c r="I18" s="431">
        <f t="shared" si="5"/>
        <v>0.27272727272727271</v>
      </c>
      <c r="J18" s="431">
        <f t="shared" si="2"/>
        <v>1.2992829841302609</v>
      </c>
      <c r="K18" s="431">
        <f t="shared" si="2"/>
        <v>-0.26181256163843886</v>
      </c>
      <c r="L18" s="428">
        <f t="shared" si="6"/>
        <v>-0.75701911506150998</v>
      </c>
      <c r="M18" s="432">
        <f t="shared" si="7"/>
        <v>0.57307794056851169</v>
      </c>
    </row>
    <row r="19" spans="1:13" ht="15.6" x14ac:dyDescent="0.3">
      <c r="A19" s="414"/>
      <c r="B19" s="426">
        <v>9</v>
      </c>
      <c r="C19" s="469">
        <f>'Rainfall Max'!R13</f>
        <v>2023</v>
      </c>
      <c r="D19" s="427">
        <f>'Rainfall Max'!W13</f>
        <v>141</v>
      </c>
      <c r="E19" s="428">
        <f t="shared" si="0"/>
        <v>-17.700000000000003</v>
      </c>
      <c r="F19" s="429">
        <f t="shared" si="3"/>
        <v>313.29000000000008</v>
      </c>
      <c r="G19" s="748">
        <f t="shared" si="4"/>
        <v>11</v>
      </c>
      <c r="H19" s="430">
        <f t="shared" si="1"/>
        <v>2</v>
      </c>
      <c r="I19" s="431">
        <f t="shared" si="5"/>
        <v>0.18181818181818182</v>
      </c>
      <c r="J19" s="431">
        <f t="shared" si="2"/>
        <v>1.7047480922384253</v>
      </c>
      <c r="K19" s="431">
        <f t="shared" si="2"/>
        <v>-0.53341735333216556</v>
      </c>
      <c r="L19" s="428">
        <f t="shared" si="6"/>
        <v>-1.0286239067552367</v>
      </c>
      <c r="M19" s="432">
        <f t="shared" si="7"/>
        <v>1.058067141548406</v>
      </c>
    </row>
    <row r="20" spans="1:13" ht="15.6" x14ac:dyDescent="0.3">
      <c r="A20" s="414" t="s">
        <v>4407</v>
      </c>
      <c r="B20" s="426">
        <v>10</v>
      </c>
      <c r="C20" s="469">
        <f>'Rainfall Max'!R14</f>
        <v>2024</v>
      </c>
      <c r="D20" s="427">
        <f>'Rainfall Max'!W14</f>
        <v>172</v>
      </c>
      <c r="E20" s="428">
        <f t="shared" si="0"/>
        <v>-48.7</v>
      </c>
      <c r="F20" s="429">
        <f t="shared" si="3"/>
        <v>2371.69</v>
      </c>
      <c r="G20" s="748">
        <f t="shared" si="4"/>
        <v>11</v>
      </c>
      <c r="H20" s="430">
        <f t="shared" si="1"/>
        <v>1</v>
      </c>
      <c r="I20" s="431">
        <f t="shared" si="5"/>
        <v>9.0909090909090912E-2</v>
      </c>
      <c r="J20" s="431">
        <f t="shared" si="2"/>
        <v>2.3978952727983707</v>
      </c>
      <c r="K20" s="431">
        <f t="shared" si="2"/>
        <v>-0.87459138292368899</v>
      </c>
      <c r="L20" s="428">
        <f t="shared" si="6"/>
        <v>-1.3697979363467601</v>
      </c>
      <c r="M20" s="432">
        <f t="shared" si="7"/>
        <v>1.8763463864198424</v>
      </c>
    </row>
    <row r="21" spans="1:13" ht="16.2" thickBot="1" x14ac:dyDescent="0.35">
      <c r="A21" s="433"/>
      <c r="B21" s="434" t="s">
        <v>4408</v>
      </c>
      <c r="C21" s="435"/>
      <c r="D21" s="436">
        <f>SUM(D11:D20)</f>
        <v>1233</v>
      </c>
      <c r="E21" s="435"/>
      <c r="F21" s="437">
        <f>SUM(F11:F20)</f>
        <v>8260.1</v>
      </c>
      <c r="G21" s="435"/>
      <c r="H21" s="435"/>
      <c r="I21" s="435"/>
      <c r="J21" s="435"/>
      <c r="K21" s="438">
        <f>SUM(K11:K20)</f>
        <v>4.9520655342307105</v>
      </c>
      <c r="L21" s="435"/>
      <c r="M21" s="439">
        <f>SUM(M11:M20)</f>
        <v>9.0178796782343511</v>
      </c>
    </row>
    <row r="22" spans="1:13" ht="16.2" thickTop="1" x14ac:dyDescent="0.3">
      <c r="A22" s="414"/>
      <c r="B22" s="416"/>
      <c r="C22" s="416"/>
      <c r="D22" s="440"/>
      <c r="E22" s="416"/>
      <c r="F22" s="441"/>
      <c r="G22" s="416"/>
      <c r="H22" s="416"/>
      <c r="I22" s="416"/>
      <c r="J22" s="416"/>
      <c r="K22" s="442"/>
      <c r="L22" s="416"/>
      <c r="M22" s="443"/>
    </row>
    <row r="23" spans="1:13" ht="15.6" x14ac:dyDescent="0.3">
      <c r="A23" s="414"/>
      <c r="B23" s="422"/>
      <c r="C23" s="422"/>
      <c r="D23" s="440"/>
      <c r="E23" s="416"/>
      <c r="F23" s="416"/>
      <c r="G23" s="416"/>
      <c r="H23" s="444"/>
      <c r="I23" s="445" t="s">
        <v>4409</v>
      </c>
      <c r="J23" s="416"/>
      <c r="K23" s="416"/>
      <c r="L23" s="416"/>
      <c r="M23" s="417"/>
    </row>
    <row r="24" spans="1:13" ht="19.2" x14ac:dyDescent="0.6">
      <c r="A24" s="414"/>
      <c r="B24" s="446" t="s">
        <v>4410</v>
      </c>
      <c r="C24" s="447"/>
      <c r="D24" s="448">
        <f>D21/B20</f>
        <v>123.3</v>
      </c>
      <c r="E24" s="449" t="s">
        <v>4411</v>
      </c>
      <c r="F24" s="416"/>
      <c r="G24" s="416"/>
      <c r="H24" s="444"/>
      <c r="I24" s="450" t="s">
        <v>4412</v>
      </c>
      <c r="J24" s="913" t="s">
        <v>4413</v>
      </c>
      <c r="K24" s="913"/>
      <c r="L24" s="422"/>
      <c r="M24" s="417"/>
    </row>
    <row r="25" spans="1:13" ht="15.6" x14ac:dyDescent="0.3">
      <c r="A25" s="414"/>
      <c r="B25" s="416"/>
      <c r="C25" s="416"/>
      <c r="D25" s="416"/>
      <c r="E25" s="416"/>
      <c r="F25" s="416"/>
      <c r="G25" s="416"/>
      <c r="H25" s="444"/>
      <c r="I25" s="422"/>
      <c r="J25" s="422"/>
      <c r="K25" s="422"/>
      <c r="L25" s="422"/>
      <c r="M25" s="417"/>
    </row>
    <row r="26" spans="1:13" ht="15.6" x14ac:dyDescent="0.3">
      <c r="A26" s="414">
        <v>2</v>
      </c>
      <c r="B26" s="914" t="s">
        <v>4414</v>
      </c>
      <c r="C26" s="914"/>
      <c r="D26" s="914"/>
      <c r="E26" s="914"/>
      <c r="F26" s="914"/>
      <c r="G26" s="431">
        <f>(F21/(B20-1))^0.5</f>
        <v>30.295030762303064</v>
      </c>
      <c r="H26" s="444"/>
      <c r="I26" s="450" t="s">
        <v>4415</v>
      </c>
      <c r="J26" s="913" t="s">
        <v>4416</v>
      </c>
      <c r="K26" s="913"/>
      <c r="L26" s="913"/>
      <c r="M26" s="417"/>
    </row>
    <row r="27" spans="1:13" ht="15.6" x14ac:dyDescent="0.3">
      <c r="A27" s="414">
        <v>3</v>
      </c>
      <c r="B27" s="914" t="s">
        <v>4417</v>
      </c>
      <c r="C27" s="914"/>
      <c r="D27" s="914"/>
      <c r="E27" s="914"/>
      <c r="F27" s="914"/>
      <c r="G27" s="428">
        <f>K21/B20</f>
        <v>0.49520655342307107</v>
      </c>
      <c r="H27" s="444"/>
      <c r="I27" s="450" t="s">
        <v>4418</v>
      </c>
      <c r="J27" s="915" t="s">
        <v>4419</v>
      </c>
      <c r="K27" s="915"/>
      <c r="L27" s="915"/>
      <c r="M27" s="417"/>
    </row>
    <row r="28" spans="1:13" ht="15.6" x14ac:dyDescent="0.3">
      <c r="A28" s="414">
        <v>4</v>
      </c>
      <c r="B28" s="921" t="s">
        <v>4420</v>
      </c>
      <c r="C28" s="921"/>
      <c r="D28" s="921"/>
      <c r="E28" s="921"/>
      <c r="F28" s="921"/>
      <c r="G28" s="452">
        <f>(M21/(B20-1))^0.5</f>
        <v>1.0009928226090974</v>
      </c>
      <c r="H28" s="444"/>
      <c r="I28" s="450" t="s">
        <v>4421</v>
      </c>
      <c r="J28" s="913" t="s">
        <v>4422</v>
      </c>
      <c r="K28" s="913"/>
      <c r="L28" s="913"/>
      <c r="M28" s="417"/>
    </row>
    <row r="29" spans="1:13" ht="15.6" x14ac:dyDescent="0.3">
      <c r="A29" s="414">
        <v>5</v>
      </c>
      <c r="B29" s="922" t="s">
        <v>4423</v>
      </c>
      <c r="C29" s="923"/>
      <c r="D29" s="923"/>
      <c r="E29" s="923"/>
      <c r="F29" s="923"/>
      <c r="G29" s="453">
        <f>-LN(-LN(4/5))</f>
        <v>1.4999399867595158</v>
      </c>
      <c r="H29" s="444"/>
      <c r="I29" s="450" t="s">
        <v>4424</v>
      </c>
      <c r="J29" s="915" t="s">
        <v>4425</v>
      </c>
      <c r="K29" s="915"/>
      <c r="L29" s="915"/>
      <c r="M29" s="417"/>
    </row>
    <row r="30" spans="1:13" ht="16.2" thickBot="1" x14ac:dyDescent="0.35">
      <c r="A30" s="414"/>
      <c r="B30" s="924" t="s">
        <v>4444</v>
      </c>
      <c r="C30" s="925"/>
      <c r="D30" s="925"/>
      <c r="E30" s="925"/>
      <c r="F30" s="925"/>
      <c r="G30" s="454"/>
      <c r="H30" s="444"/>
      <c r="I30" s="450"/>
      <c r="J30" s="451"/>
      <c r="K30" s="451"/>
      <c r="L30" s="451"/>
      <c r="M30" s="417"/>
    </row>
    <row r="31" spans="1:13" ht="19.8" thickBot="1" x14ac:dyDescent="0.65">
      <c r="A31" s="414">
        <v>6</v>
      </c>
      <c r="B31" s="926" t="s">
        <v>4446</v>
      </c>
      <c r="C31" s="926"/>
      <c r="D31" s="926"/>
      <c r="E31" s="926"/>
      <c r="F31" s="927"/>
      <c r="G31" s="455">
        <f>D24+(G26/G28)*(G29-G27)</f>
        <v>153.70824028238675</v>
      </c>
      <c r="H31" s="456" t="s">
        <v>4428</v>
      </c>
      <c r="I31" s="450" t="s">
        <v>4429</v>
      </c>
      <c r="J31" s="928" t="s">
        <v>4430</v>
      </c>
      <c r="K31" s="929"/>
      <c r="L31" s="929"/>
      <c r="M31" s="417"/>
    </row>
    <row r="32" spans="1:13" ht="16.2" thickBot="1" x14ac:dyDescent="0.35">
      <c r="A32" s="414"/>
      <c r="B32" s="416"/>
      <c r="C32" s="416"/>
      <c r="D32" s="416"/>
      <c r="E32" s="416"/>
      <c r="F32" s="416"/>
      <c r="G32" s="416"/>
      <c r="H32" s="416"/>
      <c r="I32" s="450"/>
      <c r="J32" s="916"/>
      <c r="K32" s="916"/>
      <c r="L32" s="916"/>
      <c r="M32" s="443"/>
    </row>
    <row r="33" spans="1:13" ht="16.2" thickTop="1" x14ac:dyDescent="0.3">
      <c r="A33" s="457"/>
      <c r="B33" s="412"/>
      <c r="C33" s="412"/>
      <c r="D33" s="412"/>
      <c r="E33" s="412"/>
      <c r="F33" s="412"/>
      <c r="G33" s="412"/>
      <c r="H33" s="412"/>
      <c r="I33" s="458"/>
      <c r="J33" s="458"/>
      <c r="K33" s="458"/>
      <c r="L33" s="458"/>
      <c r="M33" s="413"/>
    </row>
    <row r="34" spans="1:13" ht="15.6" x14ac:dyDescent="0.3">
      <c r="A34" s="459" t="s">
        <v>4431</v>
      </c>
      <c r="B34" s="416"/>
      <c r="C34" s="416"/>
      <c r="D34" s="460"/>
      <c r="E34" s="416"/>
      <c r="F34" s="416"/>
      <c r="G34" s="416"/>
      <c r="H34" s="444"/>
      <c r="I34" s="461"/>
      <c r="J34" s="461"/>
      <c r="K34" s="461"/>
      <c r="L34" s="422"/>
      <c r="M34" s="417"/>
    </row>
    <row r="35" spans="1:13" ht="15.6" x14ac:dyDescent="0.3">
      <c r="A35" s="414">
        <v>1</v>
      </c>
      <c r="B35" s="415" t="s">
        <v>4432</v>
      </c>
      <c r="C35" s="416"/>
      <c r="D35" s="416"/>
      <c r="E35" s="416"/>
      <c r="F35" s="416"/>
      <c r="G35" s="416"/>
      <c r="H35" s="416"/>
      <c r="I35" s="416"/>
      <c r="J35" s="416"/>
      <c r="K35" s="416"/>
      <c r="L35" s="416"/>
      <c r="M35" s="417"/>
    </row>
    <row r="36" spans="1:13" ht="16.2" thickBot="1" x14ac:dyDescent="0.35">
      <c r="A36" s="462"/>
      <c r="B36" s="444"/>
      <c r="C36" s="416"/>
      <c r="D36" s="444"/>
      <c r="E36" s="416"/>
      <c r="F36" s="416"/>
      <c r="G36" s="416"/>
      <c r="H36" s="416"/>
      <c r="I36" s="461"/>
      <c r="J36" s="461"/>
      <c r="K36" s="461"/>
      <c r="L36" s="422"/>
      <c r="M36" s="417"/>
    </row>
    <row r="37" spans="1:13" ht="16.2" thickBot="1" x14ac:dyDescent="0.35">
      <c r="A37" s="414"/>
      <c r="B37" s="917" t="s">
        <v>4445</v>
      </c>
      <c r="C37" s="918"/>
      <c r="D37" s="918"/>
      <c r="E37" s="918"/>
      <c r="F37" s="918"/>
      <c r="G37" s="463">
        <f>(G31/24) * (24/1)^0.66667</f>
        <v>53.288235186804393</v>
      </c>
      <c r="H37" s="464" t="s">
        <v>4434</v>
      </c>
      <c r="I37" s="450" t="s">
        <v>4435</v>
      </c>
      <c r="J37" s="919" t="s">
        <v>4438</v>
      </c>
      <c r="K37" s="919"/>
      <c r="L37" s="919"/>
      <c r="M37" s="417"/>
    </row>
    <row r="38" spans="1:13" ht="15.6" x14ac:dyDescent="0.3">
      <c r="A38" s="414"/>
      <c r="B38" s="920" t="s">
        <v>4437</v>
      </c>
      <c r="C38" s="920"/>
      <c r="D38" s="920"/>
      <c r="E38" s="920"/>
      <c r="F38" s="920"/>
      <c r="G38" s="416"/>
      <c r="H38" s="416"/>
      <c r="I38" s="416"/>
      <c r="J38" s="416"/>
      <c r="K38" s="416"/>
      <c r="L38" s="416"/>
      <c r="M38" s="417"/>
    </row>
    <row r="39" spans="1:13" ht="15.6" x14ac:dyDescent="0.3">
      <c r="A39" s="414"/>
      <c r="B39" s="416"/>
      <c r="C39" s="416"/>
      <c r="D39" s="416"/>
      <c r="E39" s="416"/>
      <c r="F39" s="416"/>
      <c r="G39" s="416"/>
      <c r="H39" s="416"/>
      <c r="I39" s="416"/>
      <c r="J39" s="416"/>
      <c r="K39" s="416"/>
      <c r="L39" s="416"/>
      <c r="M39" s="417"/>
    </row>
    <row r="40" spans="1:13" ht="16.2" thickBot="1" x14ac:dyDescent="0.35">
      <c r="A40" s="465"/>
      <c r="B40" s="466"/>
      <c r="C40" s="466"/>
      <c r="D40" s="466"/>
      <c r="E40" s="466"/>
      <c r="F40" s="466"/>
      <c r="G40" s="466"/>
      <c r="H40" s="466"/>
      <c r="I40" s="466"/>
      <c r="J40" s="466"/>
      <c r="K40" s="466"/>
      <c r="L40" s="466"/>
      <c r="M40" s="467"/>
    </row>
    <row r="41" spans="1:13" ht="15" thickTop="1" x14ac:dyDescent="0.3"/>
  </sheetData>
  <mergeCells count="17">
    <mergeCell ref="J32:L32"/>
    <mergeCell ref="B37:F37"/>
    <mergeCell ref="J37:L37"/>
    <mergeCell ref="B38:F38"/>
    <mergeCell ref="B28:F28"/>
    <mergeCell ref="J28:L28"/>
    <mergeCell ref="B29:F29"/>
    <mergeCell ref="J29:L29"/>
    <mergeCell ref="B30:F30"/>
    <mergeCell ref="B31:F31"/>
    <mergeCell ref="J31:L31"/>
    <mergeCell ref="A2:M2"/>
    <mergeCell ref="J24:K24"/>
    <mergeCell ref="B26:F26"/>
    <mergeCell ref="J26:L26"/>
    <mergeCell ref="B27:F27"/>
    <mergeCell ref="J27:L2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7F55-D17B-4BDC-B94A-48C628AB04D6}">
  <sheetPr>
    <tabColor rgb="FFC00000"/>
  </sheetPr>
  <dimension ref="A1:M41"/>
  <sheetViews>
    <sheetView topLeftCell="A7" zoomScale="70" zoomScaleNormal="70" workbookViewId="0">
      <selection activeCell="S164" sqref="S164"/>
    </sheetView>
  </sheetViews>
  <sheetFormatPr defaultColWidth="8.88671875" defaultRowHeight="14.4" x14ac:dyDescent="0.3"/>
  <cols>
    <col min="1" max="3" width="8.88671875" style="468"/>
    <col min="4" max="4" width="10.33203125" style="468" bestFit="1" customWidth="1"/>
    <col min="5" max="5" width="10.44140625" style="468" bestFit="1" customWidth="1"/>
    <col min="6" max="6" width="16.6640625" style="468" customWidth="1"/>
    <col min="7" max="7" width="9.6640625" style="468" bestFit="1" customWidth="1"/>
    <col min="8" max="8" width="12.33203125" style="468" bestFit="1" customWidth="1"/>
    <col min="9" max="12" width="8.88671875" style="468"/>
    <col min="13" max="13" width="9.6640625" style="468" bestFit="1" customWidth="1"/>
    <col min="14" max="16384" width="8.88671875" style="468"/>
  </cols>
  <sheetData>
    <row r="1" spans="1:13" ht="15" thickTop="1" x14ac:dyDescent="0.3">
      <c r="A1" s="399"/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1"/>
    </row>
    <row r="2" spans="1:13" ht="22.8" x14ac:dyDescent="0.4">
      <c r="A2" s="910" t="s">
        <v>4439</v>
      </c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2"/>
    </row>
    <row r="3" spans="1:13" x14ac:dyDescent="0.3">
      <c r="A3" s="402"/>
      <c r="B3" s="403"/>
      <c r="C3" s="403"/>
      <c r="D3" s="403"/>
      <c r="E3" s="403"/>
      <c r="F3" s="403"/>
      <c r="G3" s="403"/>
      <c r="H3" s="403"/>
      <c r="I3" s="403"/>
      <c r="J3" s="403"/>
      <c r="K3" s="403"/>
      <c r="L3" s="403"/>
      <c r="M3" s="404"/>
    </row>
    <row r="4" spans="1:13" ht="17.399999999999999" x14ac:dyDescent="0.3">
      <c r="A4" s="405" t="s">
        <v>4392</v>
      </c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7"/>
    </row>
    <row r="5" spans="1:13" ht="15" thickBot="1" x14ac:dyDescent="0.35">
      <c r="A5" s="408"/>
      <c r="B5" s="409"/>
      <c r="C5" s="409"/>
      <c r="D5" s="409"/>
      <c r="E5" s="409"/>
      <c r="F5" s="409"/>
      <c r="G5" s="409"/>
      <c r="H5" s="409"/>
      <c r="I5" s="409"/>
      <c r="J5" s="409"/>
      <c r="K5" s="409"/>
      <c r="L5" s="409"/>
      <c r="M5" s="410"/>
    </row>
    <row r="6" spans="1:13" ht="16.2" thickTop="1" x14ac:dyDescent="0.3">
      <c r="A6" s="411" t="s">
        <v>4393</v>
      </c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3"/>
    </row>
    <row r="7" spans="1:13" ht="15.6" x14ac:dyDescent="0.3">
      <c r="A7" s="414">
        <v>1</v>
      </c>
      <c r="B7" s="415" t="s">
        <v>4394</v>
      </c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7"/>
    </row>
    <row r="8" spans="1:13" ht="15.6" x14ac:dyDescent="0.3">
      <c r="A8" s="418"/>
      <c r="B8" s="419" t="s">
        <v>4395</v>
      </c>
      <c r="C8" s="420"/>
      <c r="D8" s="421"/>
      <c r="E8" s="416"/>
      <c r="F8" s="416"/>
      <c r="G8" s="416"/>
      <c r="H8" s="416"/>
      <c r="I8" s="416"/>
      <c r="J8" s="416"/>
      <c r="K8" s="416"/>
      <c r="L8" s="416"/>
      <c r="M8" s="417"/>
    </row>
    <row r="9" spans="1:13" ht="15.6" x14ac:dyDescent="0.3">
      <c r="A9" s="414"/>
      <c r="B9" s="422"/>
      <c r="C9" s="422"/>
      <c r="D9" s="416"/>
      <c r="E9" s="416"/>
      <c r="F9" s="416"/>
      <c r="G9" s="416"/>
      <c r="H9" s="416"/>
      <c r="I9" s="416" t="s">
        <v>112</v>
      </c>
      <c r="J9" s="416" t="s">
        <v>4396</v>
      </c>
      <c r="K9" s="416"/>
      <c r="L9" s="416"/>
      <c r="M9" s="417"/>
    </row>
    <row r="10" spans="1:13" ht="15.6" x14ac:dyDescent="0.3">
      <c r="A10" s="414"/>
      <c r="B10" s="423" t="s">
        <v>21</v>
      </c>
      <c r="C10" s="423" t="s">
        <v>4436</v>
      </c>
      <c r="D10" s="423" t="s">
        <v>4397</v>
      </c>
      <c r="E10" s="423" t="s">
        <v>4398</v>
      </c>
      <c r="F10" s="423" t="s">
        <v>4399</v>
      </c>
      <c r="G10" s="423" t="s">
        <v>4400</v>
      </c>
      <c r="H10" s="423" t="s">
        <v>4401</v>
      </c>
      <c r="I10" s="423" t="s">
        <v>4402</v>
      </c>
      <c r="J10" s="424" t="s">
        <v>4403</v>
      </c>
      <c r="K10" s="424" t="s">
        <v>4404</v>
      </c>
      <c r="L10" s="423" t="s">
        <v>4405</v>
      </c>
      <c r="M10" s="425" t="s">
        <v>4406</v>
      </c>
    </row>
    <row r="11" spans="1:13" ht="15.6" x14ac:dyDescent="0.3">
      <c r="A11" s="414"/>
      <c r="B11" s="426">
        <v>1</v>
      </c>
      <c r="C11" s="469">
        <f>'Rainfall Max'!R5</f>
        <v>2015</v>
      </c>
      <c r="D11" s="427">
        <f>'Rainfall Max'!W5</f>
        <v>119</v>
      </c>
      <c r="E11" s="428">
        <f t="shared" ref="E11:E20" si="0">D$24-D11</f>
        <v>4.2999999999999972</v>
      </c>
      <c r="F11" s="429">
        <f t="shared" ref="F11:F20" si="1">(E11)^2</f>
        <v>18.489999999999977</v>
      </c>
      <c r="G11" s="748">
        <f>$B$20+1</f>
        <v>11</v>
      </c>
      <c r="H11" s="430">
        <f t="shared" ref="H11:H20" si="2">G11-B11</f>
        <v>10</v>
      </c>
      <c r="I11" s="431">
        <f t="shared" ref="I11:I20" si="3">H11/G11</f>
        <v>0.90909090909090906</v>
      </c>
      <c r="J11" s="431">
        <f t="shared" ref="J11:K20" si="4">-LN(I11)</f>
        <v>9.5310179804324893E-2</v>
      </c>
      <c r="K11" s="431">
        <f t="shared" si="4"/>
        <v>2.3506186555132942</v>
      </c>
      <c r="L11" s="428">
        <f>K11-$G$27</f>
        <v>1.8554121020902232</v>
      </c>
      <c r="M11" s="432">
        <f t="shared" ref="M11:M20" si="5">L11^2</f>
        <v>3.4425540685828611</v>
      </c>
    </row>
    <row r="12" spans="1:13" ht="15.6" x14ac:dyDescent="0.3">
      <c r="A12" s="414"/>
      <c r="B12" s="426">
        <v>2</v>
      </c>
      <c r="C12" s="469">
        <f>'Rainfall Max'!R6</f>
        <v>2016</v>
      </c>
      <c r="D12" s="427">
        <f>'Rainfall Max'!W6</f>
        <v>74</v>
      </c>
      <c r="E12" s="428">
        <f t="shared" si="0"/>
        <v>49.3</v>
      </c>
      <c r="F12" s="429">
        <f t="shared" si="1"/>
        <v>2430.4899999999998</v>
      </c>
      <c r="G12" s="748">
        <f t="shared" ref="G12:G20" si="6">$B$20+1</f>
        <v>11</v>
      </c>
      <c r="H12" s="430">
        <f t="shared" si="2"/>
        <v>9</v>
      </c>
      <c r="I12" s="431">
        <f t="shared" si="3"/>
        <v>0.81818181818181823</v>
      </c>
      <c r="J12" s="431">
        <f t="shared" si="4"/>
        <v>0.20067069546215111</v>
      </c>
      <c r="K12" s="431">
        <f t="shared" si="4"/>
        <v>1.6060900454890579</v>
      </c>
      <c r="L12" s="428">
        <f t="shared" ref="L12:L20" si="7">K12-$G$27</f>
        <v>1.1108834920659869</v>
      </c>
      <c r="M12" s="432">
        <f t="shared" si="5"/>
        <v>1.2340621329447217</v>
      </c>
    </row>
    <row r="13" spans="1:13" ht="15.6" x14ac:dyDescent="0.3">
      <c r="A13" s="414"/>
      <c r="B13" s="426">
        <v>3</v>
      </c>
      <c r="C13" s="469">
        <f>'Rainfall Max'!R7</f>
        <v>2017</v>
      </c>
      <c r="D13" s="427">
        <f>'Rainfall Max'!W7</f>
        <v>100</v>
      </c>
      <c r="E13" s="428">
        <f t="shared" si="0"/>
        <v>23.299999999999997</v>
      </c>
      <c r="F13" s="429">
        <f t="shared" si="1"/>
        <v>542.88999999999987</v>
      </c>
      <c r="G13" s="748">
        <f t="shared" si="6"/>
        <v>11</v>
      </c>
      <c r="H13" s="430">
        <f t="shared" si="2"/>
        <v>8</v>
      </c>
      <c r="I13" s="431">
        <f t="shared" si="3"/>
        <v>0.72727272727272729</v>
      </c>
      <c r="J13" s="431">
        <f t="shared" si="4"/>
        <v>0.31845373111853459</v>
      </c>
      <c r="K13" s="431">
        <f t="shared" si="4"/>
        <v>1.144278085736196</v>
      </c>
      <c r="L13" s="428">
        <f t="shared" si="7"/>
        <v>0.64907153231312498</v>
      </c>
      <c r="M13" s="432">
        <f t="shared" si="5"/>
        <v>0.42129385405930803</v>
      </c>
    </row>
    <row r="14" spans="1:13" ht="15.6" x14ac:dyDescent="0.3">
      <c r="A14" s="414"/>
      <c r="B14" s="426">
        <v>4</v>
      </c>
      <c r="C14" s="469">
        <f>'Rainfall Max'!R8</f>
        <v>2018</v>
      </c>
      <c r="D14" s="427">
        <f>'Rainfall Max'!W8</f>
        <v>139</v>
      </c>
      <c r="E14" s="428">
        <f t="shared" si="0"/>
        <v>-15.700000000000003</v>
      </c>
      <c r="F14" s="429">
        <f t="shared" si="1"/>
        <v>246.49000000000009</v>
      </c>
      <c r="G14" s="748">
        <f t="shared" si="6"/>
        <v>11</v>
      </c>
      <c r="H14" s="430">
        <f t="shared" si="2"/>
        <v>7</v>
      </c>
      <c r="I14" s="431">
        <f t="shared" si="3"/>
        <v>0.63636363636363635</v>
      </c>
      <c r="J14" s="431">
        <f t="shared" si="4"/>
        <v>0.45198512374305727</v>
      </c>
      <c r="K14" s="431">
        <f t="shared" si="4"/>
        <v>0.79410601176440221</v>
      </c>
      <c r="L14" s="428">
        <f t="shared" si="7"/>
        <v>0.29889945834133114</v>
      </c>
      <c r="M14" s="432">
        <f t="shared" si="5"/>
        <v>8.9340886196741146E-2</v>
      </c>
    </row>
    <row r="15" spans="1:13" ht="15.6" x14ac:dyDescent="0.3">
      <c r="A15" s="414"/>
      <c r="B15" s="426">
        <v>5</v>
      </c>
      <c r="C15" s="469">
        <f>'Rainfall Max'!R9</f>
        <v>2019</v>
      </c>
      <c r="D15" s="427">
        <f>'Rainfall Max'!W9</f>
        <v>93</v>
      </c>
      <c r="E15" s="428">
        <f t="shared" si="0"/>
        <v>30.299999999999997</v>
      </c>
      <c r="F15" s="429">
        <f t="shared" si="1"/>
        <v>918.0899999999998</v>
      </c>
      <c r="G15" s="748">
        <f t="shared" si="6"/>
        <v>11</v>
      </c>
      <c r="H15" s="430">
        <f t="shared" si="2"/>
        <v>6</v>
      </c>
      <c r="I15" s="431">
        <f t="shared" si="3"/>
        <v>0.54545454545454541</v>
      </c>
      <c r="J15" s="431">
        <f t="shared" si="4"/>
        <v>0.6061358035703156</v>
      </c>
      <c r="K15" s="431">
        <f t="shared" si="4"/>
        <v>0.50065121971824522</v>
      </c>
      <c r="L15" s="428">
        <f t="shared" si="7"/>
        <v>5.4446662951741498E-3</v>
      </c>
      <c r="M15" s="432">
        <f t="shared" si="5"/>
        <v>2.9644391065805403E-5</v>
      </c>
    </row>
    <row r="16" spans="1:13" ht="15.6" x14ac:dyDescent="0.3">
      <c r="A16" s="414"/>
      <c r="B16" s="426">
        <v>6</v>
      </c>
      <c r="C16" s="469">
        <f>'Rainfall Max'!R10</f>
        <v>2020</v>
      </c>
      <c r="D16" s="427">
        <f>'Rainfall Max'!W10</f>
        <v>106</v>
      </c>
      <c r="E16" s="428">
        <f t="shared" si="0"/>
        <v>17.299999999999997</v>
      </c>
      <c r="F16" s="429">
        <f t="shared" si="1"/>
        <v>299.28999999999991</v>
      </c>
      <c r="G16" s="748">
        <f t="shared" si="6"/>
        <v>11</v>
      </c>
      <c r="H16" s="430">
        <f t="shared" si="2"/>
        <v>5</v>
      </c>
      <c r="I16" s="431">
        <f t="shared" si="3"/>
        <v>0.45454545454545453</v>
      </c>
      <c r="J16" s="431">
        <f t="shared" si="4"/>
        <v>0.78845736036427017</v>
      </c>
      <c r="K16" s="431">
        <f t="shared" si="4"/>
        <v>0.23767695094135349</v>
      </c>
      <c r="L16" s="428">
        <f t="shared" si="7"/>
        <v>-0.25752960248171758</v>
      </c>
      <c r="M16" s="432">
        <f t="shared" si="5"/>
        <v>6.6321496154391479E-2</v>
      </c>
    </row>
    <row r="17" spans="1:13" ht="15.6" x14ac:dyDescent="0.3">
      <c r="A17" s="414"/>
      <c r="B17" s="426">
        <v>7</v>
      </c>
      <c r="C17" s="469">
        <f>'Rainfall Max'!R11</f>
        <v>2021</v>
      </c>
      <c r="D17" s="427">
        <f>'Rainfall Max'!W11</f>
        <v>155</v>
      </c>
      <c r="E17" s="428">
        <f t="shared" si="0"/>
        <v>-31.700000000000003</v>
      </c>
      <c r="F17" s="429">
        <f t="shared" si="1"/>
        <v>1004.8900000000002</v>
      </c>
      <c r="G17" s="748">
        <f t="shared" si="6"/>
        <v>11</v>
      </c>
      <c r="H17" s="430">
        <f t="shared" si="2"/>
        <v>4</v>
      </c>
      <c r="I17" s="431">
        <f t="shared" si="3"/>
        <v>0.36363636363636365</v>
      </c>
      <c r="J17" s="431">
        <f t="shared" si="4"/>
        <v>1.0116009116784799</v>
      </c>
      <c r="K17" s="431">
        <f t="shared" si="4"/>
        <v>-1.1534137037545175E-2</v>
      </c>
      <c r="L17" s="428">
        <f t="shared" si="7"/>
        <v>-0.50674069046061621</v>
      </c>
      <c r="M17" s="432">
        <f t="shared" si="5"/>
        <v>0.25678612736850204</v>
      </c>
    </row>
    <row r="18" spans="1:13" ht="15.6" x14ac:dyDescent="0.3">
      <c r="A18" s="414"/>
      <c r="B18" s="426">
        <v>8</v>
      </c>
      <c r="C18" s="469">
        <f>'Rainfall Max'!R12</f>
        <v>2022</v>
      </c>
      <c r="D18" s="427">
        <f>'Rainfall Max'!W12</f>
        <v>134</v>
      </c>
      <c r="E18" s="428">
        <f t="shared" si="0"/>
        <v>-10.700000000000003</v>
      </c>
      <c r="F18" s="429">
        <f t="shared" si="1"/>
        <v>114.49000000000007</v>
      </c>
      <c r="G18" s="748">
        <f t="shared" si="6"/>
        <v>11</v>
      </c>
      <c r="H18" s="430">
        <f t="shared" si="2"/>
        <v>3</v>
      </c>
      <c r="I18" s="431">
        <f t="shared" si="3"/>
        <v>0.27272727272727271</v>
      </c>
      <c r="J18" s="431">
        <f t="shared" si="4"/>
        <v>1.2992829841302609</v>
      </c>
      <c r="K18" s="431">
        <f t="shared" si="4"/>
        <v>-0.26181256163843886</v>
      </c>
      <c r="L18" s="428">
        <f t="shared" si="7"/>
        <v>-0.75701911506150998</v>
      </c>
      <c r="M18" s="432">
        <f t="shared" si="5"/>
        <v>0.57307794056851169</v>
      </c>
    </row>
    <row r="19" spans="1:13" ht="15.6" x14ac:dyDescent="0.3">
      <c r="A19" s="414"/>
      <c r="B19" s="426">
        <v>9</v>
      </c>
      <c r="C19" s="469">
        <f>'Rainfall Max'!R13</f>
        <v>2023</v>
      </c>
      <c r="D19" s="427">
        <f>'Rainfall Max'!W13</f>
        <v>141</v>
      </c>
      <c r="E19" s="428">
        <f t="shared" si="0"/>
        <v>-17.700000000000003</v>
      </c>
      <c r="F19" s="429">
        <f t="shared" si="1"/>
        <v>313.29000000000008</v>
      </c>
      <c r="G19" s="748">
        <f t="shared" si="6"/>
        <v>11</v>
      </c>
      <c r="H19" s="430">
        <f t="shared" si="2"/>
        <v>2</v>
      </c>
      <c r="I19" s="431">
        <f t="shared" si="3"/>
        <v>0.18181818181818182</v>
      </c>
      <c r="J19" s="431">
        <f t="shared" si="4"/>
        <v>1.7047480922384253</v>
      </c>
      <c r="K19" s="431">
        <f t="shared" si="4"/>
        <v>-0.53341735333216556</v>
      </c>
      <c r="L19" s="428">
        <f t="shared" si="7"/>
        <v>-1.0286239067552367</v>
      </c>
      <c r="M19" s="432">
        <f t="shared" si="5"/>
        <v>1.058067141548406</v>
      </c>
    </row>
    <row r="20" spans="1:13" ht="15.6" x14ac:dyDescent="0.3">
      <c r="A20" s="414" t="s">
        <v>4407</v>
      </c>
      <c r="B20" s="426">
        <v>10</v>
      </c>
      <c r="C20" s="469">
        <f>'Rainfall Max'!R14</f>
        <v>2024</v>
      </c>
      <c r="D20" s="427">
        <f>'Rainfall Max'!W14</f>
        <v>172</v>
      </c>
      <c r="E20" s="428">
        <f t="shared" si="0"/>
        <v>-48.7</v>
      </c>
      <c r="F20" s="429">
        <f t="shared" si="1"/>
        <v>2371.69</v>
      </c>
      <c r="G20" s="748">
        <f t="shared" si="6"/>
        <v>11</v>
      </c>
      <c r="H20" s="430">
        <f t="shared" si="2"/>
        <v>1</v>
      </c>
      <c r="I20" s="431">
        <f t="shared" si="3"/>
        <v>9.0909090909090912E-2</v>
      </c>
      <c r="J20" s="431">
        <f t="shared" si="4"/>
        <v>2.3978952727983707</v>
      </c>
      <c r="K20" s="431">
        <f t="shared" si="4"/>
        <v>-0.87459138292368899</v>
      </c>
      <c r="L20" s="428">
        <f t="shared" si="7"/>
        <v>-1.3697979363467601</v>
      </c>
      <c r="M20" s="432">
        <f t="shared" si="5"/>
        <v>1.8763463864198424</v>
      </c>
    </row>
    <row r="21" spans="1:13" ht="16.2" thickBot="1" x14ac:dyDescent="0.35">
      <c r="A21" s="433"/>
      <c r="B21" s="434" t="s">
        <v>4408</v>
      </c>
      <c r="C21" s="435"/>
      <c r="D21" s="436">
        <f>SUM(D11:D20)</f>
        <v>1233</v>
      </c>
      <c r="E21" s="435"/>
      <c r="F21" s="437">
        <f>SUM(F11:F20)</f>
        <v>8260.1</v>
      </c>
      <c r="G21" s="435"/>
      <c r="H21" s="435"/>
      <c r="I21" s="435"/>
      <c r="J21" s="435"/>
      <c r="K21" s="438">
        <f>SUM(K11:K20)</f>
        <v>4.9520655342307105</v>
      </c>
      <c r="L21" s="435"/>
      <c r="M21" s="439">
        <f>SUM(M11:M20)</f>
        <v>9.0178796782343511</v>
      </c>
    </row>
    <row r="22" spans="1:13" ht="16.2" thickTop="1" x14ac:dyDescent="0.3">
      <c r="A22" s="414"/>
      <c r="B22" s="416"/>
      <c r="C22" s="416"/>
      <c r="D22" s="440"/>
      <c r="E22" s="416"/>
      <c r="F22" s="441"/>
      <c r="G22" s="416"/>
      <c r="H22" s="416"/>
      <c r="I22" s="416"/>
      <c r="J22" s="416"/>
      <c r="K22" s="442"/>
      <c r="L22" s="416"/>
      <c r="M22" s="443"/>
    </row>
    <row r="23" spans="1:13" ht="15.6" x14ac:dyDescent="0.3">
      <c r="A23" s="414"/>
      <c r="B23" s="422"/>
      <c r="C23" s="422"/>
      <c r="D23" s="440"/>
      <c r="E23" s="416"/>
      <c r="F23" s="416"/>
      <c r="G23" s="416"/>
      <c r="H23" s="444"/>
      <c r="I23" s="445" t="s">
        <v>4409</v>
      </c>
      <c r="J23" s="416"/>
      <c r="K23" s="416"/>
      <c r="L23" s="416"/>
      <c r="M23" s="417"/>
    </row>
    <row r="24" spans="1:13" ht="19.2" x14ac:dyDescent="0.6">
      <c r="A24" s="414"/>
      <c r="B24" s="446" t="s">
        <v>4410</v>
      </c>
      <c r="C24" s="447"/>
      <c r="D24" s="448">
        <f>D21/B20</f>
        <v>123.3</v>
      </c>
      <c r="E24" s="449" t="s">
        <v>4411</v>
      </c>
      <c r="F24" s="416"/>
      <c r="G24" s="416"/>
      <c r="H24" s="444"/>
      <c r="I24" s="450" t="s">
        <v>4412</v>
      </c>
      <c r="J24" s="913" t="s">
        <v>4413</v>
      </c>
      <c r="K24" s="913"/>
      <c r="L24" s="422"/>
      <c r="M24" s="417"/>
    </row>
    <row r="25" spans="1:13" ht="15.6" x14ac:dyDescent="0.3">
      <c r="A25" s="414"/>
      <c r="B25" s="416"/>
      <c r="C25" s="416"/>
      <c r="D25" s="416"/>
      <c r="E25" s="416"/>
      <c r="F25" s="416"/>
      <c r="G25" s="416"/>
      <c r="H25" s="444"/>
      <c r="I25" s="422"/>
      <c r="J25" s="422"/>
      <c r="K25" s="422"/>
      <c r="L25" s="422"/>
      <c r="M25" s="417"/>
    </row>
    <row r="26" spans="1:13" ht="15.6" x14ac:dyDescent="0.3">
      <c r="A26" s="414">
        <v>2</v>
      </c>
      <c r="B26" s="914" t="s">
        <v>4414</v>
      </c>
      <c r="C26" s="914"/>
      <c r="D26" s="914"/>
      <c r="E26" s="914"/>
      <c r="F26" s="914"/>
      <c r="G26" s="431">
        <f>(F21/(B20-1))^0.5</f>
        <v>30.295030762303064</v>
      </c>
      <c r="H26" s="444"/>
      <c r="I26" s="450" t="s">
        <v>4415</v>
      </c>
      <c r="J26" s="913" t="s">
        <v>4416</v>
      </c>
      <c r="K26" s="913"/>
      <c r="L26" s="913"/>
      <c r="M26" s="417"/>
    </row>
    <row r="27" spans="1:13" ht="15.6" x14ac:dyDescent="0.3">
      <c r="A27" s="414">
        <v>3</v>
      </c>
      <c r="B27" s="914" t="s">
        <v>4417</v>
      </c>
      <c r="C27" s="914"/>
      <c r="D27" s="914"/>
      <c r="E27" s="914"/>
      <c r="F27" s="914"/>
      <c r="G27" s="428">
        <f>K21/B20</f>
        <v>0.49520655342307107</v>
      </c>
      <c r="H27" s="444"/>
      <c r="I27" s="450" t="s">
        <v>4418</v>
      </c>
      <c r="J27" s="915" t="s">
        <v>4419</v>
      </c>
      <c r="K27" s="915"/>
      <c r="L27" s="915"/>
      <c r="M27" s="417"/>
    </row>
    <row r="28" spans="1:13" ht="15.6" x14ac:dyDescent="0.3">
      <c r="A28" s="414">
        <v>4</v>
      </c>
      <c r="B28" s="921" t="s">
        <v>4420</v>
      </c>
      <c r="C28" s="921"/>
      <c r="D28" s="921"/>
      <c r="E28" s="921"/>
      <c r="F28" s="921"/>
      <c r="G28" s="452">
        <f>(M21/(B20-1))^0.5</f>
        <v>1.0009928226090974</v>
      </c>
      <c r="H28" s="444"/>
      <c r="I28" s="450" t="s">
        <v>4421</v>
      </c>
      <c r="J28" s="913" t="s">
        <v>4422</v>
      </c>
      <c r="K28" s="913"/>
      <c r="L28" s="913"/>
      <c r="M28" s="417"/>
    </row>
    <row r="29" spans="1:13" ht="15.6" x14ac:dyDescent="0.3">
      <c r="A29" s="414">
        <v>5</v>
      </c>
      <c r="B29" s="922" t="s">
        <v>4423</v>
      </c>
      <c r="C29" s="923"/>
      <c r="D29" s="923"/>
      <c r="E29" s="923"/>
      <c r="F29" s="923"/>
      <c r="G29" s="453">
        <f>-LN(-LN(9/10))</f>
        <v>2.2503673273124454</v>
      </c>
      <c r="H29" s="444"/>
      <c r="I29" s="450" t="s">
        <v>4424</v>
      </c>
      <c r="J29" s="915" t="s">
        <v>4425</v>
      </c>
      <c r="K29" s="915"/>
      <c r="L29" s="915"/>
      <c r="M29" s="417"/>
    </row>
    <row r="30" spans="1:13" ht="16.2" thickBot="1" x14ac:dyDescent="0.35">
      <c r="A30" s="414"/>
      <c r="B30" s="924" t="s">
        <v>4441</v>
      </c>
      <c r="C30" s="925"/>
      <c r="D30" s="925"/>
      <c r="E30" s="925"/>
      <c r="F30" s="925"/>
      <c r="G30" s="454"/>
      <c r="H30" s="444"/>
      <c r="I30" s="450"/>
      <c r="J30" s="451"/>
      <c r="K30" s="451"/>
      <c r="L30" s="451"/>
      <c r="M30" s="417"/>
    </row>
    <row r="31" spans="1:13" ht="19.8" thickBot="1" x14ac:dyDescent="0.65">
      <c r="A31" s="414">
        <v>6</v>
      </c>
      <c r="B31" s="926" t="s">
        <v>4440</v>
      </c>
      <c r="C31" s="926"/>
      <c r="D31" s="926"/>
      <c r="E31" s="926"/>
      <c r="F31" s="927"/>
      <c r="G31" s="455">
        <f>D24+(G26/G28)*(G29-G27)</f>
        <v>176.41991098914298</v>
      </c>
      <c r="H31" s="456" t="s">
        <v>4428</v>
      </c>
      <c r="I31" s="450" t="s">
        <v>4429</v>
      </c>
      <c r="J31" s="928" t="s">
        <v>4430</v>
      </c>
      <c r="K31" s="929"/>
      <c r="L31" s="929"/>
      <c r="M31" s="417"/>
    </row>
    <row r="32" spans="1:13" ht="16.2" thickBot="1" x14ac:dyDescent="0.35">
      <c r="A32" s="414"/>
      <c r="B32" s="416"/>
      <c r="C32" s="416"/>
      <c r="D32" s="416"/>
      <c r="E32" s="416"/>
      <c r="F32" s="416"/>
      <c r="G32" s="416"/>
      <c r="H32" s="416"/>
      <c r="I32" s="450"/>
      <c r="J32" s="916"/>
      <c r="K32" s="916"/>
      <c r="L32" s="916"/>
      <c r="M32" s="443"/>
    </row>
    <row r="33" spans="1:13" ht="16.2" thickTop="1" x14ac:dyDescent="0.3">
      <c r="A33" s="457"/>
      <c r="B33" s="412"/>
      <c r="C33" s="412"/>
      <c r="D33" s="412"/>
      <c r="E33" s="412"/>
      <c r="F33" s="412"/>
      <c r="G33" s="412"/>
      <c r="H33" s="412"/>
      <c r="I33" s="458"/>
      <c r="J33" s="458"/>
      <c r="K33" s="458"/>
      <c r="L33" s="458"/>
      <c r="M33" s="413"/>
    </row>
    <row r="34" spans="1:13" ht="15.6" x14ac:dyDescent="0.3">
      <c r="A34" s="459" t="s">
        <v>4431</v>
      </c>
      <c r="B34" s="416"/>
      <c r="C34" s="416"/>
      <c r="D34" s="460"/>
      <c r="E34" s="416"/>
      <c r="F34" s="416"/>
      <c r="G34" s="416"/>
      <c r="H34" s="444"/>
      <c r="I34" s="461"/>
      <c r="J34" s="461"/>
      <c r="K34" s="461"/>
      <c r="L34" s="422"/>
      <c r="M34" s="417"/>
    </row>
    <row r="35" spans="1:13" ht="15.6" x14ac:dyDescent="0.3">
      <c r="A35" s="414">
        <v>1</v>
      </c>
      <c r="B35" s="415" t="s">
        <v>4432</v>
      </c>
      <c r="C35" s="416"/>
      <c r="D35" s="416"/>
      <c r="E35" s="416"/>
      <c r="F35" s="416"/>
      <c r="G35" s="416"/>
      <c r="H35" s="416"/>
      <c r="I35" s="416"/>
      <c r="J35" s="416"/>
      <c r="K35" s="416"/>
      <c r="L35" s="416"/>
      <c r="M35" s="417"/>
    </row>
    <row r="36" spans="1:13" ht="16.2" thickBot="1" x14ac:dyDescent="0.35">
      <c r="A36" s="462"/>
      <c r="B36" s="444"/>
      <c r="C36" s="416"/>
      <c r="D36" s="444"/>
      <c r="E36" s="416"/>
      <c r="F36" s="416"/>
      <c r="G36" s="416"/>
      <c r="H36" s="416"/>
      <c r="I36" s="461"/>
      <c r="J36" s="461"/>
      <c r="K36" s="461"/>
      <c r="L36" s="422"/>
      <c r="M36" s="417"/>
    </row>
    <row r="37" spans="1:13" ht="16.2" thickBot="1" x14ac:dyDescent="0.35">
      <c r="A37" s="414"/>
      <c r="B37" s="917" t="s">
        <v>4442</v>
      </c>
      <c r="C37" s="918"/>
      <c r="D37" s="918"/>
      <c r="E37" s="918"/>
      <c r="F37" s="918"/>
      <c r="G37" s="463">
        <f>(G31/24) * (24/1)^0.66667</f>
        <v>61.162015069284543</v>
      </c>
      <c r="H37" s="464" t="s">
        <v>4434</v>
      </c>
      <c r="I37" s="450" t="s">
        <v>4435</v>
      </c>
      <c r="J37" s="919" t="s">
        <v>4438</v>
      </c>
      <c r="K37" s="919"/>
      <c r="L37" s="919"/>
      <c r="M37" s="417"/>
    </row>
    <row r="38" spans="1:13" ht="15.6" x14ac:dyDescent="0.3">
      <c r="A38" s="414"/>
      <c r="B38" s="920" t="s">
        <v>4437</v>
      </c>
      <c r="C38" s="920"/>
      <c r="D38" s="920"/>
      <c r="E38" s="920"/>
      <c r="F38" s="920"/>
      <c r="G38" s="416"/>
      <c r="H38" s="416"/>
      <c r="I38" s="416"/>
      <c r="J38" s="416"/>
      <c r="K38" s="416"/>
      <c r="L38" s="416"/>
      <c r="M38" s="417"/>
    </row>
    <row r="39" spans="1:13" ht="15.6" x14ac:dyDescent="0.3">
      <c r="A39" s="414"/>
      <c r="B39" s="416"/>
      <c r="C39" s="416"/>
      <c r="D39" s="416"/>
      <c r="E39" s="416"/>
      <c r="F39" s="416"/>
      <c r="G39" s="416"/>
      <c r="H39" s="416"/>
      <c r="I39" s="416"/>
      <c r="J39" s="416"/>
      <c r="K39" s="416"/>
      <c r="L39" s="416"/>
      <c r="M39" s="417"/>
    </row>
    <row r="40" spans="1:13" ht="16.2" thickBot="1" x14ac:dyDescent="0.35">
      <c r="A40" s="465"/>
      <c r="B40" s="466"/>
      <c r="C40" s="466"/>
      <c r="D40" s="466"/>
      <c r="E40" s="466"/>
      <c r="F40" s="466"/>
      <c r="G40" s="466"/>
      <c r="H40" s="466"/>
      <c r="I40" s="466"/>
      <c r="J40" s="466"/>
      <c r="K40" s="466"/>
      <c r="L40" s="466"/>
      <c r="M40" s="467"/>
    </row>
    <row r="41" spans="1:13" ht="15" thickTop="1" x14ac:dyDescent="0.3"/>
  </sheetData>
  <mergeCells count="17">
    <mergeCell ref="J32:L32"/>
    <mergeCell ref="B37:F37"/>
    <mergeCell ref="J37:L37"/>
    <mergeCell ref="B38:F38"/>
    <mergeCell ref="B28:F28"/>
    <mergeCell ref="J28:L28"/>
    <mergeCell ref="B29:F29"/>
    <mergeCell ref="J29:L29"/>
    <mergeCell ref="B30:F30"/>
    <mergeCell ref="B31:F31"/>
    <mergeCell ref="J31:L31"/>
    <mergeCell ref="A2:M2"/>
    <mergeCell ref="J24:K24"/>
    <mergeCell ref="B26:F26"/>
    <mergeCell ref="J26:L26"/>
    <mergeCell ref="B27:F27"/>
    <mergeCell ref="J27:L2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1A32-2651-4458-8735-8FDCC4DDFBDA}">
  <sheetPr>
    <tabColor rgb="FFC00000"/>
  </sheetPr>
  <dimension ref="A1:M41"/>
  <sheetViews>
    <sheetView topLeftCell="A25" zoomScale="70" zoomScaleNormal="70" workbookViewId="0">
      <selection activeCell="S164" sqref="S164"/>
    </sheetView>
  </sheetViews>
  <sheetFormatPr defaultColWidth="8.88671875" defaultRowHeight="14.4" x14ac:dyDescent="0.3"/>
  <cols>
    <col min="1" max="3" width="8.88671875" style="468"/>
    <col min="4" max="4" width="10.33203125" style="468" bestFit="1" customWidth="1"/>
    <col min="5" max="5" width="10.44140625" style="468" bestFit="1" customWidth="1"/>
    <col min="6" max="6" width="16.6640625" style="468" customWidth="1"/>
    <col min="7" max="7" width="9.6640625" style="468" bestFit="1" customWidth="1"/>
    <col min="8" max="8" width="12.33203125" style="468" bestFit="1" customWidth="1"/>
    <col min="9" max="12" width="8.88671875" style="468"/>
    <col min="13" max="13" width="9.6640625" style="468" bestFit="1" customWidth="1"/>
    <col min="14" max="16384" width="8.88671875" style="468"/>
  </cols>
  <sheetData>
    <row r="1" spans="1:13" ht="15" thickTop="1" x14ac:dyDescent="0.3">
      <c r="A1" s="399"/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401"/>
    </row>
    <row r="2" spans="1:13" ht="22.8" x14ac:dyDescent="0.4">
      <c r="A2" s="910" t="s">
        <v>4391</v>
      </c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2"/>
    </row>
    <row r="3" spans="1:13" x14ac:dyDescent="0.3">
      <c r="A3" s="402"/>
      <c r="B3" s="403"/>
      <c r="C3" s="403"/>
      <c r="D3" s="403"/>
      <c r="E3" s="403"/>
      <c r="F3" s="403"/>
      <c r="G3" s="403"/>
      <c r="H3" s="403"/>
      <c r="I3" s="403"/>
      <c r="J3" s="403"/>
      <c r="K3" s="403"/>
      <c r="L3" s="403"/>
      <c r="M3" s="404"/>
    </row>
    <row r="4" spans="1:13" ht="17.399999999999999" x14ac:dyDescent="0.3">
      <c r="A4" s="405" t="s">
        <v>4392</v>
      </c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7"/>
    </row>
    <row r="5" spans="1:13" ht="15" thickBot="1" x14ac:dyDescent="0.35">
      <c r="A5" s="408"/>
      <c r="B5" s="409"/>
      <c r="C5" s="409"/>
      <c r="D5" s="409"/>
      <c r="E5" s="409"/>
      <c r="F5" s="409"/>
      <c r="G5" s="409"/>
      <c r="H5" s="409"/>
      <c r="I5" s="409"/>
      <c r="J5" s="409"/>
      <c r="K5" s="409"/>
      <c r="L5" s="409"/>
      <c r="M5" s="410"/>
    </row>
    <row r="6" spans="1:13" ht="16.2" thickTop="1" x14ac:dyDescent="0.3">
      <c r="A6" s="411" t="s">
        <v>4393</v>
      </c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3"/>
    </row>
    <row r="7" spans="1:13" ht="15.6" x14ac:dyDescent="0.3">
      <c r="A7" s="414">
        <v>1</v>
      </c>
      <c r="B7" s="415" t="s">
        <v>4394</v>
      </c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7"/>
    </row>
    <row r="8" spans="1:13" ht="15.6" x14ac:dyDescent="0.3">
      <c r="A8" s="418"/>
      <c r="B8" s="419" t="s">
        <v>4395</v>
      </c>
      <c r="C8" s="420"/>
      <c r="D8" s="421"/>
      <c r="E8" s="416"/>
      <c r="F8" s="416"/>
      <c r="G8" s="416"/>
      <c r="H8" s="416"/>
      <c r="I8" s="416"/>
      <c r="J8" s="416"/>
      <c r="K8" s="416"/>
      <c r="L8" s="416"/>
      <c r="M8" s="417"/>
    </row>
    <row r="9" spans="1:13" ht="15.6" x14ac:dyDescent="0.3">
      <c r="A9" s="414"/>
      <c r="B9" s="422"/>
      <c r="C9" s="422"/>
      <c r="D9" s="416"/>
      <c r="E9" s="416"/>
      <c r="F9" s="416"/>
      <c r="G9" s="416"/>
      <c r="H9" s="416"/>
      <c r="I9" s="416" t="s">
        <v>112</v>
      </c>
      <c r="J9" s="416" t="s">
        <v>4396</v>
      </c>
      <c r="K9" s="416"/>
      <c r="L9" s="416"/>
      <c r="M9" s="417"/>
    </row>
    <row r="10" spans="1:13" ht="15.6" x14ac:dyDescent="0.3">
      <c r="A10" s="414"/>
      <c r="B10" s="423" t="s">
        <v>21</v>
      </c>
      <c r="C10" s="423" t="s">
        <v>4436</v>
      </c>
      <c r="D10" s="423" t="s">
        <v>4397</v>
      </c>
      <c r="E10" s="423" t="s">
        <v>4398</v>
      </c>
      <c r="F10" s="423" t="s">
        <v>4399</v>
      </c>
      <c r="G10" s="423" t="s">
        <v>4400</v>
      </c>
      <c r="H10" s="423" t="s">
        <v>4401</v>
      </c>
      <c r="I10" s="423" t="s">
        <v>4402</v>
      </c>
      <c r="J10" s="424" t="s">
        <v>4403</v>
      </c>
      <c r="K10" s="424" t="s">
        <v>4404</v>
      </c>
      <c r="L10" s="423" t="s">
        <v>4405</v>
      </c>
      <c r="M10" s="425" t="s">
        <v>4406</v>
      </c>
    </row>
    <row r="11" spans="1:13" ht="15.6" x14ac:dyDescent="0.3">
      <c r="A11" s="414"/>
      <c r="B11" s="426">
        <v>1</v>
      </c>
      <c r="C11" s="469">
        <f>'Rainfall Max'!R5</f>
        <v>2015</v>
      </c>
      <c r="D11" s="427">
        <f>'Rainfall Max'!W5</f>
        <v>119</v>
      </c>
      <c r="E11" s="428">
        <f t="shared" ref="E11:E20" si="0">D$24-D11</f>
        <v>4.2999999999999972</v>
      </c>
      <c r="F11" s="429">
        <f t="shared" ref="F11:F20" si="1">(E11)^2</f>
        <v>18.489999999999977</v>
      </c>
      <c r="G11" s="430">
        <f>$B$20+1</f>
        <v>11</v>
      </c>
      <c r="H11" s="430">
        <f t="shared" ref="H11:H20" si="2">G11-B11</f>
        <v>10</v>
      </c>
      <c r="I11" s="431">
        <f t="shared" ref="I11:I20" si="3">H11/G11</f>
        <v>0.90909090909090906</v>
      </c>
      <c r="J11" s="431">
        <f t="shared" ref="J11:K19" si="4">-LN(I11)</f>
        <v>9.5310179804324893E-2</v>
      </c>
      <c r="K11" s="431">
        <f t="shared" si="4"/>
        <v>2.3506186555132942</v>
      </c>
      <c r="L11" s="428">
        <f>K11-$G$27</f>
        <v>1.8554121020902232</v>
      </c>
      <c r="M11" s="432">
        <f t="shared" ref="M11:M20" si="5">L11^2</f>
        <v>3.4425540685828611</v>
      </c>
    </row>
    <row r="12" spans="1:13" ht="15.6" x14ac:dyDescent="0.3">
      <c r="A12" s="414"/>
      <c r="B12" s="426">
        <v>2</v>
      </c>
      <c r="C12" s="469">
        <f>'Rainfall Max'!R6</f>
        <v>2016</v>
      </c>
      <c r="D12" s="427">
        <f>'Rainfall Max'!W6</f>
        <v>74</v>
      </c>
      <c r="E12" s="428">
        <f t="shared" si="0"/>
        <v>49.3</v>
      </c>
      <c r="F12" s="429">
        <f t="shared" si="1"/>
        <v>2430.4899999999998</v>
      </c>
      <c r="G12" s="430">
        <f t="shared" ref="G12:G20" si="6">$B$20+1</f>
        <v>11</v>
      </c>
      <c r="H12" s="430">
        <f t="shared" si="2"/>
        <v>9</v>
      </c>
      <c r="I12" s="431">
        <f t="shared" si="3"/>
        <v>0.81818181818181823</v>
      </c>
      <c r="J12" s="431">
        <f t="shared" si="4"/>
        <v>0.20067069546215111</v>
      </c>
      <c r="K12" s="431">
        <f t="shared" si="4"/>
        <v>1.6060900454890579</v>
      </c>
      <c r="L12" s="428">
        <f t="shared" ref="L12:L20" si="7">K12-$G$27</f>
        <v>1.1108834920659869</v>
      </c>
      <c r="M12" s="432">
        <f t="shared" si="5"/>
        <v>1.2340621329447217</v>
      </c>
    </row>
    <row r="13" spans="1:13" ht="15.6" x14ac:dyDescent="0.3">
      <c r="A13" s="414"/>
      <c r="B13" s="426">
        <v>3</v>
      </c>
      <c r="C13" s="469">
        <f>'Rainfall Max'!R7</f>
        <v>2017</v>
      </c>
      <c r="D13" s="427">
        <f>'Rainfall Max'!W7</f>
        <v>100</v>
      </c>
      <c r="E13" s="428">
        <f t="shared" si="0"/>
        <v>23.299999999999997</v>
      </c>
      <c r="F13" s="429">
        <f t="shared" si="1"/>
        <v>542.88999999999987</v>
      </c>
      <c r="G13" s="430">
        <f t="shared" si="6"/>
        <v>11</v>
      </c>
      <c r="H13" s="430">
        <f t="shared" si="2"/>
        <v>8</v>
      </c>
      <c r="I13" s="431">
        <f t="shared" si="3"/>
        <v>0.72727272727272729</v>
      </c>
      <c r="J13" s="431">
        <f t="shared" si="4"/>
        <v>0.31845373111853459</v>
      </c>
      <c r="K13" s="431">
        <f t="shared" si="4"/>
        <v>1.144278085736196</v>
      </c>
      <c r="L13" s="428">
        <f t="shared" si="7"/>
        <v>0.64907153231312498</v>
      </c>
      <c r="M13" s="432">
        <f t="shared" si="5"/>
        <v>0.42129385405930803</v>
      </c>
    </row>
    <row r="14" spans="1:13" ht="15.6" x14ac:dyDescent="0.3">
      <c r="A14" s="414"/>
      <c r="B14" s="426">
        <v>4</v>
      </c>
      <c r="C14" s="469">
        <f>'Rainfall Max'!R8</f>
        <v>2018</v>
      </c>
      <c r="D14" s="427">
        <f>'Rainfall Max'!W8</f>
        <v>139</v>
      </c>
      <c r="E14" s="428">
        <f t="shared" si="0"/>
        <v>-15.700000000000003</v>
      </c>
      <c r="F14" s="429">
        <f t="shared" si="1"/>
        <v>246.49000000000009</v>
      </c>
      <c r="G14" s="430">
        <f t="shared" si="6"/>
        <v>11</v>
      </c>
      <c r="H14" s="430">
        <f t="shared" si="2"/>
        <v>7</v>
      </c>
      <c r="I14" s="431">
        <f t="shared" si="3"/>
        <v>0.63636363636363635</v>
      </c>
      <c r="J14" s="431">
        <f t="shared" si="4"/>
        <v>0.45198512374305727</v>
      </c>
      <c r="K14" s="431">
        <f t="shared" si="4"/>
        <v>0.79410601176440221</v>
      </c>
      <c r="L14" s="428">
        <f t="shared" si="7"/>
        <v>0.29889945834133114</v>
      </c>
      <c r="M14" s="432">
        <f t="shared" si="5"/>
        <v>8.9340886196741146E-2</v>
      </c>
    </row>
    <row r="15" spans="1:13" ht="15.6" x14ac:dyDescent="0.3">
      <c r="A15" s="414"/>
      <c r="B15" s="426">
        <v>5</v>
      </c>
      <c r="C15" s="469">
        <f>'Rainfall Max'!R9</f>
        <v>2019</v>
      </c>
      <c r="D15" s="427">
        <f>'Rainfall Max'!W9</f>
        <v>93</v>
      </c>
      <c r="E15" s="428">
        <f t="shared" si="0"/>
        <v>30.299999999999997</v>
      </c>
      <c r="F15" s="429">
        <f t="shared" si="1"/>
        <v>918.0899999999998</v>
      </c>
      <c r="G15" s="430">
        <f t="shared" si="6"/>
        <v>11</v>
      </c>
      <c r="H15" s="430">
        <f t="shared" si="2"/>
        <v>6</v>
      </c>
      <c r="I15" s="431">
        <f t="shared" si="3"/>
        <v>0.54545454545454541</v>
      </c>
      <c r="J15" s="431">
        <f t="shared" si="4"/>
        <v>0.6061358035703156</v>
      </c>
      <c r="K15" s="431">
        <f t="shared" si="4"/>
        <v>0.50065121971824522</v>
      </c>
      <c r="L15" s="428">
        <f t="shared" si="7"/>
        <v>5.4446662951741498E-3</v>
      </c>
      <c r="M15" s="432">
        <f t="shared" si="5"/>
        <v>2.9644391065805403E-5</v>
      </c>
    </row>
    <row r="16" spans="1:13" ht="15.6" x14ac:dyDescent="0.3">
      <c r="A16" s="414"/>
      <c r="B16" s="426">
        <v>6</v>
      </c>
      <c r="C16" s="469">
        <f>'Rainfall Max'!R10</f>
        <v>2020</v>
      </c>
      <c r="D16" s="427">
        <f>'Rainfall Max'!W10</f>
        <v>106</v>
      </c>
      <c r="E16" s="428">
        <f t="shared" si="0"/>
        <v>17.299999999999997</v>
      </c>
      <c r="F16" s="429">
        <f t="shared" si="1"/>
        <v>299.28999999999991</v>
      </c>
      <c r="G16" s="430">
        <f t="shared" si="6"/>
        <v>11</v>
      </c>
      <c r="H16" s="430">
        <f t="shared" si="2"/>
        <v>5</v>
      </c>
      <c r="I16" s="431">
        <f t="shared" si="3"/>
        <v>0.45454545454545453</v>
      </c>
      <c r="J16" s="431">
        <f t="shared" si="4"/>
        <v>0.78845736036427017</v>
      </c>
      <c r="K16" s="431">
        <f t="shared" si="4"/>
        <v>0.23767695094135349</v>
      </c>
      <c r="L16" s="428">
        <f t="shared" si="7"/>
        <v>-0.25752960248171758</v>
      </c>
      <c r="M16" s="432">
        <f t="shared" si="5"/>
        <v>6.6321496154391479E-2</v>
      </c>
    </row>
    <row r="17" spans="1:13" ht="15.6" x14ac:dyDescent="0.3">
      <c r="A17" s="414"/>
      <c r="B17" s="426">
        <v>7</v>
      </c>
      <c r="C17" s="469">
        <f>'Rainfall Max'!R11</f>
        <v>2021</v>
      </c>
      <c r="D17" s="427">
        <f>'Rainfall Max'!W11</f>
        <v>155</v>
      </c>
      <c r="E17" s="428">
        <f t="shared" si="0"/>
        <v>-31.700000000000003</v>
      </c>
      <c r="F17" s="429">
        <f t="shared" si="1"/>
        <v>1004.8900000000002</v>
      </c>
      <c r="G17" s="430">
        <f t="shared" si="6"/>
        <v>11</v>
      </c>
      <c r="H17" s="430">
        <f t="shared" si="2"/>
        <v>4</v>
      </c>
      <c r="I17" s="431">
        <f t="shared" si="3"/>
        <v>0.36363636363636365</v>
      </c>
      <c r="J17" s="431">
        <f t="shared" si="4"/>
        <v>1.0116009116784799</v>
      </c>
      <c r="K17" s="431">
        <f t="shared" si="4"/>
        <v>-1.1534137037545175E-2</v>
      </c>
      <c r="L17" s="428">
        <f t="shared" si="7"/>
        <v>-0.50674069046061621</v>
      </c>
      <c r="M17" s="432">
        <f t="shared" si="5"/>
        <v>0.25678612736850204</v>
      </c>
    </row>
    <row r="18" spans="1:13" ht="15.6" x14ac:dyDescent="0.3">
      <c r="A18" s="414"/>
      <c r="B18" s="426">
        <v>8</v>
      </c>
      <c r="C18" s="469">
        <f>'Rainfall Max'!R12</f>
        <v>2022</v>
      </c>
      <c r="D18" s="427">
        <f>'Rainfall Max'!W12</f>
        <v>134</v>
      </c>
      <c r="E18" s="428">
        <f t="shared" si="0"/>
        <v>-10.700000000000003</v>
      </c>
      <c r="F18" s="429">
        <f t="shared" si="1"/>
        <v>114.49000000000007</v>
      </c>
      <c r="G18" s="430">
        <f t="shared" si="6"/>
        <v>11</v>
      </c>
      <c r="H18" s="430">
        <f t="shared" si="2"/>
        <v>3</v>
      </c>
      <c r="I18" s="431">
        <f t="shared" si="3"/>
        <v>0.27272727272727271</v>
      </c>
      <c r="J18" s="431">
        <f t="shared" si="4"/>
        <v>1.2992829841302609</v>
      </c>
      <c r="K18" s="431">
        <f t="shared" si="4"/>
        <v>-0.26181256163843886</v>
      </c>
      <c r="L18" s="428">
        <f t="shared" si="7"/>
        <v>-0.75701911506150998</v>
      </c>
      <c r="M18" s="432">
        <f t="shared" si="5"/>
        <v>0.57307794056851169</v>
      </c>
    </row>
    <row r="19" spans="1:13" ht="15.6" x14ac:dyDescent="0.3">
      <c r="A19" s="414"/>
      <c r="B19" s="426">
        <v>9</v>
      </c>
      <c r="C19" s="469">
        <f>'Rainfall Max'!R13</f>
        <v>2023</v>
      </c>
      <c r="D19" s="427">
        <f>'Rainfall Max'!W13</f>
        <v>141</v>
      </c>
      <c r="E19" s="428">
        <f t="shared" si="0"/>
        <v>-17.700000000000003</v>
      </c>
      <c r="F19" s="429">
        <f t="shared" si="1"/>
        <v>313.29000000000008</v>
      </c>
      <c r="G19" s="430">
        <f t="shared" si="6"/>
        <v>11</v>
      </c>
      <c r="H19" s="430">
        <f t="shared" si="2"/>
        <v>2</v>
      </c>
      <c r="I19" s="431">
        <f t="shared" si="3"/>
        <v>0.18181818181818182</v>
      </c>
      <c r="J19" s="431">
        <f t="shared" si="4"/>
        <v>1.7047480922384253</v>
      </c>
      <c r="K19" s="431">
        <f t="shared" si="4"/>
        <v>-0.53341735333216556</v>
      </c>
      <c r="L19" s="428">
        <f t="shared" si="7"/>
        <v>-1.0286239067552367</v>
      </c>
      <c r="M19" s="432">
        <f t="shared" si="5"/>
        <v>1.058067141548406</v>
      </c>
    </row>
    <row r="20" spans="1:13" ht="15.6" x14ac:dyDescent="0.3">
      <c r="A20" s="414" t="s">
        <v>4407</v>
      </c>
      <c r="B20" s="426">
        <v>10</v>
      </c>
      <c r="C20" s="469">
        <f>'Rainfall Max'!R14</f>
        <v>2024</v>
      </c>
      <c r="D20" s="427">
        <f>'Rainfall Max'!W14</f>
        <v>172</v>
      </c>
      <c r="E20" s="428">
        <f t="shared" si="0"/>
        <v>-48.7</v>
      </c>
      <c r="F20" s="429">
        <f t="shared" si="1"/>
        <v>2371.69</v>
      </c>
      <c r="G20" s="430">
        <f t="shared" si="6"/>
        <v>11</v>
      </c>
      <c r="H20" s="430">
        <f t="shared" si="2"/>
        <v>1</v>
      </c>
      <c r="I20" s="431">
        <f t="shared" si="3"/>
        <v>9.0909090909090912E-2</v>
      </c>
      <c r="J20" s="431">
        <f t="shared" ref="J20:K20" si="8">-LN(I20)</f>
        <v>2.3978952727983707</v>
      </c>
      <c r="K20" s="431">
        <f t="shared" si="8"/>
        <v>-0.87459138292368899</v>
      </c>
      <c r="L20" s="428">
        <f t="shared" si="7"/>
        <v>-1.3697979363467601</v>
      </c>
      <c r="M20" s="432">
        <f t="shared" si="5"/>
        <v>1.8763463864198424</v>
      </c>
    </row>
    <row r="21" spans="1:13" ht="16.2" thickBot="1" x14ac:dyDescent="0.35">
      <c r="A21" s="433"/>
      <c r="B21" s="434" t="s">
        <v>4408</v>
      </c>
      <c r="C21" s="435"/>
      <c r="D21" s="436">
        <f>SUM(D11:D20)</f>
        <v>1233</v>
      </c>
      <c r="E21" s="435"/>
      <c r="F21" s="437">
        <f>SUM(F11:F20)</f>
        <v>8260.1</v>
      </c>
      <c r="G21" s="435"/>
      <c r="H21" s="435"/>
      <c r="I21" s="435"/>
      <c r="J21" s="435"/>
      <c r="K21" s="438">
        <f>SUM(K11:K20)</f>
        <v>4.9520655342307105</v>
      </c>
      <c r="L21" s="435"/>
      <c r="M21" s="439">
        <f>SUM(M11:M20)</f>
        <v>9.0178796782343511</v>
      </c>
    </row>
    <row r="22" spans="1:13" ht="16.2" thickTop="1" x14ac:dyDescent="0.3">
      <c r="A22" s="414"/>
      <c r="B22" s="416"/>
      <c r="C22" s="416"/>
      <c r="D22" s="440"/>
      <c r="E22" s="416"/>
      <c r="F22" s="441"/>
      <c r="G22" s="416"/>
      <c r="H22" s="416"/>
      <c r="I22" s="416"/>
      <c r="J22" s="416"/>
      <c r="K22" s="442"/>
      <c r="L22" s="416"/>
      <c r="M22" s="443"/>
    </row>
    <row r="23" spans="1:13" ht="15.6" x14ac:dyDescent="0.3">
      <c r="A23" s="414"/>
      <c r="B23" s="422"/>
      <c r="C23" s="422"/>
      <c r="D23" s="440"/>
      <c r="E23" s="416"/>
      <c r="F23" s="416"/>
      <c r="G23" s="416"/>
      <c r="H23" s="444"/>
      <c r="I23" s="445" t="s">
        <v>4409</v>
      </c>
      <c r="J23" s="416"/>
      <c r="K23" s="416"/>
      <c r="L23" s="416"/>
      <c r="M23" s="417"/>
    </row>
    <row r="24" spans="1:13" ht="19.2" x14ac:dyDescent="0.6">
      <c r="A24" s="414"/>
      <c r="B24" s="446" t="s">
        <v>4410</v>
      </c>
      <c r="C24" s="447"/>
      <c r="D24" s="448">
        <f>D21/B20</f>
        <v>123.3</v>
      </c>
      <c r="E24" s="449" t="s">
        <v>4411</v>
      </c>
      <c r="F24" s="416"/>
      <c r="G24" s="416"/>
      <c r="H24" s="444"/>
      <c r="I24" s="450" t="s">
        <v>4412</v>
      </c>
      <c r="J24" s="913" t="s">
        <v>4413</v>
      </c>
      <c r="K24" s="913"/>
      <c r="L24" s="422"/>
      <c r="M24" s="417"/>
    </row>
    <row r="25" spans="1:13" ht="15.6" x14ac:dyDescent="0.3">
      <c r="A25" s="414"/>
      <c r="B25" s="416"/>
      <c r="C25" s="416"/>
      <c r="D25" s="416"/>
      <c r="E25" s="416"/>
      <c r="F25" s="416"/>
      <c r="G25" s="416"/>
      <c r="H25" s="444"/>
      <c r="I25" s="422"/>
      <c r="J25" s="422"/>
      <c r="K25" s="422"/>
      <c r="L25" s="422"/>
      <c r="M25" s="417"/>
    </row>
    <row r="26" spans="1:13" ht="15.6" x14ac:dyDescent="0.3">
      <c r="A26" s="414">
        <v>2</v>
      </c>
      <c r="B26" s="914" t="s">
        <v>4414</v>
      </c>
      <c r="C26" s="914"/>
      <c r="D26" s="914"/>
      <c r="E26" s="914"/>
      <c r="F26" s="914"/>
      <c r="G26" s="431">
        <f>(F21/(B20-1))^0.5</f>
        <v>30.295030762303064</v>
      </c>
      <c r="H26" s="444"/>
      <c r="I26" s="450" t="s">
        <v>4415</v>
      </c>
      <c r="J26" s="913" t="s">
        <v>4416</v>
      </c>
      <c r="K26" s="913"/>
      <c r="L26" s="913"/>
      <c r="M26" s="417"/>
    </row>
    <row r="27" spans="1:13" ht="15.6" x14ac:dyDescent="0.3">
      <c r="A27" s="414">
        <v>3</v>
      </c>
      <c r="B27" s="914" t="s">
        <v>4417</v>
      </c>
      <c r="C27" s="914"/>
      <c r="D27" s="914"/>
      <c r="E27" s="914"/>
      <c r="F27" s="914"/>
      <c r="G27" s="428">
        <f>K21/B20</f>
        <v>0.49520655342307107</v>
      </c>
      <c r="H27" s="444"/>
      <c r="I27" s="450" t="s">
        <v>4418</v>
      </c>
      <c r="J27" s="915" t="s">
        <v>4419</v>
      </c>
      <c r="K27" s="915"/>
      <c r="L27" s="915"/>
      <c r="M27" s="417"/>
    </row>
    <row r="28" spans="1:13" ht="15.6" x14ac:dyDescent="0.3">
      <c r="A28" s="414">
        <v>4</v>
      </c>
      <c r="B28" s="921" t="s">
        <v>4420</v>
      </c>
      <c r="C28" s="921"/>
      <c r="D28" s="921"/>
      <c r="E28" s="921"/>
      <c r="F28" s="921"/>
      <c r="G28" s="452">
        <f>(M21/(B20-1))^0.5</f>
        <v>1.0009928226090974</v>
      </c>
      <c r="H28" s="444"/>
      <c r="I28" s="450" t="s">
        <v>4421</v>
      </c>
      <c r="J28" s="913" t="s">
        <v>4422</v>
      </c>
      <c r="K28" s="913"/>
      <c r="L28" s="913"/>
      <c r="M28" s="417"/>
    </row>
    <row r="29" spans="1:13" ht="15.6" x14ac:dyDescent="0.3">
      <c r="A29" s="414">
        <v>5</v>
      </c>
      <c r="B29" s="922" t="s">
        <v>4423</v>
      </c>
      <c r="C29" s="923"/>
      <c r="D29" s="923"/>
      <c r="E29" s="923"/>
      <c r="F29" s="923"/>
      <c r="G29" s="453">
        <f>-LN(-LN(24/25))</f>
        <v>3.1985342614453849</v>
      </c>
      <c r="H29" s="444"/>
      <c r="I29" s="450" t="s">
        <v>4424</v>
      </c>
      <c r="J29" s="915" t="s">
        <v>4425</v>
      </c>
      <c r="K29" s="915"/>
      <c r="L29" s="915"/>
      <c r="M29" s="417"/>
    </row>
    <row r="30" spans="1:13" ht="16.2" thickBot="1" x14ac:dyDescent="0.35">
      <c r="A30" s="414"/>
      <c r="B30" s="924" t="s">
        <v>4426</v>
      </c>
      <c r="C30" s="925"/>
      <c r="D30" s="925"/>
      <c r="E30" s="925"/>
      <c r="F30" s="925"/>
      <c r="G30" s="454"/>
      <c r="H30" s="444"/>
      <c r="I30" s="450"/>
      <c r="J30" s="451"/>
      <c r="K30" s="451"/>
      <c r="L30" s="451"/>
      <c r="M30" s="417"/>
    </row>
    <row r="31" spans="1:13" ht="19.8" thickBot="1" x14ac:dyDescent="0.65">
      <c r="A31" s="414">
        <v>6</v>
      </c>
      <c r="B31" s="926" t="s">
        <v>4427</v>
      </c>
      <c r="C31" s="926"/>
      <c r="D31" s="926"/>
      <c r="E31" s="926"/>
      <c r="F31" s="927"/>
      <c r="G31" s="455">
        <f>D24+(G26/G28)*(G29-G27)</f>
        <v>205.11616713460131</v>
      </c>
      <c r="H31" s="456" t="s">
        <v>4428</v>
      </c>
      <c r="I31" s="450" t="s">
        <v>4429</v>
      </c>
      <c r="J31" s="928" t="s">
        <v>4430</v>
      </c>
      <c r="K31" s="929"/>
      <c r="L31" s="929"/>
      <c r="M31" s="417"/>
    </row>
    <row r="32" spans="1:13" ht="16.2" thickBot="1" x14ac:dyDescent="0.35">
      <c r="A32" s="414"/>
      <c r="B32" s="416"/>
      <c r="C32" s="416"/>
      <c r="D32" s="416"/>
      <c r="E32" s="416"/>
      <c r="F32" s="416"/>
      <c r="G32" s="416"/>
      <c r="H32" s="416"/>
      <c r="I32" s="450"/>
      <c r="J32" s="916"/>
      <c r="K32" s="916"/>
      <c r="L32" s="916"/>
      <c r="M32" s="443"/>
    </row>
    <row r="33" spans="1:13" ht="16.2" thickTop="1" x14ac:dyDescent="0.3">
      <c r="A33" s="457"/>
      <c r="B33" s="412"/>
      <c r="C33" s="412"/>
      <c r="D33" s="412"/>
      <c r="E33" s="412"/>
      <c r="F33" s="412"/>
      <c r="G33" s="412"/>
      <c r="H33" s="412"/>
      <c r="I33" s="458"/>
      <c r="J33" s="458"/>
      <c r="K33" s="458"/>
      <c r="L33" s="458"/>
      <c r="M33" s="413"/>
    </row>
    <row r="34" spans="1:13" ht="15.6" x14ac:dyDescent="0.3">
      <c r="A34" s="459" t="s">
        <v>4431</v>
      </c>
      <c r="B34" s="416"/>
      <c r="C34" s="416"/>
      <c r="D34" s="460"/>
      <c r="E34" s="416"/>
      <c r="F34" s="416"/>
      <c r="G34" s="416"/>
      <c r="H34" s="444"/>
      <c r="I34" s="461"/>
      <c r="J34" s="461"/>
      <c r="K34" s="461"/>
      <c r="L34" s="422"/>
      <c r="M34" s="417"/>
    </row>
    <row r="35" spans="1:13" ht="15.6" x14ac:dyDescent="0.3">
      <c r="A35" s="414">
        <v>1</v>
      </c>
      <c r="B35" s="415" t="s">
        <v>4432</v>
      </c>
      <c r="C35" s="416"/>
      <c r="D35" s="416"/>
      <c r="E35" s="416"/>
      <c r="F35" s="416"/>
      <c r="G35" s="416"/>
      <c r="H35" s="416"/>
      <c r="I35" s="416"/>
      <c r="J35" s="416"/>
      <c r="K35" s="416"/>
      <c r="L35" s="416"/>
      <c r="M35" s="417"/>
    </row>
    <row r="36" spans="1:13" ht="16.2" thickBot="1" x14ac:dyDescent="0.35">
      <c r="A36" s="462"/>
      <c r="B36" s="444"/>
      <c r="C36" s="416"/>
      <c r="D36" s="444"/>
      <c r="E36" s="416"/>
      <c r="F36" s="416"/>
      <c r="G36" s="416"/>
      <c r="H36" s="416"/>
      <c r="I36" s="461"/>
      <c r="J36" s="461"/>
      <c r="K36" s="461"/>
      <c r="L36" s="422"/>
      <c r="M36" s="417"/>
    </row>
    <row r="37" spans="1:13" ht="16.2" thickBot="1" x14ac:dyDescent="0.35">
      <c r="A37" s="414"/>
      <c r="B37" s="917" t="s">
        <v>4433</v>
      </c>
      <c r="C37" s="918"/>
      <c r="D37" s="918"/>
      <c r="E37" s="918"/>
      <c r="F37" s="918"/>
      <c r="G37" s="463">
        <f>(G31/24) * (24/1)^0.66667</f>
        <v>71.110556823784037</v>
      </c>
      <c r="H37" s="464" t="s">
        <v>4434</v>
      </c>
      <c r="I37" s="450" t="s">
        <v>4435</v>
      </c>
      <c r="J37" s="919" t="s">
        <v>4438</v>
      </c>
      <c r="K37" s="919"/>
      <c r="L37" s="919"/>
      <c r="M37" s="417"/>
    </row>
    <row r="38" spans="1:13" ht="15.6" x14ac:dyDescent="0.3">
      <c r="A38" s="414"/>
      <c r="B38" s="920" t="s">
        <v>4437</v>
      </c>
      <c r="C38" s="920"/>
      <c r="D38" s="920"/>
      <c r="E38" s="920"/>
      <c r="F38" s="920"/>
      <c r="G38" s="416"/>
      <c r="H38" s="416"/>
      <c r="I38" s="416"/>
      <c r="J38" s="416"/>
      <c r="K38" s="416"/>
      <c r="L38" s="416"/>
      <c r="M38" s="417"/>
    </row>
    <row r="39" spans="1:13" ht="15.6" x14ac:dyDescent="0.3">
      <c r="A39" s="414"/>
      <c r="B39" s="416"/>
      <c r="C39" s="416"/>
      <c r="D39" s="416"/>
      <c r="E39" s="416"/>
      <c r="F39" s="416"/>
      <c r="G39" s="416"/>
      <c r="H39" s="416"/>
      <c r="I39" s="416"/>
      <c r="J39" s="416"/>
      <c r="K39" s="416"/>
      <c r="L39" s="416"/>
      <c r="M39" s="417"/>
    </row>
    <row r="40" spans="1:13" ht="16.2" thickBot="1" x14ac:dyDescent="0.35">
      <c r="A40" s="465"/>
      <c r="B40" s="466"/>
      <c r="C40" s="466"/>
      <c r="D40" s="466"/>
      <c r="E40" s="466"/>
      <c r="F40" s="466"/>
      <c r="G40" s="466"/>
      <c r="H40" s="466"/>
      <c r="I40" s="466"/>
      <c r="J40" s="466"/>
      <c r="K40" s="466"/>
      <c r="L40" s="466"/>
      <c r="M40" s="467"/>
    </row>
    <row r="41" spans="1:13" ht="15" thickTop="1" x14ac:dyDescent="0.3"/>
  </sheetData>
  <mergeCells count="17">
    <mergeCell ref="J32:L32"/>
    <mergeCell ref="B37:F37"/>
    <mergeCell ref="J37:L37"/>
    <mergeCell ref="B38:F38"/>
    <mergeCell ref="B28:F28"/>
    <mergeCell ref="J28:L28"/>
    <mergeCell ref="B29:F29"/>
    <mergeCell ref="J29:L29"/>
    <mergeCell ref="B30:F30"/>
    <mergeCell ref="B31:F31"/>
    <mergeCell ref="J31:L31"/>
    <mergeCell ref="A2:M2"/>
    <mergeCell ref="J24:K24"/>
    <mergeCell ref="B26:F26"/>
    <mergeCell ref="J26:L26"/>
    <mergeCell ref="B27:F27"/>
    <mergeCell ref="J27:L2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DE561-F5B4-4183-9C29-B06C0CC98643}">
  <sheetPr>
    <tabColor rgb="FFCCFF99"/>
  </sheetPr>
  <dimension ref="B2:J14"/>
  <sheetViews>
    <sheetView workbookViewId="0">
      <selection activeCell="H25" sqref="H25"/>
    </sheetView>
  </sheetViews>
  <sheetFormatPr defaultColWidth="8.88671875" defaultRowHeight="14.4" x14ac:dyDescent="0.3"/>
  <cols>
    <col min="1" max="16384" width="8.88671875" style="506"/>
  </cols>
  <sheetData>
    <row r="2" spans="2:10" x14ac:dyDescent="0.3">
      <c r="B2" s="933" t="s">
        <v>4776</v>
      </c>
      <c r="C2" s="933"/>
      <c r="D2" s="933"/>
      <c r="E2" s="933"/>
    </row>
    <row r="3" spans="2:10" x14ac:dyDescent="0.3">
      <c r="B3" s="934" t="s">
        <v>4774</v>
      </c>
      <c r="C3" s="934"/>
      <c r="D3" s="934"/>
      <c r="E3" s="934"/>
    </row>
    <row r="4" spans="2:10" x14ac:dyDescent="0.3">
      <c r="B4" s="930" t="s">
        <v>4452</v>
      </c>
      <c r="C4" s="931"/>
      <c r="D4" s="931"/>
      <c r="E4" s="932"/>
    </row>
    <row r="5" spans="2:10" x14ac:dyDescent="0.3">
      <c r="B5" s="507" t="s">
        <v>4455</v>
      </c>
      <c r="C5" s="507" t="s">
        <v>4456</v>
      </c>
      <c r="D5" s="507" t="s">
        <v>4453</v>
      </c>
      <c r="E5" s="507" t="s">
        <v>4454</v>
      </c>
    </row>
    <row r="6" spans="2:10" x14ac:dyDescent="0.3">
      <c r="B6" s="736">
        <f>'RTr Gumbel'!F31</f>
        <v>119.13670505165257</v>
      </c>
      <c r="C6" s="736">
        <f>'RTr Gumbel'!F32</f>
        <v>152.81241499187436</v>
      </c>
      <c r="D6" s="736">
        <f>'RTr Gumbel'!F33</f>
        <v>175.10866519250885</v>
      </c>
      <c r="E6" s="736">
        <f>'RTr Gumbel'!F34</f>
        <v>203.28003642722399</v>
      </c>
    </row>
    <row r="7" spans="2:10" x14ac:dyDescent="0.3">
      <c r="B7" s="508">
        <f>(B6/24) * (24/1)^0.66667</f>
        <v>41.30282635797559</v>
      </c>
      <c r="C7" s="508">
        <f t="shared" ref="C7:D7" si="0">(C6/24) * (24/1)^0.66667</f>
        <v>52.977666614297078</v>
      </c>
      <c r="D7" s="508">
        <f t="shared" si="0"/>
        <v>60.70742672535205</v>
      </c>
      <c r="E7" s="508">
        <f>(E6/24) * (24/1)^0.66667</f>
        <v>70.473999116866821</v>
      </c>
    </row>
    <row r="10" spans="2:10" x14ac:dyDescent="0.3">
      <c r="B10" s="933" t="s">
        <v>4641</v>
      </c>
      <c r="C10" s="933"/>
      <c r="D10" s="933"/>
      <c r="E10" s="933"/>
      <c r="G10" s="934" t="s">
        <v>4773</v>
      </c>
      <c r="H10" s="934"/>
      <c r="I10" s="934"/>
      <c r="J10" s="934"/>
    </row>
    <row r="11" spans="2:10" x14ac:dyDescent="0.3">
      <c r="B11" s="934" t="s">
        <v>4451</v>
      </c>
      <c r="C11" s="934"/>
      <c r="D11" s="934"/>
      <c r="E11" s="934"/>
      <c r="G11" s="930" t="s">
        <v>4452</v>
      </c>
      <c r="H11" s="931"/>
      <c r="I11" s="931"/>
      <c r="J11" s="932"/>
    </row>
    <row r="12" spans="2:10" x14ac:dyDescent="0.3">
      <c r="B12" s="930" t="s">
        <v>4452</v>
      </c>
      <c r="C12" s="931"/>
      <c r="D12" s="931"/>
      <c r="E12" s="932"/>
      <c r="G12" s="507" t="s">
        <v>4455</v>
      </c>
      <c r="H12" s="507" t="s">
        <v>4456</v>
      </c>
      <c r="I12" s="507" t="s">
        <v>4453</v>
      </c>
      <c r="J12" s="507" t="s">
        <v>4454</v>
      </c>
    </row>
    <row r="13" spans="2:10" x14ac:dyDescent="0.3">
      <c r="B13" s="507" t="s">
        <v>4455</v>
      </c>
      <c r="C13" s="507" t="s">
        <v>4456</v>
      </c>
      <c r="D13" s="507" t="s">
        <v>4453</v>
      </c>
      <c r="E13" s="507" t="s">
        <v>4454</v>
      </c>
      <c r="G13" s="736">
        <f>'[1]Summary Intensity (I)'!B6</f>
        <v>327.98120972656801</v>
      </c>
      <c r="H13" s="736">
        <f>'[1]Summary Intensity (I)'!C6</f>
        <v>540.41038150463146</v>
      </c>
      <c r="I13" s="736">
        <f>'[1]Summary Intensity (I)'!D6</f>
        <v>681.05697729384769</v>
      </c>
      <c r="J13" s="736">
        <f>'[1]Summary Intensity (I)'!E6</f>
        <v>858.76432392041966</v>
      </c>
    </row>
    <row r="14" spans="2:10" x14ac:dyDescent="0.3">
      <c r="B14" s="508">
        <v>37.47</v>
      </c>
      <c r="C14" s="508">
        <v>50</v>
      </c>
      <c r="D14" s="508">
        <v>58.29</v>
      </c>
      <c r="E14" s="508">
        <v>68.760000000000005</v>
      </c>
      <c r="G14" s="508">
        <f>(G13/24) * (24/1)^0.66667</f>
        <v>113.70593930847768</v>
      </c>
      <c r="H14" s="508">
        <f t="shared" ref="H14:J14" si="1">(H13/24) * (24/1)^0.66667</f>
        <v>187.3518000993559</v>
      </c>
      <c r="I14" s="508">
        <f t="shared" si="1"/>
        <v>236.11176808070809</v>
      </c>
      <c r="J14" s="508">
        <f t="shared" si="1"/>
        <v>297.7201168853158</v>
      </c>
    </row>
  </sheetData>
  <mergeCells count="8">
    <mergeCell ref="B12:E12"/>
    <mergeCell ref="B10:E10"/>
    <mergeCell ref="G10:J10"/>
    <mergeCell ref="G11:J11"/>
    <mergeCell ref="B2:E2"/>
    <mergeCell ref="B3:E3"/>
    <mergeCell ref="B4:E4"/>
    <mergeCell ref="B11:E1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3D2A-211A-4E63-BDAF-248DE6C18BE0}">
  <sheetPr>
    <tabColor rgb="FFCCFF99"/>
  </sheetPr>
  <dimension ref="B2:M33"/>
  <sheetViews>
    <sheetView topLeftCell="A13" workbookViewId="0">
      <selection activeCell="B3" sqref="B3:I5"/>
    </sheetView>
  </sheetViews>
  <sheetFormatPr defaultColWidth="8.88671875" defaultRowHeight="14.4" x14ac:dyDescent="0.3"/>
  <cols>
    <col min="1" max="7" width="8.88671875" style="506"/>
    <col min="8" max="8" width="16.44140625" style="506" bestFit="1" customWidth="1"/>
    <col min="9" max="16384" width="8.88671875" style="506"/>
  </cols>
  <sheetData>
    <row r="2" spans="2:13" ht="15" thickBot="1" x14ac:dyDescent="0.35"/>
    <row r="3" spans="2:13" ht="27.6" customHeight="1" thickBot="1" x14ac:dyDescent="0.35">
      <c r="B3" s="935" t="s">
        <v>4464</v>
      </c>
      <c r="C3" s="936"/>
      <c r="D3" s="935" t="s">
        <v>4465</v>
      </c>
      <c r="E3" s="937"/>
      <c r="F3" s="938" t="s">
        <v>4466</v>
      </c>
      <c r="G3" s="937"/>
    </row>
    <row r="4" spans="2:13" ht="35.4" customHeight="1" x14ac:dyDescent="0.3">
      <c r="B4" s="491" t="s">
        <v>4467</v>
      </c>
      <c r="C4" s="492">
        <v>0.03</v>
      </c>
      <c r="D4" s="493" t="s">
        <v>4468</v>
      </c>
      <c r="E4" s="494">
        <v>0.04</v>
      </c>
      <c r="F4" s="495" t="s">
        <v>4469</v>
      </c>
      <c r="G4" s="496">
        <v>0.04</v>
      </c>
    </row>
    <row r="5" spans="2:13" ht="34.950000000000003" customHeight="1" x14ac:dyDescent="0.3">
      <c r="B5" s="497" t="s">
        <v>4470</v>
      </c>
      <c r="C5" s="498">
        <v>0.08</v>
      </c>
      <c r="D5" s="499" t="s">
        <v>4471</v>
      </c>
      <c r="E5" s="500">
        <v>0.08</v>
      </c>
      <c r="F5" s="501" t="s">
        <v>4472</v>
      </c>
      <c r="G5" s="500">
        <v>0.11</v>
      </c>
    </row>
    <row r="6" spans="2:13" ht="33.6" customHeight="1" x14ac:dyDescent="0.3">
      <c r="B6" s="497" t="s">
        <v>4473</v>
      </c>
      <c r="C6" s="498">
        <v>0.16</v>
      </c>
      <c r="D6" s="497" t="s">
        <v>4474</v>
      </c>
      <c r="E6" s="500">
        <v>0.16</v>
      </c>
      <c r="F6" s="501" t="s">
        <v>4475</v>
      </c>
      <c r="G6" s="500">
        <v>0.21</v>
      </c>
    </row>
    <row r="7" spans="2:13" ht="39.6" customHeight="1" thickBot="1" x14ac:dyDescent="0.35">
      <c r="B7" s="502" t="s">
        <v>4476</v>
      </c>
      <c r="C7" s="503">
        <v>0.26</v>
      </c>
      <c r="D7" s="502" t="s">
        <v>4477</v>
      </c>
      <c r="E7" s="504">
        <v>0.26</v>
      </c>
      <c r="F7" s="505" t="s">
        <v>4478</v>
      </c>
      <c r="G7" s="504">
        <v>0.28000000000000003</v>
      </c>
    </row>
    <row r="8" spans="2:13" x14ac:dyDescent="0.3">
      <c r="H8" s="939" t="s">
        <v>4551</v>
      </c>
      <c r="I8" s="939"/>
      <c r="K8" s="557">
        <f>C6+E7+G7</f>
        <v>0.70000000000000007</v>
      </c>
    </row>
    <row r="10" spans="2:13" x14ac:dyDescent="0.3">
      <c r="H10" s="506" t="s">
        <v>4553</v>
      </c>
      <c r="K10" s="557">
        <v>0.65</v>
      </c>
    </row>
    <row r="12" spans="2:13" x14ac:dyDescent="0.3">
      <c r="H12" s="506" t="s">
        <v>4552</v>
      </c>
      <c r="I12" s="546">
        <f>10.7/16.16</f>
        <v>0.66212871287128705</v>
      </c>
      <c r="K12" s="506">
        <f>C7+E6+G4</f>
        <v>0.46</v>
      </c>
      <c r="M12" s="506">
        <f>I12*K12</f>
        <v>0.30457920792079207</v>
      </c>
    </row>
    <row r="13" spans="2:13" x14ac:dyDescent="0.3">
      <c r="I13" s="547">
        <f>1-I12</f>
        <v>0.33787128712871295</v>
      </c>
      <c r="K13" s="506">
        <v>0.9</v>
      </c>
      <c r="M13" s="506">
        <f>I13*K13</f>
        <v>0.30408415841584169</v>
      </c>
    </row>
    <row r="14" spans="2:13" x14ac:dyDescent="0.3">
      <c r="H14" s="506" t="s">
        <v>4544</v>
      </c>
      <c r="M14" s="557">
        <f>M13+M12</f>
        <v>0.60866336633663376</v>
      </c>
    </row>
    <row r="17" spans="8:13" x14ac:dyDescent="0.3">
      <c r="H17" s="506" t="s">
        <v>4545</v>
      </c>
      <c r="I17" s="546">
        <f>3.7/20.5</f>
        <v>0.1804878048780488</v>
      </c>
      <c r="K17" s="506">
        <f>K12</f>
        <v>0.46</v>
      </c>
      <c r="M17" s="506">
        <f>I17*K17</f>
        <v>8.3024390243902457E-2</v>
      </c>
    </row>
    <row r="18" spans="8:13" x14ac:dyDescent="0.3">
      <c r="I18" s="547">
        <f>1-I17</f>
        <v>0.81951219512195117</v>
      </c>
      <c r="K18" s="506">
        <f>K13</f>
        <v>0.9</v>
      </c>
      <c r="M18" s="506">
        <f>I18*K18</f>
        <v>0.73756097560975609</v>
      </c>
    </row>
    <row r="19" spans="8:13" x14ac:dyDescent="0.3">
      <c r="H19" s="506" t="s">
        <v>4544</v>
      </c>
      <c r="M19" s="557">
        <f>M18+M17</f>
        <v>0.8205853658536586</v>
      </c>
    </row>
    <row r="21" spans="8:13" x14ac:dyDescent="0.3">
      <c r="H21" s="506" t="s">
        <v>4604</v>
      </c>
    </row>
    <row r="22" spans="8:13" x14ac:dyDescent="0.3">
      <c r="H22" s="506" t="s">
        <v>4552</v>
      </c>
      <c r="I22" s="546">
        <f>14.8/42.1</f>
        <v>0.35154394299287411</v>
      </c>
      <c r="K22" s="506">
        <f>K17</f>
        <v>0.46</v>
      </c>
      <c r="M22" s="506">
        <f>I22*K22</f>
        <v>0.16171021377672209</v>
      </c>
    </row>
    <row r="23" spans="8:13" x14ac:dyDescent="0.3">
      <c r="I23" s="547">
        <f>1-I22</f>
        <v>0.64845605700712583</v>
      </c>
      <c r="K23" s="506">
        <v>0.9</v>
      </c>
      <c r="M23" s="506">
        <f>I23*K23</f>
        <v>0.58361045130641331</v>
      </c>
    </row>
    <row r="24" spans="8:13" x14ac:dyDescent="0.3">
      <c r="H24" s="506" t="s">
        <v>4544</v>
      </c>
      <c r="M24" s="557">
        <f>M23+M22</f>
        <v>0.74532066508313544</v>
      </c>
    </row>
    <row r="27" spans="8:13" x14ac:dyDescent="0.3">
      <c r="H27" s="506" t="s">
        <v>4658</v>
      </c>
      <c r="I27" s="546">
        <f>20.27/49.65</f>
        <v>0.408257804632427</v>
      </c>
      <c r="K27" s="506">
        <v>0.6</v>
      </c>
      <c r="M27" s="506">
        <f>I27*K27</f>
        <v>0.2449546827794562</v>
      </c>
    </row>
    <row r="28" spans="8:13" x14ac:dyDescent="0.3">
      <c r="I28" s="547">
        <f>1-I27</f>
        <v>0.591742195367573</v>
      </c>
      <c r="K28" s="506">
        <v>0.9</v>
      </c>
      <c r="M28" s="506">
        <f>I28*K28</f>
        <v>0.53256797583081572</v>
      </c>
    </row>
    <row r="29" spans="8:13" x14ac:dyDescent="0.3">
      <c r="M29" s="557">
        <f>SUM(M27:M28)</f>
        <v>0.77752265861027192</v>
      </c>
    </row>
    <row r="31" spans="8:13" x14ac:dyDescent="0.3">
      <c r="H31" s="506" t="s">
        <v>4659</v>
      </c>
      <c r="I31" s="546">
        <f>58.78/76.34</f>
        <v>0.76997642127325128</v>
      </c>
      <c r="K31" s="506">
        <v>0.6</v>
      </c>
      <c r="M31" s="506">
        <f>I31*K31</f>
        <v>0.46198585276395077</v>
      </c>
    </row>
    <row r="32" spans="8:13" x14ac:dyDescent="0.3">
      <c r="I32" s="546">
        <f>1-I31</f>
        <v>0.23002357872674872</v>
      </c>
      <c r="K32" s="506">
        <v>0.9</v>
      </c>
      <c r="M32" s="506">
        <f>I32*K32</f>
        <v>0.20702122085407385</v>
      </c>
    </row>
    <row r="33" spans="13:13" x14ac:dyDescent="0.3">
      <c r="M33" s="557">
        <f>SUM(M31:M32)</f>
        <v>0.66900707361802458</v>
      </c>
    </row>
  </sheetData>
  <mergeCells count="4">
    <mergeCell ref="B3:C3"/>
    <mergeCell ref="D3:E3"/>
    <mergeCell ref="F3:G3"/>
    <mergeCell ref="H8:I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25DA-E8B9-4B2F-8F6B-ACC40E87D126}">
  <sheetPr>
    <tabColor rgb="FFCCFF99"/>
  </sheetPr>
  <dimension ref="B3:E11"/>
  <sheetViews>
    <sheetView workbookViewId="0">
      <selection activeCell="B3" sqref="B3:I5"/>
    </sheetView>
  </sheetViews>
  <sheetFormatPr defaultColWidth="8.88671875" defaultRowHeight="14.4" x14ac:dyDescent="0.3"/>
  <cols>
    <col min="1" max="1" width="8.88671875" style="506"/>
    <col min="2" max="2" width="4" style="506" bestFit="1" customWidth="1"/>
    <col min="3" max="3" width="19.33203125" style="506" customWidth="1"/>
    <col min="4" max="4" width="30.109375" style="506" customWidth="1"/>
    <col min="5" max="5" width="17.44140625" style="506" customWidth="1"/>
    <col min="6" max="16384" width="8.88671875" style="506"/>
  </cols>
  <sheetData>
    <row r="3" spans="2:5" ht="23.4" customHeight="1" x14ac:dyDescent="0.3">
      <c r="B3" s="509" t="s">
        <v>8</v>
      </c>
      <c r="C3" s="509" t="s">
        <v>4482</v>
      </c>
      <c r="D3" s="509" t="s">
        <v>4479</v>
      </c>
      <c r="E3" s="510" t="s">
        <v>4480</v>
      </c>
    </row>
    <row r="4" spans="2:5" x14ac:dyDescent="0.3">
      <c r="B4" s="511">
        <v>1</v>
      </c>
      <c r="C4" s="940" t="s">
        <v>4483</v>
      </c>
      <c r="D4" s="513" t="s">
        <v>4481</v>
      </c>
      <c r="E4" s="512"/>
    </row>
    <row r="5" spans="2:5" x14ac:dyDescent="0.3">
      <c r="B5" s="511">
        <v>2</v>
      </c>
      <c r="C5" s="941"/>
      <c r="D5" s="513" t="s">
        <v>4484</v>
      </c>
      <c r="E5" s="512"/>
    </row>
    <row r="6" spans="2:5" x14ac:dyDescent="0.3">
      <c r="B6" s="511">
        <v>3</v>
      </c>
      <c r="C6" s="941"/>
      <c r="D6" s="513" t="s">
        <v>4485</v>
      </c>
      <c r="E6" s="512"/>
    </row>
    <row r="7" spans="2:5" x14ac:dyDescent="0.3">
      <c r="B7" s="511">
        <v>4</v>
      </c>
      <c r="C7" s="941"/>
      <c r="D7" s="513" t="s">
        <v>4487</v>
      </c>
      <c r="E7" s="512"/>
    </row>
    <row r="8" spans="2:5" x14ac:dyDescent="0.3">
      <c r="B8" s="511">
        <v>5</v>
      </c>
      <c r="C8" s="941"/>
      <c r="D8" s="513" t="s">
        <v>4488</v>
      </c>
      <c r="E8" s="512"/>
    </row>
    <row r="9" spans="2:5" x14ac:dyDescent="0.3">
      <c r="B9" s="511">
        <v>6</v>
      </c>
      <c r="C9" s="941"/>
      <c r="D9" s="513" t="s">
        <v>4487</v>
      </c>
      <c r="E9" s="512"/>
    </row>
    <row r="10" spans="2:5" x14ac:dyDescent="0.3">
      <c r="B10" s="511">
        <v>7</v>
      </c>
      <c r="C10" s="941"/>
      <c r="D10" s="513" t="s">
        <v>4488</v>
      </c>
      <c r="E10" s="512"/>
    </row>
    <row r="11" spans="2:5" x14ac:dyDescent="0.3">
      <c r="B11" s="511">
        <v>8</v>
      </c>
      <c r="C11" s="942"/>
      <c r="D11" s="513" t="s">
        <v>4486</v>
      </c>
      <c r="E11" s="512"/>
    </row>
  </sheetData>
  <mergeCells count="1">
    <mergeCell ref="C4:C1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91D1-3062-4F4A-874B-EFFF2F30CAEA}">
  <sheetPr>
    <tabColor rgb="FF0000FF"/>
  </sheetPr>
  <dimension ref="B1:O44"/>
  <sheetViews>
    <sheetView workbookViewId="0">
      <selection activeCell="C3" sqref="C3:G15"/>
    </sheetView>
  </sheetViews>
  <sheetFormatPr defaultRowHeight="14.4" x14ac:dyDescent="0.3"/>
  <cols>
    <col min="2" max="2" width="3.44140625" bestFit="1" customWidth="1"/>
    <col min="3" max="3" width="2.6640625" style="534" customWidth="1"/>
    <col min="4" max="4" width="22.33203125" style="534" customWidth="1"/>
    <col min="5" max="5" width="14.88671875" style="534" customWidth="1"/>
    <col min="6" max="6" width="22.44140625" bestFit="1" customWidth="1"/>
    <col min="7" max="7" width="12.109375" customWidth="1"/>
    <col min="8" max="8" width="10.109375" customWidth="1"/>
    <col min="9" max="9" width="12.109375" customWidth="1"/>
    <col min="10" max="10" width="11.33203125" customWidth="1"/>
    <col min="11" max="11" width="10.88671875" customWidth="1"/>
  </cols>
  <sheetData>
    <row r="1" spans="2:15" ht="15" thickBot="1" x14ac:dyDescent="0.35"/>
    <row r="2" spans="2:15" ht="15" thickBot="1" x14ac:dyDescent="0.35">
      <c r="B2" s="945" t="s">
        <v>4601</v>
      </c>
      <c r="C2" s="946"/>
      <c r="D2" s="946"/>
      <c r="E2" s="946"/>
      <c r="F2" s="946"/>
      <c r="G2" s="946"/>
      <c r="H2" s="946"/>
      <c r="I2" s="946"/>
      <c r="J2" s="947"/>
    </row>
    <row r="3" spans="2:15" ht="24" customHeight="1" x14ac:dyDescent="0.3">
      <c r="B3" s="943" t="s">
        <v>4507</v>
      </c>
      <c r="C3" s="950" t="s">
        <v>4508</v>
      </c>
      <c r="D3" s="951"/>
      <c r="E3" s="943" t="s">
        <v>4541</v>
      </c>
      <c r="F3" s="532" t="s">
        <v>4509</v>
      </c>
      <c r="G3" s="943" t="s">
        <v>4510</v>
      </c>
      <c r="H3" s="532" t="s">
        <v>4511</v>
      </c>
      <c r="I3" s="532" t="s">
        <v>4512</v>
      </c>
      <c r="J3" s="943" t="s">
        <v>4597</v>
      </c>
    </row>
    <row r="4" spans="2:15" x14ac:dyDescent="0.3">
      <c r="B4" s="944"/>
      <c r="C4" s="952"/>
      <c r="D4" s="953"/>
      <c r="E4" s="944"/>
      <c r="F4" s="531" t="s">
        <v>4769</v>
      </c>
      <c r="G4" s="944"/>
      <c r="H4" s="531" t="s">
        <v>4513</v>
      </c>
      <c r="I4" s="531" t="s">
        <v>4514</v>
      </c>
      <c r="J4" s="944"/>
    </row>
    <row r="5" spans="2:15" x14ac:dyDescent="0.3">
      <c r="B5" s="470">
        <v>1</v>
      </c>
      <c r="C5" s="948" t="s">
        <v>4530</v>
      </c>
      <c r="D5" s="949"/>
      <c r="E5" s="470" t="s">
        <v>4542</v>
      </c>
      <c r="F5" s="533">
        <f>'Summary Intensity (I)'!B7</f>
        <v>41.30282635797559</v>
      </c>
      <c r="G5" s="548">
        <f>'Runoff Coeff. (C)'!K10</f>
        <v>0.65</v>
      </c>
      <c r="H5" s="552">
        <v>71.75</v>
      </c>
      <c r="I5" s="554">
        <f>0.00278*(F5*G5*H5)</f>
        <v>5.3550043686708397</v>
      </c>
      <c r="J5" s="554" t="s">
        <v>4771</v>
      </c>
    </row>
    <row r="6" spans="2:15" hidden="1" x14ac:dyDescent="0.3">
      <c r="B6" s="470">
        <v>2</v>
      </c>
      <c r="C6" s="948" t="s">
        <v>4616</v>
      </c>
      <c r="D6" s="949"/>
      <c r="E6" s="470" t="s">
        <v>4542</v>
      </c>
      <c r="F6" s="533">
        <f>F5</f>
        <v>41.30282635797559</v>
      </c>
      <c r="G6" s="548">
        <f>G5</f>
        <v>0.65</v>
      </c>
      <c r="H6" s="552">
        <v>7.14</v>
      </c>
      <c r="I6" s="554">
        <f t="shared" ref="I6:I7" si="0">0.00278*(F6*G6*H6)</f>
        <v>0.53288823961407383</v>
      </c>
      <c r="J6" s="554" t="s">
        <v>4598</v>
      </c>
    </row>
    <row r="7" spans="2:15" hidden="1" x14ac:dyDescent="0.3">
      <c r="B7" s="470">
        <v>3</v>
      </c>
      <c r="C7" s="948" t="s">
        <v>4617</v>
      </c>
      <c r="D7" s="949"/>
      <c r="E7" s="470" t="s">
        <v>4542</v>
      </c>
      <c r="F7" s="533">
        <f>F6</f>
        <v>41.30282635797559</v>
      </c>
      <c r="G7" s="548">
        <f>G6</f>
        <v>0.65</v>
      </c>
      <c r="H7" s="552">
        <v>7.14</v>
      </c>
      <c r="I7" s="554">
        <f t="shared" si="0"/>
        <v>0.53288823961407383</v>
      </c>
      <c r="J7" s="554" t="s">
        <v>4598</v>
      </c>
    </row>
    <row r="8" spans="2:15" hidden="1" x14ac:dyDescent="0.3">
      <c r="B8" s="470">
        <v>4</v>
      </c>
      <c r="C8" s="948" t="s">
        <v>4618</v>
      </c>
      <c r="D8" s="949"/>
      <c r="E8" s="470" t="s">
        <v>4543</v>
      </c>
      <c r="F8" s="533">
        <f>'Gumbell 25 th'!$G$37</f>
        <v>71.110556823784037</v>
      </c>
      <c r="G8" s="548">
        <f>G29</f>
        <v>0.74532066508313544</v>
      </c>
      <c r="H8" s="552">
        <v>40.75</v>
      </c>
      <c r="I8" s="554">
        <f>0.00278*(F8*G8*H8)</f>
        <v>6.0041239759551388</v>
      </c>
      <c r="J8" s="554" t="s">
        <v>4598</v>
      </c>
    </row>
    <row r="9" spans="2:15" hidden="1" x14ac:dyDescent="0.3">
      <c r="B9" s="551"/>
      <c r="C9" s="948" t="s">
        <v>4532</v>
      </c>
      <c r="D9" s="949"/>
      <c r="E9" s="545"/>
      <c r="F9" s="545"/>
      <c r="G9" s="545"/>
      <c r="H9" s="553"/>
      <c r="I9" s="555"/>
      <c r="J9" s="555"/>
    </row>
    <row r="10" spans="2:15" hidden="1" x14ac:dyDescent="0.3">
      <c r="B10" s="470">
        <v>5</v>
      </c>
      <c r="C10" s="529" t="s">
        <v>112</v>
      </c>
      <c r="D10" s="544" t="s">
        <v>4609</v>
      </c>
      <c r="E10" s="470" t="s">
        <v>4543</v>
      </c>
      <c r="F10" s="533">
        <f>$F$30</f>
        <v>71.110556823784037</v>
      </c>
      <c r="G10" s="550">
        <f>'Runoff Coeff. (C)'!$K$8</f>
        <v>0.70000000000000007</v>
      </c>
      <c r="H10" s="552">
        <v>1.2</v>
      </c>
      <c r="I10" s="554">
        <f t="shared" ref="I10:I15" si="1">0.00278*(F10*G10*H10)</f>
        <v>0.16605737229490047</v>
      </c>
      <c r="J10" s="554" t="s">
        <v>4599</v>
      </c>
    </row>
    <row r="11" spans="2:15" hidden="1" x14ac:dyDescent="0.3">
      <c r="B11" s="470">
        <v>6</v>
      </c>
      <c r="C11" s="529" t="s">
        <v>4396</v>
      </c>
      <c r="D11" s="544" t="s">
        <v>4608</v>
      </c>
      <c r="E11" s="470" t="s">
        <v>4543</v>
      </c>
      <c r="F11" s="533">
        <f>$F$30</f>
        <v>71.110556823784037</v>
      </c>
      <c r="G11" s="550">
        <f>'Runoff Coeff. (C)'!$K$8</f>
        <v>0.70000000000000007</v>
      </c>
      <c r="H11" s="552">
        <v>1.4350000000000001</v>
      </c>
      <c r="I11" s="554">
        <f t="shared" si="1"/>
        <v>0.19857694103598517</v>
      </c>
      <c r="J11" s="554" t="s">
        <v>4599</v>
      </c>
    </row>
    <row r="12" spans="2:15" hidden="1" x14ac:dyDescent="0.3">
      <c r="B12" s="470">
        <v>5</v>
      </c>
      <c r="C12" s="529" t="s">
        <v>4533</v>
      </c>
      <c r="D12" s="544" t="s">
        <v>4534</v>
      </c>
      <c r="E12" s="470" t="s">
        <v>4543</v>
      </c>
      <c r="F12" s="533">
        <f t="shared" ref="F12:F15" si="2">$F$30</f>
        <v>71.110556823784037</v>
      </c>
      <c r="G12" s="550">
        <f>'Runoff Coeff. (C)'!$K$8</f>
        <v>0.70000000000000007</v>
      </c>
      <c r="H12" s="552">
        <f>0.8</f>
        <v>0.8</v>
      </c>
      <c r="I12" s="554">
        <f t="shared" si="1"/>
        <v>0.11070491486326701</v>
      </c>
      <c r="J12" s="554" t="s">
        <v>4599</v>
      </c>
    </row>
    <row r="13" spans="2:15" hidden="1" x14ac:dyDescent="0.3">
      <c r="B13" s="470">
        <v>6</v>
      </c>
      <c r="C13" s="529" t="s">
        <v>11</v>
      </c>
      <c r="D13" s="544" t="s">
        <v>4535</v>
      </c>
      <c r="E13" s="470" t="s">
        <v>4543</v>
      </c>
      <c r="F13" s="533">
        <f t="shared" si="2"/>
        <v>71.110556823784037</v>
      </c>
      <c r="G13" s="550">
        <f>'Runoff Coeff. (C)'!$K$8</f>
        <v>0.70000000000000007</v>
      </c>
      <c r="H13" s="552">
        <v>0.98</v>
      </c>
      <c r="I13" s="554">
        <f t="shared" si="1"/>
        <v>0.13561352070750207</v>
      </c>
      <c r="J13" s="554" t="s">
        <v>4599</v>
      </c>
    </row>
    <row r="14" spans="2:15" hidden="1" x14ac:dyDescent="0.3">
      <c r="B14" s="470">
        <v>7</v>
      </c>
      <c r="C14" s="529" t="s">
        <v>4539</v>
      </c>
      <c r="D14" s="544" t="s">
        <v>4536</v>
      </c>
      <c r="E14" s="470" t="s">
        <v>4543</v>
      </c>
      <c r="F14" s="533">
        <f t="shared" si="2"/>
        <v>71.110556823784037</v>
      </c>
      <c r="G14" s="550">
        <f>'Runoff Coeff. (C)'!$K$8</f>
        <v>0.70000000000000007</v>
      </c>
      <c r="H14" s="552">
        <v>1</v>
      </c>
      <c r="I14" s="554">
        <f t="shared" si="1"/>
        <v>0.13838114357908374</v>
      </c>
      <c r="J14" s="554" t="s">
        <v>4599</v>
      </c>
    </row>
    <row r="15" spans="2:15" hidden="1" x14ac:dyDescent="0.3">
      <c r="B15" s="470">
        <v>8</v>
      </c>
      <c r="C15" s="529" t="s">
        <v>4607</v>
      </c>
      <c r="D15" s="544" t="s">
        <v>4537</v>
      </c>
      <c r="E15" s="470" t="s">
        <v>4543</v>
      </c>
      <c r="F15" s="533">
        <f t="shared" si="2"/>
        <v>71.110556823784037</v>
      </c>
      <c r="G15" s="550">
        <f>'Runoff Coeff. (C)'!$K$8</f>
        <v>0.70000000000000007</v>
      </c>
      <c r="H15" s="552">
        <v>0.75</v>
      </c>
      <c r="I15" s="554">
        <f t="shared" si="1"/>
        <v>0.10378585768431282</v>
      </c>
      <c r="J15" s="554" t="s">
        <v>4599</v>
      </c>
    </row>
    <row r="16" spans="2:15" hidden="1" x14ac:dyDescent="0.3">
      <c r="B16" s="551"/>
      <c r="C16" s="948" t="s">
        <v>4538</v>
      </c>
      <c r="D16" s="949"/>
      <c r="E16" s="545"/>
      <c r="F16" s="545"/>
      <c r="G16" s="545"/>
      <c r="H16" s="553"/>
      <c r="I16" s="555"/>
      <c r="J16" s="555"/>
      <c r="N16" t="s">
        <v>4504</v>
      </c>
      <c r="O16">
        <v>12</v>
      </c>
    </row>
    <row r="17" spans="2:15" hidden="1" x14ac:dyDescent="0.3">
      <c r="B17" s="470">
        <v>9</v>
      </c>
      <c r="C17" s="470" t="s">
        <v>112</v>
      </c>
      <c r="D17" s="544" t="s">
        <v>4534</v>
      </c>
      <c r="E17" s="470" t="s">
        <v>4543</v>
      </c>
      <c r="F17" s="533">
        <f t="shared" ref="F17:F22" si="3">$F$15</f>
        <v>71.110556823784037</v>
      </c>
      <c r="G17" s="550">
        <f>'Runoff Coeff. (C)'!$K$8</f>
        <v>0.70000000000000007</v>
      </c>
      <c r="H17" s="552">
        <v>0.45</v>
      </c>
      <c r="I17" s="554">
        <f t="shared" ref="I17:I23" si="4">0.00278*(F17*G17*H17)</f>
        <v>6.2271514610587685E-2</v>
      </c>
      <c r="J17" s="554" t="s">
        <v>4599</v>
      </c>
      <c r="N17" t="s">
        <v>4610</v>
      </c>
      <c r="O17">
        <v>50</v>
      </c>
    </row>
    <row r="18" spans="2:15" hidden="1" x14ac:dyDescent="0.3">
      <c r="B18" s="470">
        <v>10</v>
      </c>
      <c r="C18" s="470" t="s">
        <v>4396</v>
      </c>
      <c r="D18" s="544" t="s">
        <v>4535</v>
      </c>
      <c r="E18" s="470" t="s">
        <v>4543</v>
      </c>
      <c r="F18" s="533">
        <f t="shared" si="3"/>
        <v>71.110556823784037</v>
      </c>
      <c r="G18" s="550">
        <f>'Runoff Coeff. (C)'!$K$8</f>
        <v>0.70000000000000007</v>
      </c>
      <c r="H18" s="552">
        <v>0.32</v>
      </c>
      <c r="I18" s="554">
        <f t="shared" si="4"/>
        <v>4.4281965945306805E-2</v>
      </c>
      <c r="J18" s="554" t="s">
        <v>4599</v>
      </c>
      <c r="N18" t="s">
        <v>4611</v>
      </c>
      <c r="O18">
        <v>4</v>
      </c>
    </row>
    <row r="19" spans="2:15" hidden="1" x14ac:dyDescent="0.3">
      <c r="B19" s="470">
        <v>11</v>
      </c>
      <c r="C19" s="470" t="s">
        <v>4533</v>
      </c>
      <c r="D19" s="544" t="s">
        <v>4536</v>
      </c>
      <c r="E19" s="470" t="s">
        <v>4543</v>
      </c>
      <c r="F19" s="533">
        <f t="shared" si="3"/>
        <v>71.110556823784037</v>
      </c>
      <c r="G19" s="550">
        <f>'Runoff Coeff. (C)'!$K$8</f>
        <v>0.70000000000000007</v>
      </c>
      <c r="H19" s="552">
        <v>0.26</v>
      </c>
      <c r="I19" s="554">
        <f t="shared" si="4"/>
        <v>3.5979097330561774E-2</v>
      </c>
      <c r="J19" s="554" t="s">
        <v>4599</v>
      </c>
      <c r="N19" t="s">
        <v>4612</v>
      </c>
      <c r="O19">
        <f>O17*O16</f>
        <v>600</v>
      </c>
    </row>
    <row r="20" spans="2:15" hidden="1" x14ac:dyDescent="0.3">
      <c r="B20" s="470">
        <v>12</v>
      </c>
      <c r="C20" s="470" t="s">
        <v>11</v>
      </c>
      <c r="D20" s="544" t="s">
        <v>4537</v>
      </c>
      <c r="E20" s="470" t="s">
        <v>4543</v>
      </c>
      <c r="F20" s="533">
        <f t="shared" si="3"/>
        <v>71.110556823784037</v>
      </c>
      <c r="G20" s="550">
        <f>'Runoff Coeff. (C)'!$K$8</f>
        <v>0.70000000000000007</v>
      </c>
      <c r="H20" s="552">
        <v>0.28000000000000003</v>
      </c>
      <c r="I20" s="554">
        <f t="shared" si="4"/>
        <v>3.8746720202143453E-2</v>
      </c>
      <c r="J20" s="554" t="s">
        <v>4599</v>
      </c>
      <c r="N20" t="s">
        <v>4613</v>
      </c>
      <c r="O20" s="641">
        <f>O19*O18</f>
        <v>2400</v>
      </c>
    </row>
    <row r="21" spans="2:15" hidden="1" x14ac:dyDescent="0.3">
      <c r="B21" s="470">
        <v>13</v>
      </c>
      <c r="C21" s="529" t="s">
        <v>4539</v>
      </c>
      <c r="D21" s="544" t="s">
        <v>4540</v>
      </c>
      <c r="E21" s="470" t="s">
        <v>4543</v>
      </c>
      <c r="F21" s="533">
        <f t="shared" si="3"/>
        <v>71.110556823784037</v>
      </c>
      <c r="G21" s="550">
        <f>'Runoff Coeff. (C)'!$K$8</f>
        <v>0.70000000000000007</v>
      </c>
      <c r="H21" s="552">
        <v>0.28000000000000003</v>
      </c>
      <c r="I21" s="554">
        <f t="shared" si="4"/>
        <v>3.8746720202143453E-2</v>
      </c>
      <c r="J21" s="554" t="s">
        <v>4599</v>
      </c>
    </row>
    <row r="22" spans="2:15" hidden="1" x14ac:dyDescent="0.3">
      <c r="B22" s="470">
        <v>14</v>
      </c>
      <c r="C22" s="948" t="s">
        <v>4619</v>
      </c>
      <c r="D22" s="949"/>
      <c r="E22" s="470" t="s">
        <v>4543</v>
      </c>
      <c r="F22" s="533">
        <f t="shared" si="3"/>
        <v>71.110556823784037</v>
      </c>
      <c r="G22" s="550">
        <f>G29</f>
        <v>0.74532066508313544</v>
      </c>
      <c r="H22" s="552">
        <v>33.43</v>
      </c>
      <c r="I22" s="554">
        <f t="shared" si="4"/>
        <v>4.9255917672682283</v>
      </c>
      <c r="J22" s="554" t="s">
        <v>4599</v>
      </c>
      <c r="L22" s="641">
        <f>I22*60*60*1</f>
        <v>17732.130362165623</v>
      </c>
    </row>
    <row r="23" spans="2:15" hidden="1" x14ac:dyDescent="0.3">
      <c r="B23" s="470">
        <v>15</v>
      </c>
      <c r="C23" s="948" t="s">
        <v>4614</v>
      </c>
      <c r="D23" s="949"/>
      <c r="E23" s="470" t="s">
        <v>4542</v>
      </c>
      <c r="F23" s="533">
        <f>F7</f>
        <v>41.30282635797559</v>
      </c>
      <c r="G23" s="550">
        <f>G5</f>
        <v>0.65</v>
      </c>
      <c r="H23" s="552">
        <v>7.14</v>
      </c>
      <c r="I23" s="554">
        <f t="shared" si="4"/>
        <v>0.53288823961407383</v>
      </c>
      <c r="J23" s="554" t="s">
        <v>4599</v>
      </c>
      <c r="L23" s="641">
        <f>I23*60*60*1</f>
        <v>1918.3976626106657</v>
      </c>
      <c r="O23">
        <v>721.8</v>
      </c>
    </row>
    <row r="24" spans="2:15" ht="15" thickBot="1" x14ac:dyDescent="0.35">
      <c r="F24" s="535"/>
      <c r="G24" s="535"/>
      <c r="H24" s="535"/>
    </row>
    <row r="25" spans="2:15" ht="15" thickBot="1" x14ac:dyDescent="0.35">
      <c r="B25" s="945" t="s">
        <v>4603</v>
      </c>
      <c r="C25" s="946"/>
      <c r="D25" s="946"/>
      <c r="E25" s="946"/>
      <c r="F25" s="946"/>
      <c r="G25" s="946"/>
      <c r="H25" s="946"/>
      <c r="I25" s="946"/>
      <c r="J25" s="947"/>
    </row>
    <row r="26" spans="2:15" ht="24" x14ac:dyDescent="0.3">
      <c r="B26" s="943" t="s">
        <v>4507</v>
      </c>
      <c r="C26" s="950" t="s">
        <v>4508</v>
      </c>
      <c r="D26" s="951"/>
      <c r="E26" s="943" t="s">
        <v>4541</v>
      </c>
      <c r="F26" s="532" t="s">
        <v>4509</v>
      </c>
      <c r="G26" s="943" t="s">
        <v>4510</v>
      </c>
      <c r="H26" s="532" t="s">
        <v>4511</v>
      </c>
      <c r="I26" s="532" t="s">
        <v>4512</v>
      </c>
      <c r="J26" s="943" t="s">
        <v>4597</v>
      </c>
      <c r="O26">
        <f>O23-3</f>
        <v>718.8</v>
      </c>
    </row>
    <row r="27" spans="2:15" x14ac:dyDescent="0.3">
      <c r="B27" s="944"/>
      <c r="C27" s="952"/>
      <c r="D27" s="953"/>
      <c r="E27" s="944"/>
      <c r="F27" s="531" t="s">
        <v>4769</v>
      </c>
      <c r="G27" s="944"/>
      <c r="H27" s="531" t="s">
        <v>4513</v>
      </c>
      <c r="I27" s="531" t="s">
        <v>4514</v>
      </c>
      <c r="J27" s="944"/>
    </row>
    <row r="28" spans="2:15" x14ac:dyDescent="0.3">
      <c r="B28" s="470">
        <v>1</v>
      </c>
      <c r="C28" s="948" t="s">
        <v>4530</v>
      </c>
      <c r="D28" s="949"/>
      <c r="E28" s="470" t="s">
        <v>4543</v>
      </c>
      <c r="F28" s="533">
        <f>'Summary Intensity (I)'!J14</f>
        <v>297.7201168853158</v>
      </c>
      <c r="G28" s="548">
        <f>'Runoff Coeff. (C)'!K10</f>
        <v>0.65</v>
      </c>
      <c r="H28" s="552">
        <v>40.67</v>
      </c>
      <c r="I28" s="554">
        <f>0.00278*(F28*G28*H28)</f>
        <v>21.879656816782511</v>
      </c>
      <c r="J28" s="554" t="s">
        <v>4598</v>
      </c>
    </row>
    <row r="29" spans="2:15" hidden="1" x14ac:dyDescent="0.3">
      <c r="B29" s="470">
        <v>3</v>
      </c>
      <c r="C29" s="948" t="s">
        <v>4531</v>
      </c>
      <c r="D29" s="949"/>
      <c r="E29" s="470" t="s">
        <v>4543</v>
      </c>
      <c r="F29" s="533">
        <f>'Gumbell 25 th'!$G$37</f>
        <v>71.110556823784037</v>
      </c>
      <c r="G29" s="548">
        <f>'Runoff Coeff. (C)'!M24</f>
        <v>0.74532066508313544</v>
      </c>
      <c r="H29" s="552">
        <v>40.75</v>
      </c>
      <c r="I29" s="636">
        <f>0.00278*(F29*G29*H29)</f>
        <v>6.0041239759551388</v>
      </c>
      <c r="J29" s="554" t="s">
        <v>4599</v>
      </c>
    </row>
    <row r="30" spans="2:15" hidden="1" x14ac:dyDescent="0.3">
      <c r="B30" s="470">
        <v>4</v>
      </c>
      <c r="C30" s="948" t="s">
        <v>4602</v>
      </c>
      <c r="D30" s="949"/>
      <c r="E30" s="470" t="s">
        <v>4543</v>
      </c>
      <c r="F30" s="533">
        <f>'Gumbell 25 th'!$G$37</f>
        <v>71.110556823784037</v>
      </c>
      <c r="G30" s="549">
        <v>1</v>
      </c>
      <c r="H30" s="552">
        <v>52.27</v>
      </c>
      <c r="I30" s="554">
        <f>0.00278*(F30*G30*H30)</f>
        <v>10.333117678398153</v>
      </c>
      <c r="J30" s="554" t="s">
        <v>4599</v>
      </c>
    </row>
    <row r="31" spans="2:15" hidden="1" x14ac:dyDescent="0.3">
      <c r="B31" s="551"/>
      <c r="C31" s="948" t="s">
        <v>4532</v>
      </c>
      <c r="D31" s="949"/>
      <c r="E31" s="545"/>
      <c r="F31" s="545"/>
      <c r="G31" s="545"/>
      <c r="H31" s="553"/>
      <c r="I31" s="555"/>
      <c r="J31" s="555"/>
    </row>
    <row r="32" spans="2:15" hidden="1" x14ac:dyDescent="0.3">
      <c r="B32" s="470">
        <v>5</v>
      </c>
      <c r="C32" s="529" t="s">
        <v>112</v>
      </c>
      <c r="D32" s="544" t="s">
        <v>4609</v>
      </c>
      <c r="E32" s="470" t="s">
        <v>4543</v>
      </c>
      <c r="F32" s="533">
        <f>$F$30</f>
        <v>71.110556823784037</v>
      </c>
      <c r="G32" s="550">
        <f>'Runoff Coeff. (C)'!$K$8</f>
        <v>0.70000000000000007</v>
      </c>
      <c r="H32" s="552">
        <v>1.36</v>
      </c>
      <c r="I32" s="554">
        <f t="shared" ref="I32:I37" si="5">0.00278*(F32*G32*H32)</f>
        <v>0.18819835526755391</v>
      </c>
      <c r="J32" s="554" t="s">
        <v>4599</v>
      </c>
    </row>
    <row r="33" spans="2:10" hidden="1" x14ac:dyDescent="0.3">
      <c r="B33" s="470">
        <v>6</v>
      </c>
      <c r="C33" s="529" t="s">
        <v>4396</v>
      </c>
      <c r="D33" s="544" t="s">
        <v>4608</v>
      </c>
      <c r="E33" s="470" t="s">
        <v>4543</v>
      </c>
      <c r="F33" s="533">
        <f>$F$30</f>
        <v>71.110556823784037</v>
      </c>
      <c r="G33" s="550">
        <f>'Runoff Coeff. (C)'!$K$8</f>
        <v>0.70000000000000007</v>
      </c>
      <c r="H33" s="552">
        <v>1.4350000000000001</v>
      </c>
      <c r="I33" s="554">
        <f t="shared" si="5"/>
        <v>0.19857694103598517</v>
      </c>
      <c r="J33" s="554" t="s">
        <v>4599</v>
      </c>
    </row>
    <row r="34" spans="2:10" hidden="1" x14ac:dyDescent="0.3">
      <c r="B34" s="470">
        <v>7</v>
      </c>
      <c r="C34" s="529" t="s">
        <v>4533</v>
      </c>
      <c r="D34" s="544" t="s">
        <v>4534</v>
      </c>
      <c r="E34" s="470" t="s">
        <v>4543</v>
      </c>
      <c r="F34" s="533">
        <f>$F$30</f>
        <v>71.110556823784037</v>
      </c>
      <c r="G34" s="550">
        <f>'Runoff Coeff. (C)'!$K$8</f>
        <v>0.70000000000000007</v>
      </c>
      <c r="H34" s="552">
        <v>0.8</v>
      </c>
      <c r="I34" s="554">
        <f t="shared" si="5"/>
        <v>0.11070491486326701</v>
      </c>
      <c r="J34" s="554" t="s">
        <v>4599</v>
      </c>
    </row>
    <row r="35" spans="2:10" hidden="1" x14ac:dyDescent="0.3">
      <c r="B35" s="470">
        <v>8</v>
      </c>
      <c r="C35" s="529" t="s">
        <v>11</v>
      </c>
      <c r="D35" s="544" t="s">
        <v>4535</v>
      </c>
      <c r="E35" s="470" t="s">
        <v>4543</v>
      </c>
      <c r="F35" s="533">
        <f t="shared" ref="F35:F37" si="6">$F$30</f>
        <v>71.110556823784037</v>
      </c>
      <c r="G35" s="550">
        <f>'Runoff Coeff. (C)'!$K$8</f>
        <v>0.70000000000000007</v>
      </c>
      <c r="H35" s="552">
        <v>0.98</v>
      </c>
      <c r="I35" s="554">
        <f t="shared" si="5"/>
        <v>0.13561352070750207</v>
      </c>
      <c r="J35" s="554" t="s">
        <v>4599</v>
      </c>
    </row>
    <row r="36" spans="2:10" hidden="1" x14ac:dyDescent="0.3">
      <c r="B36" s="470">
        <v>9</v>
      </c>
      <c r="C36" s="529" t="s">
        <v>4539</v>
      </c>
      <c r="D36" s="544" t="s">
        <v>4536</v>
      </c>
      <c r="E36" s="470" t="s">
        <v>4543</v>
      </c>
      <c r="F36" s="533">
        <f t="shared" si="6"/>
        <v>71.110556823784037</v>
      </c>
      <c r="G36" s="550">
        <f>'Runoff Coeff. (C)'!$K$8</f>
        <v>0.70000000000000007</v>
      </c>
      <c r="H36" s="552">
        <v>1</v>
      </c>
      <c r="I36" s="554">
        <f t="shared" si="5"/>
        <v>0.13838114357908374</v>
      </c>
      <c r="J36" s="554" t="s">
        <v>4599</v>
      </c>
    </row>
    <row r="37" spans="2:10" hidden="1" x14ac:dyDescent="0.3">
      <c r="B37" s="470">
        <v>10</v>
      </c>
      <c r="C37" s="529" t="s">
        <v>4607</v>
      </c>
      <c r="D37" s="544" t="s">
        <v>4537</v>
      </c>
      <c r="E37" s="470" t="s">
        <v>4543</v>
      </c>
      <c r="F37" s="533">
        <f t="shared" si="6"/>
        <v>71.110556823784037</v>
      </c>
      <c r="G37" s="550">
        <f>'Runoff Coeff. (C)'!$K$8</f>
        <v>0.70000000000000007</v>
      </c>
      <c r="H37" s="552">
        <v>0.75</v>
      </c>
      <c r="I37" s="554">
        <f t="shared" si="5"/>
        <v>0.10378585768431282</v>
      </c>
      <c r="J37" s="554" t="s">
        <v>4599</v>
      </c>
    </row>
    <row r="38" spans="2:10" hidden="1" x14ac:dyDescent="0.3">
      <c r="B38" s="551"/>
      <c r="C38" s="948" t="s">
        <v>4538</v>
      </c>
      <c r="D38" s="949"/>
      <c r="E38" s="545"/>
      <c r="F38" s="545"/>
      <c r="G38" s="545"/>
      <c r="H38" s="553"/>
      <c r="I38" s="555"/>
      <c r="J38" s="555"/>
    </row>
    <row r="39" spans="2:10" hidden="1" x14ac:dyDescent="0.3">
      <c r="B39" s="470">
        <v>11</v>
      </c>
      <c r="C39" s="529" t="s">
        <v>112</v>
      </c>
      <c r="D39" s="544" t="s">
        <v>4534</v>
      </c>
      <c r="E39" s="470" t="s">
        <v>4543</v>
      </c>
      <c r="F39" s="533">
        <f>$F$37</f>
        <v>71.110556823784037</v>
      </c>
      <c r="G39" s="550">
        <f>'Runoff Coeff. (C)'!$K$8</f>
        <v>0.70000000000000007</v>
      </c>
      <c r="H39" s="552">
        <v>0.45</v>
      </c>
      <c r="I39" s="554">
        <f>0.00278*(F39*G39*H39)</f>
        <v>6.2271514610587685E-2</v>
      </c>
      <c r="J39" s="554" t="s">
        <v>4599</v>
      </c>
    </row>
    <row r="40" spans="2:10" hidden="1" x14ac:dyDescent="0.3">
      <c r="B40" s="470">
        <v>12</v>
      </c>
      <c r="C40" s="529" t="s">
        <v>4396</v>
      </c>
      <c r="D40" s="544" t="s">
        <v>4535</v>
      </c>
      <c r="E40" s="470" t="s">
        <v>4543</v>
      </c>
      <c r="F40" s="533">
        <f t="shared" ref="F40:F43" si="7">$F$37</f>
        <v>71.110556823784037</v>
      </c>
      <c r="G40" s="550">
        <f>'Runoff Coeff. (C)'!$K$8</f>
        <v>0.70000000000000007</v>
      </c>
      <c r="H40" s="552">
        <v>0.32</v>
      </c>
      <c r="I40" s="554">
        <f>0.00278*(F40*G40*H40)</f>
        <v>4.4281965945306805E-2</v>
      </c>
      <c r="J40" s="554" t="s">
        <v>4599</v>
      </c>
    </row>
    <row r="41" spans="2:10" hidden="1" x14ac:dyDescent="0.3">
      <c r="B41" s="470">
        <v>13</v>
      </c>
      <c r="C41" s="529" t="s">
        <v>4533</v>
      </c>
      <c r="D41" s="544" t="s">
        <v>4536</v>
      </c>
      <c r="E41" s="470" t="s">
        <v>4543</v>
      </c>
      <c r="F41" s="533">
        <f t="shared" si="7"/>
        <v>71.110556823784037</v>
      </c>
      <c r="G41" s="550">
        <f>'Runoff Coeff. (C)'!$K$8</f>
        <v>0.70000000000000007</v>
      </c>
      <c r="H41" s="552">
        <v>0.26</v>
      </c>
      <c r="I41" s="554">
        <f>0.00278*(F41*G41*H41)</f>
        <v>3.5979097330561774E-2</v>
      </c>
      <c r="J41" s="554" t="s">
        <v>4599</v>
      </c>
    </row>
    <row r="42" spans="2:10" hidden="1" x14ac:dyDescent="0.3">
      <c r="B42" s="470">
        <v>14</v>
      </c>
      <c r="C42" s="529" t="s">
        <v>11</v>
      </c>
      <c r="D42" s="544" t="s">
        <v>4537</v>
      </c>
      <c r="E42" s="470" t="s">
        <v>4543</v>
      </c>
      <c r="F42" s="533">
        <f t="shared" si="7"/>
        <v>71.110556823784037</v>
      </c>
      <c r="G42" s="550">
        <f>'Runoff Coeff. (C)'!$K$8</f>
        <v>0.70000000000000007</v>
      </c>
      <c r="H42" s="552">
        <v>0.28000000000000003</v>
      </c>
      <c r="I42" s="554">
        <f>0.00278*(F42*G42*H42)</f>
        <v>3.8746720202143453E-2</v>
      </c>
      <c r="J42" s="554" t="s">
        <v>4599</v>
      </c>
    </row>
    <row r="43" spans="2:10" hidden="1" x14ac:dyDescent="0.3">
      <c r="B43" s="470">
        <v>15</v>
      </c>
      <c r="C43" s="529" t="s">
        <v>4539</v>
      </c>
      <c r="D43" s="544" t="s">
        <v>4540</v>
      </c>
      <c r="E43" s="470" t="s">
        <v>4543</v>
      </c>
      <c r="F43" s="533">
        <f t="shared" si="7"/>
        <v>71.110556823784037</v>
      </c>
      <c r="G43" s="550">
        <f>'Runoff Coeff. (C)'!$K$8</f>
        <v>0.70000000000000007</v>
      </c>
      <c r="H43" s="552">
        <v>0.28000000000000003</v>
      </c>
      <c r="I43" s="554">
        <f>0.00278*(F43*G43*H43)</f>
        <v>3.8746720202143453E-2</v>
      </c>
      <c r="J43" s="554" t="s">
        <v>4599</v>
      </c>
    </row>
    <row r="44" spans="2:10" x14ac:dyDescent="0.3">
      <c r="C44" s="534" t="s">
        <v>4528</v>
      </c>
    </row>
  </sheetData>
  <mergeCells count="25">
    <mergeCell ref="C22:D22"/>
    <mergeCell ref="C23:D23"/>
    <mergeCell ref="C38:D38"/>
    <mergeCell ref="C28:D28"/>
    <mergeCell ref="C29:D29"/>
    <mergeCell ref="C30:D30"/>
    <mergeCell ref="C31:D31"/>
    <mergeCell ref="B25:J25"/>
    <mergeCell ref="B26:B27"/>
    <mergeCell ref="C26:D27"/>
    <mergeCell ref="E26:E27"/>
    <mergeCell ref="G26:G27"/>
    <mergeCell ref="J26:J27"/>
    <mergeCell ref="C16:D16"/>
    <mergeCell ref="J3:J4"/>
    <mergeCell ref="C3:D4"/>
    <mergeCell ref="E3:E4"/>
    <mergeCell ref="C5:D5"/>
    <mergeCell ref="C6:D6"/>
    <mergeCell ref="C7:D7"/>
    <mergeCell ref="B3:B4"/>
    <mergeCell ref="G3:G4"/>
    <mergeCell ref="B2:J2"/>
    <mergeCell ref="C8:D8"/>
    <mergeCell ref="C9:D9"/>
  </mergeCells>
  <phoneticPr fontId="3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4673-B41A-4C2B-AB0B-EC5844DFF442}">
  <sheetPr>
    <tabColor rgb="FF0000FF"/>
  </sheetPr>
  <dimension ref="C3:G29"/>
  <sheetViews>
    <sheetView zoomScaleNormal="100" workbookViewId="0">
      <selection activeCell="C3" sqref="C3:G15"/>
    </sheetView>
  </sheetViews>
  <sheetFormatPr defaultRowHeight="14.4" x14ac:dyDescent="0.3"/>
  <cols>
    <col min="3" max="3" width="22.44140625" bestFit="1" customWidth="1"/>
    <col min="4" max="4" width="10.109375" bestFit="1" customWidth="1"/>
  </cols>
  <sheetData>
    <row r="3" spans="3:7" ht="15" thickBot="1" x14ac:dyDescent="0.35">
      <c r="C3" s="954" t="s">
        <v>4770</v>
      </c>
      <c r="D3" s="954"/>
      <c r="E3" s="954"/>
    </row>
    <row r="4" spans="3:7" ht="15" thickBot="1" x14ac:dyDescent="0.35">
      <c r="C4" s="536" t="s">
        <v>4515</v>
      </c>
      <c r="D4" s="536" t="s">
        <v>4516</v>
      </c>
      <c r="E4" s="536" t="s">
        <v>4517</v>
      </c>
    </row>
    <row r="5" spans="3:7" x14ac:dyDescent="0.3">
      <c r="C5" s="638" t="s">
        <v>4606</v>
      </c>
      <c r="D5" s="537">
        <v>0.03</v>
      </c>
      <c r="E5" s="537"/>
    </row>
    <row r="6" spans="3:7" x14ac:dyDescent="0.3">
      <c r="C6" s="537" t="s">
        <v>4518</v>
      </c>
      <c r="D6" s="538">
        <f>G11</f>
        <v>1.8018018018018018E-2</v>
      </c>
      <c r="E6" s="537"/>
      <c r="F6" t="s">
        <v>4548</v>
      </c>
      <c r="G6">
        <v>730</v>
      </c>
    </row>
    <row r="7" spans="3:7" x14ac:dyDescent="0.3">
      <c r="C7" s="537" t="s">
        <v>4547</v>
      </c>
      <c r="D7" s="537">
        <v>1</v>
      </c>
      <c r="E7" s="537"/>
      <c r="F7" t="s">
        <v>4549</v>
      </c>
      <c r="G7">
        <v>710</v>
      </c>
    </row>
    <row r="8" spans="3:7" x14ac:dyDescent="0.3">
      <c r="C8" s="537" t="s">
        <v>4519</v>
      </c>
      <c r="D8" s="539">
        <f>D13/1.2</f>
        <v>1.0416666666666667</v>
      </c>
      <c r="E8" s="537" t="s">
        <v>21</v>
      </c>
      <c r="F8" t="s">
        <v>4505</v>
      </c>
      <c r="G8">
        <f>G6-G7</f>
        <v>20</v>
      </c>
    </row>
    <row r="9" spans="3:7" x14ac:dyDescent="0.3">
      <c r="C9" s="537" t="s">
        <v>4520</v>
      </c>
      <c r="D9" s="539">
        <v>2</v>
      </c>
      <c r="E9" s="537" t="s">
        <v>21</v>
      </c>
      <c r="F9" s="540" t="s">
        <v>4504</v>
      </c>
      <c r="G9" s="639">
        <v>1110</v>
      </c>
    </row>
    <row r="10" spans="3:7" x14ac:dyDescent="0.3">
      <c r="C10" s="537" t="s">
        <v>4521</v>
      </c>
      <c r="D10" s="539">
        <f>(D9+(D7*D8))*D8</f>
        <v>3.1684027777777781</v>
      </c>
      <c r="E10" s="537" t="s">
        <v>4522</v>
      </c>
    </row>
    <row r="11" spans="3:7" x14ac:dyDescent="0.3">
      <c r="C11" s="537" t="s">
        <v>4523</v>
      </c>
      <c r="D11" s="539">
        <f>D9+(2*D8*(SQRT(1+D7)^2))</f>
        <v>6.1666666666666679</v>
      </c>
      <c r="E11" s="537" t="s">
        <v>21</v>
      </c>
      <c r="G11" s="540">
        <f>G8/G9</f>
        <v>1.8018018018018018E-2</v>
      </c>
    </row>
    <row r="12" spans="3:7" x14ac:dyDescent="0.3">
      <c r="C12" s="537" t="s">
        <v>4524</v>
      </c>
      <c r="D12" s="539">
        <f>D10/D11</f>
        <v>0.51379504504504503</v>
      </c>
      <c r="E12" s="537" t="s">
        <v>21</v>
      </c>
      <c r="F12" t="s">
        <v>4605</v>
      </c>
      <c r="G12" s="637">
        <f>'Ditch Geometry Reference'!I5</f>
        <v>5.3550043686708397</v>
      </c>
    </row>
    <row r="13" spans="3:7" x14ac:dyDescent="0.3">
      <c r="C13" s="537" t="s">
        <v>4550</v>
      </c>
      <c r="D13" s="541">
        <v>1.25</v>
      </c>
      <c r="E13" s="537" t="s">
        <v>21</v>
      </c>
    </row>
    <row r="14" spans="3:7" ht="15" thickBot="1" x14ac:dyDescent="0.35">
      <c r="C14" s="537" t="s">
        <v>4525</v>
      </c>
      <c r="D14" s="539">
        <f>D9+(2*D7*D8)</f>
        <v>4.0833333333333339</v>
      </c>
      <c r="E14" s="537" t="s">
        <v>21</v>
      </c>
    </row>
    <row r="15" spans="3:7" ht="15" thickBot="1" x14ac:dyDescent="0.35">
      <c r="C15" s="542" t="s">
        <v>4526</v>
      </c>
      <c r="D15" s="543">
        <f>(1/D5)*(D12^0.666666)*(D6^0.5)*D10</f>
        <v>9.0942336165105644</v>
      </c>
      <c r="E15" s="747" t="s">
        <v>4527</v>
      </c>
    </row>
    <row r="17" spans="3:7" ht="15" thickBot="1" x14ac:dyDescent="0.35">
      <c r="C17" s="954" t="s">
        <v>4775</v>
      </c>
      <c r="D17" s="954"/>
      <c r="E17" s="954"/>
    </row>
    <row r="18" spans="3:7" ht="15" thickBot="1" x14ac:dyDescent="0.35">
      <c r="C18" s="536" t="s">
        <v>4515</v>
      </c>
      <c r="D18" s="536" t="s">
        <v>4516</v>
      </c>
      <c r="E18" s="536" t="s">
        <v>4517</v>
      </c>
    </row>
    <row r="19" spans="3:7" x14ac:dyDescent="0.3">
      <c r="C19" s="638" t="s">
        <v>4772</v>
      </c>
      <c r="D19" s="537">
        <v>1.4E-2</v>
      </c>
      <c r="E19" s="537"/>
      <c r="G19">
        <v>700.1</v>
      </c>
    </row>
    <row r="20" spans="3:7" x14ac:dyDescent="0.3">
      <c r="C20" s="537" t="s">
        <v>4518</v>
      </c>
      <c r="D20" s="538">
        <f>G26</f>
        <v>3.3066132264529743E-2</v>
      </c>
      <c r="E20" s="537"/>
      <c r="G20">
        <v>696.8</v>
      </c>
    </row>
    <row r="21" spans="3:7" x14ac:dyDescent="0.3">
      <c r="C21" s="537" t="s">
        <v>4547</v>
      </c>
      <c r="D21" s="537">
        <v>1</v>
      </c>
      <c r="E21" s="537"/>
      <c r="F21" t="s">
        <v>4505</v>
      </c>
      <c r="G21">
        <f>G19-G20</f>
        <v>3.3000000000000682</v>
      </c>
    </row>
    <row r="22" spans="3:7" x14ac:dyDescent="0.3">
      <c r="C22" s="537" t="s">
        <v>4519</v>
      </c>
      <c r="D22" s="539">
        <f>D27/1.2</f>
        <v>1</v>
      </c>
      <c r="E22" s="537" t="s">
        <v>21</v>
      </c>
      <c r="F22" t="s">
        <v>4504</v>
      </c>
      <c r="G22">
        <v>99.8</v>
      </c>
    </row>
    <row r="23" spans="3:7" x14ac:dyDescent="0.3">
      <c r="C23" s="537" t="s">
        <v>4520</v>
      </c>
      <c r="D23" s="539">
        <v>2</v>
      </c>
      <c r="E23" s="537" t="s">
        <v>21</v>
      </c>
      <c r="F23" s="540"/>
      <c r="G23" s="639"/>
    </row>
    <row r="24" spans="3:7" x14ac:dyDescent="0.3">
      <c r="C24" s="537" t="s">
        <v>4521</v>
      </c>
      <c r="D24" s="539">
        <f>(D23+(D21*D22))*D22</f>
        <v>3</v>
      </c>
      <c r="E24" s="537" t="s">
        <v>4522</v>
      </c>
    </row>
    <row r="25" spans="3:7" x14ac:dyDescent="0.3">
      <c r="C25" s="537" t="s">
        <v>4523</v>
      </c>
      <c r="D25" s="539">
        <f>D23+(2*D22*(SQRT(1+D21)^2))</f>
        <v>6.0000000000000009</v>
      </c>
      <c r="E25" s="537" t="s">
        <v>21</v>
      </c>
      <c r="G25" s="540"/>
    </row>
    <row r="26" spans="3:7" x14ac:dyDescent="0.3">
      <c r="C26" s="537" t="s">
        <v>4524</v>
      </c>
      <c r="D26" s="539">
        <f>D24/D25</f>
        <v>0.49999999999999994</v>
      </c>
      <c r="E26" s="537" t="s">
        <v>21</v>
      </c>
      <c r="G26" s="640">
        <f>G21/G22</f>
        <v>3.3066132264529743E-2</v>
      </c>
    </row>
    <row r="27" spans="3:7" x14ac:dyDescent="0.3">
      <c r="C27" s="537" t="s">
        <v>4550</v>
      </c>
      <c r="D27" s="541">
        <v>1.2</v>
      </c>
      <c r="E27" s="537" t="s">
        <v>21</v>
      </c>
      <c r="F27" t="s">
        <v>4605</v>
      </c>
      <c r="G27" s="746">
        <f>'Ditch Geometry Reference'!I28</f>
        <v>21.879656816782511</v>
      </c>
    </row>
    <row r="28" spans="3:7" ht="15" thickBot="1" x14ac:dyDescent="0.35">
      <c r="C28" s="537" t="s">
        <v>4525</v>
      </c>
      <c r="D28" s="539">
        <f>D23+(2*D21*D22)</f>
        <v>4</v>
      </c>
      <c r="E28" s="537" t="s">
        <v>21</v>
      </c>
    </row>
    <row r="29" spans="3:7" ht="15" thickBot="1" x14ac:dyDescent="0.35">
      <c r="C29" s="542" t="s">
        <v>4526</v>
      </c>
      <c r="D29" s="543">
        <f>(1/D19)*(D26^0.666666)*(D20^0.5)*D24</f>
        <v>24.54700184486537</v>
      </c>
      <c r="E29" s="747" t="s">
        <v>4527</v>
      </c>
    </row>
  </sheetData>
  <mergeCells count="2">
    <mergeCell ref="C3:E3"/>
    <mergeCell ref="C17:E17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1CEC9-1AF0-4E09-873F-B0EC8986C637}">
  <sheetPr>
    <tabColor rgb="FF0000FF"/>
  </sheetPr>
  <dimension ref="C3:J23"/>
  <sheetViews>
    <sheetView workbookViewId="0">
      <selection activeCell="S164" sqref="S164"/>
    </sheetView>
  </sheetViews>
  <sheetFormatPr defaultRowHeight="14.4" x14ac:dyDescent="0.3"/>
  <cols>
    <col min="3" max="3" width="4" style="1" bestFit="1" customWidth="1"/>
    <col min="4" max="4" width="2.33203125" customWidth="1"/>
    <col min="5" max="5" width="23.5546875" customWidth="1"/>
    <col min="10" max="10" width="11.6640625" customWidth="1"/>
  </cols>
  <sheetData>
    <row r="3" spans="3:10" x14ac:dyDescent="0.3">
      <c r="C3" s="957" t="s">
        <v>8</v>
      </c>
      <c r="D3" s="957" t="s">
        <v>4622</v>
      </c>
      <c r="E3" s="957"/>
      <c r="F3" s="957" t="s">
        <v>4541</v>
      </c>
      <c r="G3" s="957" t="s">
        <v>4621</v>
      </c>
      <c r="H3" s="957"/>
      <c r="I3" s="957"/>
      <c r="J3" s="955" t="s">
        <v>4623</v>
      </c>
    </row>
    <row r="4" spans="3:10" x14ac:dyDescent="0.3">
      <c r="C4" s="957"/>
      <c r="D4" s="957"/>
      <c r="E4" s="957"/>
      <c r="F4" s="957"/>
      <c r="G4" s="645" t="s">
        <v>4615</v>
      </c>
      <c r="H4" s="645" t="s">
        <v>4505</v>
      </c>
      <c r="I4" s="645" t="s">
        <v>4620</v>
      </c>
      <c r="J4" s="955"/>
    </row>
    <row r="5" spans="3:10" hidden="1" x14ac:dyDescent="0.3">
      <c r="C5" s="642">
        <v>1</v>
      </c>
      <c r="D5" s="956" t="s">
        <v>4529</v>
      </c>
      <c r="E5" s="956"/>
      <c r="F5" s="470" t="s">
        <v>4542</v>
      </c>
      <c r="G5" s="646">
        <v>0.6</v>
      </c>
      <c r="H5" s="646">
        <v>0.8</v>
      </c>
      <c r="I5" s="646">
        <v>2</v>
      </c>
      <c r="J5" s="643" t="e">
        <f>'Ditch Calculation'!#REF!</f>
        <v>#REF!</v>
      </c>
    </row>
    <row r="6" spans="3:10" x14ac:dyDescent="0.3">
      <c r="C6" s="642">
        <v>1</v>
      </c>
      <c r="D6" s="956" t="s">
        <v>4530</v>
      </c>
      <c r="E6" s="956"/>
      <c r="F6" s="470" t="s">
        <v>4542</v>
      </c>
      <c r="G6" s="646">
        <v>1</v>
      </c>
      <c r="H6" s="646">
        <v>1.5</v>
      </c>
      <c r="I6" s="646">
        <v>3.7</v>
      </c>
      <c r="J6" s="643" t="e">
        <f>'Ditch Calculation'!#REF!</f>
        <v>#REF!</v>
      </c>
    </row>
    <row r="7" spans="3:10" x14ac:dyDescent="0.3">
      <c r="C7" s="642">
        <v>2</v>
      </c>
      <c r="D7" s="956" t="s">
        <v>4616</v>
      </c>
      <c r="E7" s="956"/>
      <c r="F7" s="470" t="s">
        <v>4542</v>
      </c>
      <c r="G7" s="646">
        <v>0.5</v>
      </c>
      <c r="H7" s="646">
        <v>0.6</v>
      </c>
      <c r="I7" s="646">
        <v>1.6</v>
      </c>
      <c r="J7" s="643" t="e">
        <f>'Ditch Calculation'!#REF!</f>
        <v>#REF!</v>
      </c>
    </row>
    <row r="8" spans="3:10" x14ac:dyDescent="0.3">
      <c r="C8" s="642">
        <v>3</v>
      </c>
      <c r="D8" s="956" t="s">
        <v>4617</v>
      </c>
      <c r="E8" s="956"/>
      <c r="F8" s="470" t="s">
        <v>4542</v>
      </c>
      <c r="G8" s="646">
        <v>0.4</v>
      </c>
      <c r="H8" s="646">
        <v>0.5</v>
      </c>
      <c r="I8" s="646">
        <v>1.3</v>
      </c>
      <c r="J8" s="643" t="e">
        <f>'Ditch Calculation'!#REF!</f>
        <v>#REF!</v>
      </c>
    </row>
    <row r="9" spans="3:10" x14ac:dyDescent="0.3">
      <c r="C9" s="642">
        <v>4</v>
      </c>
      <c r="D9" s="956" t="s">
        <v>4618</v>
      </c>
      <c r="E9" s="956"/>
      <c r="F9" s="470" t="s">
        <v>4543</v>
      </c>
      <c r="G9" s="646">
        <v>0.8</v>
      </c>
      <c r="H9" s="646">
        <v>1</v>
      </c>
      <c r="I9" s="646">
        <v>2.6</v>
      </c>
      <c r="J9" s="643" t="e">
        <f>'Ditch Calculation'!#REF!</f>
        <v>#REF!</v>
      </c>
    </row>
    <row r="10" spans="3:10" x14ac:dyDescent="0.3">
      <c r="C10" s="642">
        <v>5</v>
      </c>
      <c r="D10" s="956" t="s">
        <v>4624</v>
      </c>
      <c r="E10" s="956"/>
      <c r="F10" s="470" t="s">
        <v>4543</v>
      </c>
      <c r="G10" s="646">
        <v>2</v>
      </c>
      <c r="H10" s="646">
        <v>1.8</v>
      </c>
      <c r="I10" s="646">
        <v>5</v>
      </c>
      <c r="J10" s="643">
        <v>325</v>
      </c>
    </row>
    <row r="11" spans="3:10" x14ac:dyDescent="0.3">
      <c r="C11" s="551"/>
      <c r="D11" s="956" t="s">
        <v>4532</v>
      </c>
      <c r="E11" s="956"/>
      <c r="F11" s="545"/>
      <c r="G11" s="958">
        <v>0.4</v>
      </c>
      <c r="H11" s="958">
        <v>0.5</v>
      </c>
      <c r="I11" s="958">
        <v>1.3</v>
      </c>
      <c r="J11" s="644"/>
    </row>
    <row r="12" spans="3:10" x14ac:dyDescent="0.3">
      <c r="C12" s="642">
        <v>6</v>
      </c>
      <c r="D12" s="529" t="s">
        <v>112</v>
      </c>
      <c r="E12" s="529" t="s">
        <v>4609</v>
      </c>
      <c r="F12" s="470" t="s">
        <v>4543</v>
      </c>
      <c r="G12" s="959"/>
      <c r="H12" s="959"/>
      <c r="I12" s="959"/>
      <c r="J12" s="643" t="e">
        <f>'Ditch Calculation'!#REF!</f>
        <v>#REF!</v>
      </c>
    </row>
    <row r="13" spans="3:10" x14ac:dyDescent="0.3">
      <c r="C13" s="642">
        <v>7</v>
      </c>
      <c r="D13" s="529" t="s">
        <v>4396</v>
      </c>
      <c r="E13" s="529" t="s">
        <v>4608</v>
      </c>
      <c r="F13" s="470" t="s">
        <v>4543</v>
      </c>
      <c r="G13" s="959"/>
      <c r="H13" s="959"/>
      <c r="I13" s="959"/>
      <c r="J13" s="643">
        <v>300</v>
      </c>
    </row>
    <row r="14" spans="3:10" x14ac:dyDescent="0.3">
      <c r="C14" s="642">
        <v>8</v>
      </c>
      <c r="D14" s="529" t="s">
        <v>4533</v>
      </c>
      <c r="E14" s="529" t="s">
        <v>4534</v>
      </c>
      <c r="F14" s="470" t="s">
        <v>4543</v>
      </c>
      <c r="G14" s="959"/>
      <c r="H14" s="959"/>
      <c r="I14" s="959"/>
      <c r="J14" s="643" t="e">
        <f>'Ditch Calculation'!#REF!</f>
        <v>#REF!</v>
      </c>
    </row>
    <row r="15" spans="3:10" x14ac:dyDescent="0.3">
      <c r="C15" s="642">
        <v>9</v>
      </c>
      <c r="D15" s="529" t="s">
        <v>11</v>
      </c>
      <c r="E15" s="529" t="s">
        <v>4535</v>
      </c>
      <c r="F15" s="470" t="s">
        <v>4543</v>
      </c>
      <c r="G15" s="959"/>
      <c r="H15" s="959"/>
      <c r="I15" s="959"/>
      <c r="J15" s="643" t="e">
        <f>'Ditch Calculation'!#REF!</f>
        <v>#REF!</v>
      </c>
    </row>
    <row r="16" spans="3:10" x14ac:dyDescent="0.3">
      <c r="C16" s="642">
        <v>10</v>
      </c>
      <c r="D16" s="529" t="s">
        <v>4539</v>
      </c>
      <c r="E16" s="529" t="s">
        <v>4536</v>
      </c>
      <c r="F16" s="470" t="s">
        <v>4543</v>
      </c>
      <c r="G16" s="959"/>
      <c r="H16" s="959"/>
      <c r="I16" s="959"/>
      <c r="J16" s="643" t="e">
        <f>'Ditch Calculation'!#REF!</f>
        <v>#REF!</v>
      </c>
    </row>
    <row r="17" spans="3:10" x14ac:dyDescent="0.3">
      <c r="C17" s="642">
        <v>11</v>
      </c>
      <c r="D17" s="529" t="s">
        <v>4607</v>
      </c>
      <c r="E17" s="529" t="s">
        <v>4537</v>
      </c>
      <c r="F17" s="470" t="s">
        <v>4543</v>
      </c>
      <c r="G17" s="959"/>
      <c r="H17" s="959"/>
      <c r="I17" s="959"/>
      <c r="J17" s="643" t="e">
        <f>'Ditch Calculation'!#REF!</f>
        <v>#REF!</v>
      </c>
    </row>
    <row r="18" spans="3:10" x14ac:dyDescent="0.3">
      <c r="C18" s="551"/>
      <c r="D18" s="956" t="s">
        <v>4538</v>
      </c>
      <c r="E18" s="956"/>
      <c r="F18" s="545"/>
      <c r="G18" s="959"/>
      <c r="H18" s="959"/>
      <c r="I18" s="959"/>
      <c r="J18" s="644"/>
    </row>
    <row r="19" spans="3:10" x14ac:dyDescent="0.3">
      <c r="C19" s="642">
        <v>12</v>
      </c>
      <c r="D19" s="470" t="s">
        <v>112</v>
      </c>
      <c r="E19" s="529" t="s">
        <v>4534</v>
      </c>
      <c r="F19" s="470" t="s">
        <v>4543</v>
      </c>
      <c r="G19" s="959"/>
      <c r="H19" s="959"/>
      <c r="I19" s="959"/>
      <c r="J19" s="643">
        <v>60</v>
      </c>
    </row>
    <row r="20" spans="3:10" x14ac:dyDescent="0.3">
      <c r="C20" s="642">
        <v>13</v>
      </c>
      <c r="D20" s="470" t="s">
        <v>4396</v>
      </c>
      <c r="E20" s="529" t="s">
        <v>4535</v>
      </c>
      <c r="F20" s="470" t="s">
        <v>4543</v>
      </c>
      <c r="G20" s="959"/>
      <c r="H20" s="959"/>
      <c r="I20" s="959"/>
      <c r="J20" s="643">
        <v>90</v>
      </c>
    </row>
    <row r="21" spans="3:10" x14ac:dyDescent="0.3">
      <c r="C21" s="642">
        <v>14</v>
      </c>
      <c r="D21" s="470" t="s">
        <v>4533</v>
      </c>
      <c r="E21" s="529" t="s">
        <v>4536</v>
      </c>
      <c r="F21" s="470" t="s">
        <v>4543</v>
      </c>
      <c r="G21" s="959"/>
      <c r="H21" s="959"/>
      <c r="I21" s="959"/>
      <c r="J21" s="643">
        <v>100</v>
      </c>
    </row>
    <row r="22" spans="3:10" x14ac:dyDescent="0.3">
      <c r="C22" s="642">
        <v>15</v>
      </c>
      <c r="D22" s="470" t="s">
        <v>11</v>
      </c>
      <c r="E22" s="529" t="s">
        <v>4537</v>
      </c>
      <c r="F22" s="470" t="s">
        <v>4543</v>
      </c>
      <c r="G22" s="959"/>
      <c r="H22" s="959"/>
      <c r="I22" s="959"/>
      <c r="J22" s="643">
        <v>80</v>
      </c>
    </row>
    <row r="23" spans="3:10" x14ac:dyDescent="0.3">
      <c r="C23" s="642">
        <v>16</v>
      </c>
      <c r="D23" s="529" t="s">
        <v>4539</v>
      </c>
      <c r="E23" s="529" t="s">
        <v>4540</v>
      </c>
      <c r="F23" s="470" t="s">
        <v>4543</v>
      </c>
      <c r="G23" s="960"/>
      <c r="H23" s="960"/>
      <c r="I23" s="960"/>
      <c r="J23" s="643">
        <v>60</v>
      </c>
    </row>
  </sheetData>
  <mergeCells count="16">
    <mergeCell ref="C3:C4"/>
    <mergeCell ref="F3:F4"/>
    <mergeCell ref="G11:G23"/>
    <mergeCell ref="H11:H23"/>
    <mergeCell ref="I11:I23"/>
    <mergeCell ref="D18:E18"/>
    <mergeCell ref="D10:E10"/>
    <mergeCell ref="J3:J4"/>
    <mergeCell ref="D7:E7"/>
    <mergeCell ref="D8:E8"/>
    <mergeCell ref="D9:E9"/>
    <mergeCell ref="D11:E11"/>
    <mergeCell ref="D3:E4"/>
    <mergeCell ref="D5:E5"/>
    <mergeCell ref="D6:E6"/>
    <mergeCell ref="G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A7526-2D7C-45BA-A286-7C6B75158CC5}">
  <sheetPr>
    <tabColor rgb="FF0000FF"/>
  </sheetPr>
  <dimension ref="A1:P98"/>
  <sheetViews>
    <sheetView topLeftCell="A28" zoomScaleNormal="100" workbookViewId="0">
      <selection activeCell="G82" sqref="G82:I82"/>
    </sheetView>
  </sheetViews>
  <sheetFormatPr defaultRowHeight="14.4" x14ac:dyDescent="0.3"/>
  <cols>
    <col min="2" max="2" width="30.6640625" customWidth="1"/>
    <col min="3" max="3" width="15.5546875" customWidth="1"/>
    <col min="4" max="4" width="11" customWidth="1"/>
    <col min="6" max="6" width="25.88671875" bestFit="1" customWidth="1"/>
    <col min="7" max="7" width="23" customWidth="1"/>
    <col min="8" max="8" width="22.88671875" customWidth="1"/>
    <col min="10" max="10" width="25.88671875" bestFit="1" customWidth="1"/>
    <col min="11" max="11" width="13.6640625" bestFit="1" customWidth="1"/>
    <col min="12" max="12" width="31" bestFit="1" customWidth="1"/>
    <col min="13" max="13" width="7.5546875" customWidth="1"/>
    <col min="14" max="14" width="23.6640625" customWidth="1"/>
    <col min="15" max="15" width="13.88671875" customWidth="1"/>
    <col min="16" max="16" width="10.6640625" bestFit="1" customWidth="1"/>
  </cols>
  <sheetData>
    <row r="1" spans="1:16" ht="15" thickTop="1" x14ac:dyDescent="0.3">
      <c r="A1" s="558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60"/>
    </row>
    <row r="2" spans="1:16" x14ac:dyDescent="0.3">
      <c r="A2" s="561"/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3"/>
    </row>
    <row r="3" spans="1:16" ht="16.2" x14ac:dyDescent="0.35">
      <c r="A3" s="564"/>
      <c r="B3" s="565"/>
      <c r="C3" s="565"/>
      <c r="D3" s="565"/>
      <c r="E3" s="565"/>
      <c r="F3" s="562"/>
      <c r="G3" s="562"/>
      <c r="H3" s="562"/>
      <c r="I3" s="562"/>
      <c r="J3" s="562"/>
      <c r="K3" s="565"/>
      <c r="L3" s="566"/>
      <c r="M3" s="567"/>
      <c r="N3" s="567"/>
      <c r="O3" s="567"/>
    </row>
    <row r="4" spans="1:16" ht="16.8" thickBot="1" x14ac:dyDescent="0.4">
      <c r="A4" s="568"/>
      <c r="B4" s="569"/>
      <c r="C4" s="565"/>
      <c r="D4" s="565"/>
      <c r="E4" s="565"/>
      <c r="F4" s="565"/>
      <c r="G4" s="565"/>
      <c r="H4" s="565"/>
      <c r="I4" s="562"/>
      <c r="J4" s="565"/>
      <c r="K4" s="565"/>
      <c r="L4" s="566"/>
      <c r="M4" s="567"/>
      <c r="N4" s="567"/>
      <c r="O4" s="567"/>
      <c r="P4" s="567"/>
    </row>
    <row r="5" spans="1:16" ht="20.25" customHeight="1" thickBot="1" x14ac:dyDescent="0.4">
      <c r="A5" s="564"/>
      <c r="B5" s="973"/>
      <c r="C5" s="974"/>
      <c r="D5" s="565"/>
      <c r="E5" s="565"/>
      <c r="F5" s="565"/>
      <c r="G5" s="565"/>
      <c r="H5" s="565"/>
      <c r="I5" s="562"/>
      <c r="J5" s="565"/>
      <c r="K5" s="565"/>
      <c r="L5" s="566"/>
      <c r="M5" s="567"/>
      <c r="N5" s="975"/>
      <c r="O5" s="975"/>
      <c r="P5" s="570"/>
    </row>
    <row r="6" spans="1:16" ht="17.25" customHeight="1" thickBot="1" x14ac:dyDescent="0.4">
      <c r="A6" s="564"/>
      <c r="B6" s="536" t="s">
        <v>4515</v>
      </c>
      <c r="C6" s="536" t="s">
        <v>4516</v>
      </c>
      <c r="D6" s="536" t="s">
        <v>4517</v>
      </c>
      <c r="E6" s="565"/>
      <c r="F6" s="565"/>
      <c r="G6" s="565"/>
      <c r="H6" s="565"/>
      <c r="I6" s="562"/>
      <c r="J6" s="565"/>
      <c r="K6" s="565"/>
      <c r="L6" s="566"/>
      <c r="M6" s="567"/>
      <c r="N6" s="570"/>
      <c r="O6" s="570"/>
      <c r="P6" s="570"/>
    </row>
    <row r="7" spans="1:16" ht="14.25" customHeight="1" x14ac:dyDescent="0.35">
      <c r="A7" s="564"/>
      <c r="B7" s="537" t="s">
        <v>4546</v>
      </c>
      <c r="C7" s="537" t="e">
        <f>'Ditch Calculation'!#REF!</f>
        <v>#REF!</v>
      </c>
      <c r="D7" s="537"/>
      <c r="E7" s="565"/>
      <c r="F7" s="565"/>
      <c r="G7" s="565"/>
      <c r="H7" s="565"/>
      <c r="I7" s="562"/>
      <c r="J7" s="565"/>
      <c r="K7" s="565"/>
      <c r="L7" s="566"/>
      <c r="M7" s="567"/>
      <c r="N7" s="570"/>
      <c r="O7" s="570"/>
      <c r="P7" s="570"/>
    </row>
    <row r="8" spans="1:16" ht="14.25" customHeight="1" x14ac:dyDescent="0.35">
      <c r="A8" s="564"/>
      <c r="B8" s="537" t="s">
        <v>4518</v>
      </c>
      <c r="C8" s="538" t="e">
        <f>'Ditch Calculation'!#REF!</f>
        <v>#REF!</v>
      </c>
      <c r="D8" s="537"/>
      <c r="E8" s="565"/>
      <c r="F8" s="565"/>
      <c r="G8" s="571"/>
      <c r="H8" s="565"/>
      <c r="I8" s="562"/>
      <c r="J8" s="565"/>
      <c r="K8" s="571"/>
      <c r="L8" s="566"/>
      <c r="M8" s="567"/>
      <c r="N8" s="570"/>
      <c r="O8" s="572"/>
      <c r="P8" s="570"/>
    </row>
    <row r="9" spans="1:16" ht="18" customHeight="1" x14ac:dyDescent="0.35">
      <c r="A9" s="564"/>
      <c r="B9" s="537" t="s">
        <v>4547</v>
      </c>
      <c r="C9" s="537">
        <v>1</v>
      </c>
      <c r="D9" s="537"/>
      <c r="E9" s="573"/>
      <c r="F9" s="565"/>
      <c r="G9" s="565"/>
      <c r="H9" s="565"/>
      <c r="I9" s="562"/>
      <c r="J9" s="565"/>
      <c r="K9" s="565"/>
      <c r="L9" s="566"/>
      <c r="M9" s="574"/>
      <c r="N9" s="570"/>
      <c r="O9" s="570"/>
      <c r="P9" s="570"/>
    </row>
    <row r="10" spans="1:16" ht="16.5" customHeight="1" x14ac:dyDescent="0.35">
      <c r="A10" s="564"/>
      <c r="B10" s="537" t="s">
        <v>4519</v>
      </c>
      <c r="C10" s="539" t="e">
        <f>C15/1.2</f>
        <v>#REF!</v>
      </c>
      <c r="D10" s="537" t="s">
        <v>21</v>
      </c>
      <c r="E10" s="565"/>
      <c r="F10" s="565"/>
      <c r="G10" s="575"/>
      <c r="H10" s="565"/>
      <c r="I10" s="562"/>
      <c r="J10" s="565"/>
      <c r="K10" s="575"/>
      <c r="L10" s="566"/>
      <c r="M10" s="567"/>
      <c r="N10" s="570"/>
      <c r="O10" s="576"/>
      <c r="P10" s="570"/>
    </row>
    <row r="11" spans="1:16" ht="19.5" customHeight="1" x14ac:dyDescent="0.35">
      <c r="A11" s="564"/>
      <c r="B11" s="537" t="s">
        <v>4520</v>
      </c>
      <c r="C11" s="539" t="e">
        <f>2*C10*((1+C9^2)^0.5-C9)</f>
        <v>#REF!</v>
      </c>
      <c r="D11" s="537" t="s">
        <v>21</v>
      </c>
      <c r="E11" s="565"/>
      <c r="F11" s="565"/>
      <c r="G11" s="575"/>
      <c r="H11" s="565"/>
      <c r="I11" s="562"/>
      <c r="J11" s="565"/>
      <c r="K11" s="575"/>
      <c r="L11" s="566"/>
      <c r="M11" s="567"/>
      <c r="N11" s="570"/>
      <c r="O11" s="576"/>
      <c r="P11" s="570"/>
    </row>
    <row r="12" spans="1:16" ht="16.2" x14ac:dyDescent="0.35">
      <c r="A12" s="564"/>
      <c r="B12" s="537" t="s">
        <v>4521</v>
      </c>
      <c r="C12" s="539" t="e">
        <f>(C11+(C9*C10))*C10</f>
        <v>#REF!</v>
      </c>
      <c r="D12" s="537" t="s">
        <v>4522</v>
      </c>
      <c r="E12" s="565"/>
      <c r="F12" s="565"/>
      <c r="G12" s="575"/>
      <c r="H12" s="565"/>
      <c r="I12" s="562"/>
      <c r="J12" s="565"/>
      <c r="K12" s="575"/>
      <c r="L12" s="566"/>
      <c r="M12" s="567"/>
      <c r="N12" s="570"/>
      <c r="O12" s="576"/>
      <c r="P12" s="570"/>
    </row>
    <row r="13" spans="1:16" ht="16.2" x14ac:dyDescent="0.35">
      <c r="A13" s="564"/>
      <c r="B13" s="537" t="s">
        <v>4523</v>
      </c>
      <c r="C13" s="539" t="e">
        <f>C11+(2*C10*(SQRT(1+C9)^2))</f>
        <v>#REF!</v>
      </c>
      <c r="D13" s="537" t="s">
        <v>21</v>
      </c>
      <c r="E13" s="565"/>
      <c r="F13" s="565"/>
      <c r="G13" s="575"/>
      <c r="H13" s="565"/>
      <c r="I13" s="562"/>
      <c r="J13" s="565"/>
      <c r="K13" s="575"/>
      <c r="L13" s="566"/>
      <c r="M13" s="567"/>
      <c r="N13" s="570"/>
      <c r="O13" s="576"/>
      <c r="P13" s="570"/>
    </row>
    <row r="14" spans="1:16" ht="16.2" x14ac:dyDescent="0.35">
      <c r="A14" s="564"/>
      <c r="B14" s="537" t="s">
        <v>4524</v>
      </c>
      <c r="C14" s="539" t="e">
        <f>C12/C13</f>
        <v>#REF!</v>
      </c>
      <c r="D14" s="537" t="s">
        <v>21</v>
      </c>
      <c r="E14" s="565"/>
      <c r="F14" s="565"/>
      <c r="G14" s="575"/>
      <c r="H14" s="565"/>
      <c r="I14" s="562"/>
      <c r="J14" s="565"/>
      <c r="K14" s="575"/>
      <c r="L14" s="566"/>
      <c r="M14" s="567"/>
      <c r="N14" s="570"/>
      <c r="O14" s="576"/>
      <c r="P14" s="570"/>
    </row>
    <row r="15" spans="1:16" ht="16.2" x14ac:dyDescent="0.35">
      <c r="A15" s="564"/>
      <c r="B15" s="537" t="s">
        <v>4550</v>
      </c>
      <c r="C15" s="541" t="e">
        <f>'Ditch Calculation'!#REF!</f>
        <v>#REF!</v>
      </c>
      <c r="D15" s="537" t="s">
        <v>21</v>
      </c>
      <c r="E15" s="565"/>
      <c r="F15" s="565"/>
      <c r="G15" s="565"/>
      <c r="H15" s="565"/>
      <c r="I15" s="562"/>
      <c r="J15" s="565"/>
      <c r="K15" s="565"/>
      <c r="L15" s="566"/>
      <c r="M15" s="567"/>
      <c r="N15" s="570"/>
      <c r="O15" s="570"/>
      <c r="P15" s="570"/>
    </row>
    <row r="16" spans="1:16" ht="16.8" thickBot="1" x14ac:dyDescent="0.4">
      <c r="A16" s="564"/>
      <c r="B16" s="537" t="s">
        <v>4525</v>
      </c>
      <c r="C16" s="539" t="e">
        <f>C11+(2*C9*C10)</f>
        <v>#REF!</v>
      </c>
      <c r="D16" s="537" t="s">
        <v>21</v>
      </c>
      <c r="E16" s="565"/>
      <c r="F16" s="565"/>
      <c r="G16" s="565"/>
      <c r="H16" s="565"/>
      <c r="I16" s="565"/>
      <c r="J16" s="565"/>
      <c r="K16" s="565"/>
      <c r="L16" s="566"/>
      <c r="M16" s="567"/>
      <c r="N16" s="570"/>
      <c r="O16" s="570"/>
      <c r="P16" s="570"/>
    </row>
    <row r="17" spans="1:16" ht="16.8" thickBot="1" x14ac:dyDescent="0.4">
      <c r="A17" s="564"/>
      <c r="B17" s="542" t="s">
        <v>4526</v>
      </c>
      <c r="C17" s="543" t="e">
        <f>(1/C7)*(C14^0.666666)*(C8^0.5)*C12</f>
        <v>#REF!</v>
      </c>
      <c r="D17" s="556" t="s">
        <v>4527</v>
      </c>
      <c r="E17" s="565"/>
      <c r="F17" s="565"/>
      <c r="G17" s="577"/>
      <c r="H17" s="578"/>
      <c r="I17" s="565"/>
      <c r="J17" s="565"/>
      <c r="K17" s="577"/>
      <c r="L17" s="579"/>
      <c r="M17" s="567"/>
      <c r="N17" s="570"/>
      <c r="O17" s="580"/>
      <c r="P17" s="581"/>
    </row>
    <row r="18" spans="1:16" ht="16.2" x14ac:dyDescent="0.35">
      <c r="A18" s="564"/>
      <c r="B18" s="565"/>
      <c r="C18" s="565"/>
      <c r="D18" s="565"/>
      <c r="E18" s="565"/>
      <c r="F18" s="582"/>
      <c r="G18" s="565"/>
      <c r="H18" s="565"/>
      <c r="I18" s="565"/>
      <c r="J18" s="582"/>
      <c r="K18" s="565"/>
      <c r="L18" s="566"/>
      <c r="N18" s="567"/>
    </row>
    <row r="19" spans="1:16" ht="16.2" x14ac:dyDescent="0.35">
      <c r="A19" s="564"/>
      <c r="B19" s="565"/>
      <c r="C19" s="565"/>
      <c r="D19" s="565"/>
      <c r="E19" s="565"/>
      <c r="F19" s="582"/>
      <c r="G19" s="565"/>
      <c r="H19" s="565"/>
      <c r="I19" s="565"/>
      <c r="J19" s="582"/>
      <c r="K19" s="565"/>
      <c r="L19" s="566"/>
      <c r="N19" s="567"/>
    </row>
    <row r="20" spans="1:16" ht="16.2" x14ac:dyDescent="0.35">
      <c r="A20" s="564"/>
      <c r="B20" s="565"/>
      <c r="C20" s="565"/>
      <c r="D20" s="565"/>
      <c r="E20" s="565"/>
      <c r="F20" s="582"/>
      <c r="G20" s="565"/>
      <c r="H20" s="565"/>
      <c r="I20" s="565"/>
      <c r="J20" s="582"/>
      <c r="K20" s="565"/>
      <c r="L20" s="566"/>
      <c r="N20" s="567"/>
    </row>
    <row r="21" spans="1:16" ht="16.2" x14ac:dyDescent="0.35">
      <c r="A21" s="564"/>
      <c r="B21" s="565"/>
      <c r="C21" s="565"/>
      <c r="D21" s="565"/>
      <c r="E21" s="565"/>
      <c r="F21" s="582"/>
      <c r="G21" s="565"/>
      <c r="H21" s="565"/>
      <c r="I21" s="565"/>
      <c r="J21" s="582"/>
      <c r="K21" s="565"/>
      <c r="L21" s="566"/>
      <c r="N21" s="567"/>
    </row>
    <row r="22" spans="1:16" ht="16.2" x14ac:dyDescent="0.35">
      <c r="A22" s="564"/>
      <c r="B22" s="565"/>
      <c r="C22" s="565"/>
      <c r="D22" s="565"/>
      <c r="E22" s="565"/>
      <c r="F22" s="582"/>
      <c r="G22" s="565"/>
      <c r="H22" s="565"/>
      <c r="I22" s="565"/>
      <c r="J22" s="582"/>
      <c r="K22" s="565"/>
      <c r="L22" s="566"/>
      <c r="N22" s="567"/>
    </row>
    <row r="23" spans="1:16" ht="16.2" x14ac:dyDescent="0.35">
      <c r="A23" s="564"/>
      <c r="B23" s="565"/>
      <c r="C23" s="565"/>
      <c r="D23" s="565"/>
      <c r="E23" s="565"/>
      <c r="F23" s="582"/>
      <c r="G23" s="565"/>
      <c r="H23" s="565"/>
      <c r="I23" s="565"/>
      <c r="J23" s="582"/>
      <c r="K23" s="565"/>
      <c r="L23" s="566"/>
      <c r="N23" s="567"/>
    </row>
    <row r="24" spans="1:16" ht="16.2" x14ac:dyDescent="0.35">
      <c r="A24" s="564"/>
      <c r="B24" s="565"/>
      <c r="C24" s="565"/>
      <c r="D24" s="565"/>
      <c r="E24" s="565"/>
      <c r="F24" s="582"/>
      <c r="G24" s="565"/>
      <c r="H24" s="565"/>
      <c r="I24" s="565"/>
      <c r="J24" s="582"/>
      <c r="K24" s="565"/>
      <c r="L24" s="566"/>
      <c r="N24" s="567"/>
    </row>
    <row r="25" spans="1:16" ht="16.2" x14ac:dyDescent="0.35">
      <c r="A25" s="564"/>
      <c r="B25" s="565"/>
      <c r="C25" s="565"/>
      <c r="D25" s="565"/>
      <c r="E25" s="565"/>
      <c r="F25" s="582"/>
      <c r="G25" s="565"/>
      <c r="H25" s="565"/>
      <c r="I25" s="565"/>
      <c r="J25" s="582"/>
      <c r="K25" s="565"/>
      <c r="L25" s="566"/>
      <c r="N25" s="567"/>
    </row>
    <row r="26" spans="1:16" ht="16.2" x14ac:dyDescent="0.35">
      <c r="A26" s="564"/>
      <c r="B26" s="565"/>
      <c r="C26" s="565"/>
      <c r="D26" s="565"/>
      <c r="E26" s="565"/>
      <c r="F26" s="582"/>
      <c r="G26" s="565"/>
      <c r="H26" s="565"/>
      <c r="I26" s="565"/>
      <c r="J26" s="582"/>
      <c r="K26" s="565"/>
      <c r="L26" s="566"/>
      <c r="N26" s="567"/>
    </row>
    <row r="27" spans="1:16" ht="16.2" x14ac:dyDescent="0.35">
      <c r="A27" s="564"/>
      <c r="B27" s="565"/>
      <c r="C27" s="565"/>
      <c r="D27" s="565"/>
      <c r="E27" s="565"/>
      <c r="F27" s="582"/>
      <c r="G27" s="565"/>
      <c r="H27" s="565"/>
      <c r="I27" s="565"/>
      <c r="J27" s="582"/>
      <c r="K27" s="565"/>
      <c r="L27" s="566"/>
      <c r="N27" s="567"/>
    </row>
    <row r="28" spans="1:16" ht="16.2" x14ac:dyDescent="0.35">
      <c r="A28" s="564"/>
      <c r="B28" s="565"/>
      <c r="C28" s="565"/>
      <c r="D28" s="565"/>
      <c r="E28" s="565"/>
      <c r="F28" s="582"/>
      <c r="G28" s="565"/>
      <c r="H28" s="565"/>
      <c r="I28" s="565"/>
      <c r="J28" s="582"/>
      <c r="K28" s="565"/>
      <c r="L28" s="566"/>
      <c r="N28" s="567"/>
    </row>
    <row r="29" spans="1:16" ht="16.2" x14ac:dyDescent="0.35">
      <c r="A29" s="564"/>
      <c r="B29" s="565"/>
      <c r="C29" s="565"/>
      <c r="D29" s="565"/>
      <c r="E29" s="565"/>
      <c r="F29" s="582"/>
      <c r="G29" s="565"/>
      <c r="H29" s="565"/>
      <c r="I29" s="565"/>
      <c r="J29" s="582"/>
      <c r="K29" s="565"/>
      <c r="L29" s="566"/>
      <c r="N29" s="567"/>
    </row>
    <row r="30" spans="1:16" ht="17.25" customHeight="1" x14ac:dyDescent="0.35">
      <c r="A30" s="564"/>
      <c r="B30" s="565"/>
      <c r="C30" s="565"/>
      <c r="D30" s="565"/>
      <c r="E30" s="565"/>
      <c r="F30" s="582"/>
      <c r="G30" s="565"/>
      <c r="H30" s="565"/>
      <c r="I30" s="565"/>
      <c r="J30" s="582"/>
      <c r="K30" s="565"/>
      <c r="L30" s="566"/>
      <c r="N30" s="567"/>
    </row>
    <row r="31" spans="1:16" ht="16.8" thickBot="1" x14ac:dyDescent="0.4">
      <c r="A31" s="583"/>
      <c r="B31" s="584"/>
      <c r="C31" s="584"/>
      <c r="D31" s="584"/>
      <c r="E31" s="584"/>
      <c r="F31" s="585"/>
      <c r="G31" s="584"/>
      <c r="H31" s="584"/>
      <c r="I31" s="584"/>
      <c r="J31" s="585"/>
      <c r="K31" s="584"/>
      <c r="L31" s="586"/>
      <c r="N31" s="567"/>
    </row>
    <row r="32" spans="1:16" ht="16.8" thickTop="1" x14ac:dyDescent="0.35">
      <c r="A32" s="587"/>
      <c r="B32" s="588"/>
      <c r="C32" s="588"/>
      <c r="D32" s="588"/>
      <c r="E32" s="588"/>
      <c r="F32" s="589"/>
      <c r="G32" s="588"/>
      <c r="H32" s="588"/>
      <c r="I32" s="588"/>
      <c r="J32" s="589"/>
      <c r="K32" s="588"/>
      <c r="L32" s="590"/>
      <c r="N32" s="567"/>
    </row>
    <row r="33" spans="1:12" ht="15.6" x14ac:dyDescent="0.3">
      <c r="A33" s="591">
        <v>2</v>
      </c>
      <c r="B33" s="976" t="s">
        <v>4554</v>
      </c>
      <c r="C33" s="976"/>
      <c r="D33" s="976"/>
      <c r="E33" s="506"/>
      <c r="F33" s="506"/>
      <c r="G33" s="506"/>
      <c r="H33" s="506"/>
      <c r="I33" s="592"/>
      <c r="J33" s="592"/>
      <c r="K33" s="506"/>
      <c r="L33" s="593"/>
    </row>
    <row r="34" spans="1:12" ht="16.2" thickBot="1" x14ac:dyDescent="0.35">
      <c r="A34" s="594"/>
      <c r="B34" s="633" t="s">
        <v>4555</v>
      </c>
      <c r="C34" s="633" t="s">
        <v>4556</v>
      </c>
      <c r="D34" s="633" t="s">
        <v>4557</v>
      </c>
      <c r="E34" s="506"/>
      <c r="F34" s="506"/>
      <c r="G34" s="506"/>
      <c r="H34" s="506"/>
      <c r="I34" s="592"/>
      <c r="J34" s="592"/>
      <c r="K34" s="506"/>
      <c r="L34" s="593"/>
    </row>
    <row r="35" spans="1:12" ht="28.5" customHeight="1" thickBot="1" x14ac:dyDescent="0.35">
      <c r="A35" s="594"/>
      <c r="B35" s="624" t="s">
        <v>4558</v>
      </c>
      <c r="C35" s="625">
        <v>0.75600000000000001</v>
      </c>
      <c r="D35" s="625" t="s">
        <v>4559</v>
      </c>
      <c r="E35" s="506"/>
      <c r="F35" s="506"/>
      <c r="G35" s="595" t="s">
        <v>4560</v>
      </c>
      <c r="H35" s="596" t="s">
        <v>4561</v>
      </c>
      <c r="I35" s="592"/>
      <c r="J35" s="592"/>
      <c r="K35" s="506"/>
      <c r="L35" s="593"/>
    </row>
    <row r="36" spans="1:12" ht="15.6" x14ac:dyDescent="0.3">
      <c r="A36" s="594"/>
      <c r="B36" s="626" t="s">
        <v>4562</v>
      </c>
      <c r="C36" s="625">
        <v>0.8</v>
      </c>
      <c r="D36" s="625" t="s">
        <v>4559</v>
      </c>
      <c r="E36" s="506"/>
      <c r="F36" s="506"/>
      <c r="G36" s="597" t="s">
        <v>4563</v>
      </c>
      <c r="H36" s="598" t="s">
        <v>4564</v>
      </c>
      <c r="I36" s="592"/>
      <c r="J36" s="592"/>
      <c r="K36" s="506"/>
      <c r="L36" s="593"/>
    </row>
    <row r="37" spans="1:12" ht="15.6" x14ac:dyDescent="0.3">
      <c r="A37" s="599"/>
      <c r="B37" s="626" t="s">
        <v>186</v>
      </c>
      <c r="C37" s="627">
        <v>1</v>
      </c>
      <c r="D37" s="625" t="s">
        <v>21</v>
      </c>
      <c r="E37" s="506"/>
      <c r="F37" s="506"/>
      <c r="G37" s="600" t="s">
        <v>4565</v>
      </c>
      <c r="H37" s="601">
        <v>1.2E-2</v>
      </c>
      <c r="I37" s="506"/>
      <c r="J37" s="506"/>
      <c r="K37" s="506"/>
      <c r="L37" s="593"/>
    </row>
    <row r="38" spans="1:12" ht="15.6" x14ac:dyDescent="0.3">
      <c r="A38" s="599"/>
      <c r="B38" s="624" t="s">
        <v>4566</v>
      </c>
      <c r="C38" s="625">
        <v>9.81</v>
      </c>
      <c r="D38" s="625" t="s">
        <v>4567</v>
      </c>
      <c r="E38" s="506"/>
      <c r="F38" s="506"/>
      <c r="G38" s="602" t="s">
        <v>4568</v>
      </c>
      <c r="H38" s="603">
        <v>1.4999999999999999E-2</v>
      </c>
      <c r="I38" s="506"/>
      <c r="J38" s="506"/>
      <c r="K38" s="506"/>
      <c r="L38" s="593"/>
    </row>
    <row r="39" spans="1:12" ht="15.6" x14ac:dyDescent="0.3">
      <c r="A39" s="599"/>
      <c r="B39" s="624" t="s">
        <v>4505</v>
      </c>
      <c r="C39" s="628" t="e">
        <f>C10</f>
        <v>#REF!</v>
      </c>
      <c r="D39" s="625" t="s">
        <v>21</v>
      </c>
      <c r="E39" s="506"/>
      <c r="F39" s="506"/>
      <c r="G39" s="600" t="s">
        <v>4569</v>
      </c>
      <c r="H39" s="601" t="s">
        <v>4570</v>
      </c>
      <c r="I39" s="506"/>
      <c r="J39" s="506"/>
      <c r="K39" s="506"/>
      <c r="L39" s="593"/>
    </row>
    <row r="40" spans="1:12" ht="15.6" x14ac:dyDescent="0.3">
      <c r="A40" s="599"/>
      <c r="B40" s="624" t="s">
        <v>4571</v>
      </c>
      <c r="C40" s="631" t="e">
        <f>C39/C37</f>
        <v>#REF!</v>
      </c>
      <c r="D40" s="629" t="s">
        <v>4572</v>
      </c>
      <c r="E40" s="506"/>
      <c r="F40" s="506"/>
      <c r="G40" s="600" t="s">
        <v>4573</v>
      </c>
      <c r="H40" s="601" t="s">
        <v>4574</v>
      </c>
      <c r="I40" s="506"/>
      <c r="J40" s="506"/>
      <c r="K40" s="506"/>
      <c r="L40" s="593"/>
    </row>
    <row r="41" spans="1:12" ht="21" thickBot="1" x14ac:dyDescent="0.35">
      <c r="A41" s="599"/>
      <c r="B41" s="622" t="s">
        <v>4575</v>
      </c>
      <c r="C41" s="632" t="e">
        <f>0.785*C35*(C37)^2.5*(2*C38)^0.5*(C39/(C37-C36))^0.5</f>
        <v>#REF!</v>
      </c>
      <c r="D41" s="625" t="s">
        <v>4527</v>
      </c>
      <c r="E41" s="506"/>
      <c r="G41" s="604" t="s">
        <v>4576</v>
      </c>
      <c r="H41" s="605" t="s">
        <v>4577</v>
      </c>
      <c r="I41" s="506"/>
      <c r="J41" s="506"/>
      <c r="K41" s="506"/>
      <c r="L41" s="593"/>
    </row>
    <row r="42" spans="1:12" x14ac:dyDescent="0.3">
      <c r="A42" s="599"/>
      <c r="B42" s="633" t="s">
        <v>4555</v>
      </c>
      <c r="C42" s="634" t="s">
        <v>4578</v>
      </c>
      <c r="D42" s="633" t="s">
        <v>4557</v>
      </c>
      <c r="E42" s="506"/>
      <c r="F42" s="506"/>
      <c r="G42" s="506"/>
      <c r="H42" s="506"/>
      <c r="I42" s="506"/>
      <c r="J42" s="506"/>
      <c r="K42" s="506"/>
      <c r="L42" s="593"/>
    </row>
    <row r="43" spans="1:12" x14ac:dyDescent="0.3">
      <c r="A43" s="599"/>
      <c r="B43" s="624" t="s">
        <v>4579</v>
      </c>
      <c r="C43" s="628">
        <f>0.785*(C37)^2</f>
        <v>0.78500000000000003</v>
      </c>
      <c r="D43" s="625" t="s">
        <v>4522</v>
      </c>
      <c r="E43" s="506"/>
      <c r="F43" s="506"/>
      <c r="G43" s="506"/>
      <c r="H43" s="506"/>
      <c r="I43" s="506"/>
      <c r="J43" s="506"/>
      <c r="K43" s="506"/>
      <c r="L43" s="593"/>
    </row>
    <row r="44" spans="1:12" x14ac:dyDescent="0.3">
      <c r="A44" s="599"/>
      <c r="B44" s="624" t="s">
        <v>62</v>
      </c>
      <c r="C44" s="635">
        <f>(717.8-699.5)/110</f>
        <v>0.16636363636363596</v>
      </c>
      <c r="D44" s="625"/>
      <c r="E44" s="506"/>
      <c r="F44" s="506"/>
      <c r="G44" s="506"/>
      <c r="H44" s="506"/>
      <c r="I44" s="506"/>
      <c r="J44" s="506"/>
      <c r="K44" s="506"/>
      <c r="L44" s="593"/>
    </row>
    <row r="45" spans="1:12" x14ac:dyDescent="0.3">
      <c r="A45" s="599"/>
      <c r="B45" s="624" t="s">
        <v>4504</v>
      </c>
      <c r="C45" s="625">
        <v>110</v>
      </c>
      <c r="D45" s="625" t="s">
        <v>21</v>
      </c>
      <c r="E45" s="506"/>
      <c r="F45" s="506"/>
      <c r="G45" s="506"/>
      <c r="H45" s="506"/>
      <c r="I45" s="506"/>
      <c r="J45" s="506"/>
      <c r="K45" s="506"/>
      <c r="L45" s="593"/>
    </row>
    <row r="46" spans="1:12" x14ac:dyDescent="0.3">
      <c r="A46" s="599"/>
      <c r="B46" s="624" t="s">
        <v>4580</v>
      </c>
      <c r="C46" s="628">
        <v>0.6</v>
      </c>
      <c r="D46" s="625"/>
      <c r="E46" s="506"/>
      <c r="F46" s="506"/>
      <c r="G46" s="506"/>
      <c r="H46" s="506"/>
      <c r="I46" s="506"/>
      <c r="J46" s="506"/>
      <c r="K46" s="506"/>
      <c r="L46" s="593"/>
    </row>
    <row r="47" spans="1:12" x14ac:dyDescent="0.3">
      <c r="A47" s="599"/>
      <c r="B47" s="624" t="s">
        <v>4581</v>
      </c>
      <c r="C47" s="625">
        <v>0.44</v>
      </c>
      <c r="D47" s="625" t="s">
        <v>4559</v>
      </c>
      <c r="E47" s="506"/>
      <c r="F47" s="506"/>
      <c r="G47" s="506"/>
      <c r="H47" s="506"/>
      <c r="I47" s="506"/>
      <c r="J47" s="506"/>
      <c r="K47" s="506"/>
      <c r="L47" s="593"/>
    </row>
    <row r="48" spans="1:12" x14ac:dyDescent="0.3">
      <c r="A48" s="599"/>
      <c r="B48" s="624" t="s">
        <v>4582</v>
      </c>
      <c r="C48" s="625">
        <v>0.3</v>
      </c>
      <c r="D48" s="625" t="s">
        <v>4559</v>
      </c>
      <c r="E48" s="506"/>
      <c r="F48" s="506"/>
      <c r="G48" s="506"/>
      <c r="H48" s="506"/>
      <c r="I48" s="506"/>
      <c r="J48" s="506"/>
      <c r="K48" s="506"/>
      <c r="L48" s="593"/>
    </row>
    <row r="49" spans="1:12" x14ac:dyDescent="0.3">
      <c r="A49" s="599"/>
      <c r="B49" s="624" t="s">
        <v>4583</v>
      </c>
      <c r="C49" s="625">
        <f>C37/4</f>
        <v>0.25</v>
      </c>
      <c r="D49" s="625"/>
      <c r="E49" s="506"/>
      <c r="F49" s="506"/>
      <c r="G49" s="506"/>
      <c r="H49" s="506"/>
      <c r="I49" s="506"/>
      <c r="J49" s="506"/>
      <c r="K49" s="506"/>
      <c r="L49" s="593"/>
    </row>
    <row r="50" spans="1:12" ht="15.75" customHeight="1" x14ac:dyDescent="0.3">
      <c r="A50" s="599"/>
      <c r="B50" s="624" t="s">
        <v>4584</v>
      </c>
      <c r="C50" s="630" t="e">
        <f>2*C38*(H37^2)*(C45/(C14)^1.3333)</f>
        <v>#REF!</v>
      </c>
      <c r="D50" s="625"/>
      <c r="E50" s="506"/>
      <c r="F50" s="506"/>
      <c r="G50" s="506"/>
      <c r="H50" s="506"/>
      <c r="I50" s="506"/>
      <c r="J50" s="506"/>
      <c r="K50" s="506"/>
      <c r="L50" s="593"/>
    </row>
    <row r="51" spans="1:12" ht="18.75" customHeight="1" x14ac:dyDescent="0.3">
      <c r="A51" s="599"/>
      <c r="B51" s="624" t="s">
        <v>4585</v>
      </c>
      <c r="C51" s="625">
        <v>1</v>
      </c>
      <c r="D51" s="625"/>
      <c r="E51" s="506"/>
      <c r="F51" s="506"/>
      <c r="G51" s="506"/>
      <c r="H51" s="506"/>
      <c r="I51" s="506"/>
      <c r="J51" s="506"/>
      <c r="K51" s="506"/>
      <c r="L51" s="593"/>
    </row>
    <row r="52" spans="1:12" ht="35.25" customHeight="1" x14ac:dyDescent="0.3">
      <c r="A52" s="599"/>
      <c r="B52" s="623" t="s">
        <v>4586</v>
      </c>
      <c r="C52" s="631" t="e">
        <f>(2*C38*(C39+(C44*C45)-C47))/(C48+C50+C51)^0.5</f>
        <v>#REF!</v>
      </c>
      <c r="D52" s="625" t="s">
        <v>4600</v>
      </c>
      <c r="E52" s="506"/>
      <c r="F52" s="506"/>
      <c r="G52" s="506"/>
      <c r="H52" s="506"/>
      <c r="I52" s="506"/>
      <c r="J52" s="506"/>
      <c r="K52" s="506"/>
      <c r="L52" s="593"/>
    </row>
    <row r="53" spans="1:12" ht="16.5" customHeight="1" x14ac:dyDescent="0.3">
      <c r="A53" s="599"/>
      <c r="B53" s="624" t="s">
        <v>4587</v>
      </c>
      <c r="C53" s="632" t="e">
        <f>C43*C52</f>
        <v>#REF!</v>
      </c>
      <c r="D53" s="625" t="s">
        <v>4527</v>
      </c>
      <c r="E53" s="506"/>
      <c r="F53" s="506"/>
      <c r="G53" s="506"/>
      <c r="H53" s="506"/>
      <c r="I53" s="506"/>
      <c r="J53" s="506"/>
      <c r="K53" s="506"/>
      <c r="L53" s="593"/>
    </row>
    <row r="54" spans="1:12" ht="19.5" customHeight="1" x14ac:dyDescent="0.3">
      <c r="A54" s="599"/>
      <c r="B54" s="506"/>
      <c r="C54" s="506"/>
      <c r="D54" s="506"/>
      <c r="E54" s="506"/>
      <c r="F54" s="506"/>
      <c r="G54" s="506"/>
      <c r="H54" s="506"/>
      <c r="I54" s="506"/>
      <c r="J54" s="506"/>
      <c r="K54" s="506"/>
      <c r="L54" s="593"/>
    </row>
    <row r="55" spans="1:12" ht="18" customHeight="1" x14ac:dyDescent="0.3">
      <c r="A55" s="599"/>
      <c r="B55" s="506"/>
      <c r="C55" s="506"/>
      <c r="D55" s="506"/>
      <c r="E55" s="506"/>
      <c r="F55" s="506"/>
      <c r="G55" s="506"/>
      <c r="H55" s="506"/>
      <c r="I55" s="506"/>
      <c r="J55" s="506"/>
      <c r="K55" s="506"/>
      <c r="L55" s="593"/>
    </row>
    <row r="56" spans="1:12" ht="18" customHeight="1" x14ac:dyDescent="0.3">
      <c r="A56" s="599"/>
      <c r="B56" s="506"/>
      <c r="C56" s="506"/>
      <c r="D56" s="506"/>
      <c r="E56" s="506"/>
      <c r="F56" s="506"/>
      <c r="G56" s="506"/>
      <c r="H56" s="506"/>
      <c r="I56" s="506"/>
      <c r="J56" s="506"/>
      <c r="K56" s="506"/>
      <c r="L56" s="593"/>
    </row>
    <row r="57" spans="1:12" x14ac:dyDescent="0.3">
      <c r="A57" s="599"/>
      <c r="B57" s="506"/>
      <c r="C57" s="506"/>
      <c r="D57" s="506"/>
      <c r="E57" s="506"/>
      <c r="F57" s="506"/>
      <c r="G57" s="506"/>
      <c r="H57" s="506"/>
      <c r="I57" s="506"/>
      <c r="J57" s="506"/>
      <c r="K57" s="506"/>
      <c r="L57" s="593"/>
    </row>
    <row r="58" spans="1:12" x14ac:dyDescent="0.3">
      <c r="A58" s="599"/>
      <c r="B58" s="506"/>
      <c r="C58" s="506"/>
      <c r="D58" s="506"/>
      <c r="E58" s="506"/>
      <c r="F58" s="506"/>
      <c r="G58" s="506"/>
      <c r="H58" s="506"/>
      <c r="I58" s="506"/>
      <c r="J58" s="506"/>
      <c r="K58" s="506"/>
      <c r="L58" s="593"/>
    </row>
    <row r="59" spans="1:12" x14ac:dyDescent="0.3">
      <c r="A59" s="599"/>
      <c r="B59" s="506"/>
      <c r="C59" s="506"/>
      <c r="D59" s="506"/>
      <c r="E59" s="506"/>
      <c r="F59" s="506"/>
      <c r="G59" s="506"/>
      <c r="H59" s="506"/>
      <c r="I59" s="506"/>
      <c r="J59" s="506"/>
      <c r="K59" s="506"/>
      <c r="L59" s="593"/>
    </row>
    <row r="60" spans="1:12" x14ac:dyDescent="0.3">
      <c r="A60" s="599"/>
      <c r="B60" s="506"/>
      <c r="C60" s="506"/>
      <c r="D60" s="506"/>
      <c r="E60" s="506"/>
      <c r="F60" s="506"/>
      <c r="G60" s="506"/>
      <c r="H60" s="506"/>
      <c r="I60" s="506"/>
      <c r="J60" s="506"/>
      <c r="K60" s="506"/>
      <c r="L60" s="593"/>
    </row>
    <row r="61" spans="1:12" x14ac:dyDescent="0.3">
      <c r="A61" s="599"/>
      <c r="B61" s="506"/>
      <c r="C61" s="506"/>
      <c r="D61" s="506"/>
      <c r="E61" s="506"/>
      <c r="F61" s="506"/>
      <c r="G61" s="506"/>
      <c r="H61" s="506"/>
      <c r="I61" s="506"/>
      <c r="J61" s="506"/>
      <c r="K61" s="506"/>
      <c r="L61" s="593"/>
    </row>
    <row r="62" spans="1:12" x14ac:dyDescent="0.3">
      <c r="A62" s="599"/>
      <c r="B62" s="506"/>
      <c r="C62" s="506"/>
      <c r="D62" s="506"/>
      <c r="E62" s="506"/>
      <c r="F62" s="506"/>
      <c r="G62" s="506"/>
      <c r="H62" s="506"/>
      <c r="I62" s="506"/>
      <c r="J62" s="506"/>
      <c r="K62" s="506"/>
      <c r="L62" s="593"/>
    </row>
    <row r="63" spans="1:12" x14ac:dyDescent="0.3">
      <c r="A63" s="599"/>
      <c r="B63" s="506"/>
      <c r="C63" s="506"/>
      <c r="D63" s="506"/>
      <c r="E63" s="506"/>
      <c r="F63" s="506"/>
      <c r="G63" s="506"/>
      <c r="H63" s="506"/>
      <c r="I63" s="506"/>
      <c r="J63" s="506"/>
      <c r="K63" s="506"/>
      <c r="L63" s="593"/>
    </row>
    <row r="64" spans="1:12" x14ac:dyDescent="0.3">
      <c r="A64" s="599"/>
      <c r="B64" s="506"/>
      <c r="C64" s="506"/>
      <c r="D64" s="506"/>
      <c r="E64" s="506"/>
      <c r="F64" s="506"/>
      <c r="G64" s="506"/>
      <c r="H64" s="506"/>
      <c r="I64" s="506"/>
      <c r="J64" s="506"/>
      <c r="K64" s="506"/>
      <c r="L64" s="593"/>
    </row>
    <row r="65" spans="1:13" x14ac:dyDescent="0.3">
      <c r="A65" s="599"/>
      <c r="B65" s="506"/>
      <c r="C65" s="506"/>
      <c r="D65" s="506"/>
      <c r="E65" s="506"/>
      <c r="F65" s="506"/>
      <c r="G65" s="506"/>
      <c r="H65" s="506"/>
      <c r="I65" s="506"/>
      <c r="J65" s="506"/>
      <c r="K65" s="506"/>
      <c r="L65" s="593"/>
    </row>
    <row r="66" spans="1:13" x14ac:dyDescent="0.3">
      <c r="A66" s="599"/>
      <c r="B66" s="506"/>
      <c r="C66" s="506"/>
      <c r="D66" s="506"/>
      <c r="E66" s="506"/>
      <c r="F66" s="506"/>
      <c r="G66" s="506"/>
      <c r="H66" s="506"/>
      <c r="I66" s="506"/>
      <c r="J66" s="506"/>
      <c r="K66" s="506"/>
      <c r="L66" s="593"/>
    </row>
    <row r="67" spans="1:13" x14ac:dyDescent="0.3">
      <c r="A67" s="599"/>
      <c r="B67" s="506"/>
      <c r="C67" s="506"/>
      <c r="D67" s="506"/>
      <c r="E67" s="506"/>
      <c r="F67" s="506"/>
      <c r="G67" s="506"/>
      <c r="H67" s="506"/>
      <c r="I67" s="506"/>
      <c r="J67" s="506"/>
      <c r="K67" s="506"/>
      <c r="L67" s="593"/>
    </row>
    <row r="68" spans="1:13" x14ac:dyDescent="0.3">
      <c r="A68" s="599"/>
      <c r="B68" s="506"/>
      <c r="C68" s="506"/>
      <c r="D68" s="506"/>
      <c r="E68" s="506"/>
      <c r="F68" s="506"/>
      <c r="G68" s="506"/>
      <c r="H68" s="506"/>
      <c r="I68" s="506"/>
      <c r="J68" s="506"/>
      <c r="K68" s="506"/>
      <c r="L68" s="593"/>
    </row>
    <row r="69" spans="1:13" x14ac:dyDescent="0.3">
      <c r="A69" s="599"/>
      <c r="B69" s="506"/>
      <c r="C69" s="506"/>
      <c r="D69" s="506"/>
      <c r="E69" s="506"/>
      <c r="F69" s="506"/>
      <c r="G69" s="506"/>
      <c r="H69" s="506"/>
      <c r="I69" s="506"/>
      <c r="J69" s="506"/>
      <c r="K69" s="506"/>
      <c r="L69" s="593"/>
    </row>
    <row r="70" spans="1:13" x14ac:dyDescent="0.3">
      <c r="A70" s="599"/>
      <c r="B70" s="506"/>
      <c r="C70" s="506"/>
      <c r="D70" s="506"/>
      <c r="E70" s="506"/>
      <c r="F70" s="506"/>
      <c r="G70" s="506"/>
      <c r="H70" s="506"/>
      <c r="I70" s="506"/>
      <c r="J70" s="506"/>
      <c r="K70" s="506"/>
      <c r="L70" s="593"/>
    </row>
    <row r="71" spans="1:13" x14ac:dyDescent="0.3">
      <c r="A71" s="599"/>
      <c r="B71" s="506"/>
      <c r="C71" s="506"/>
      <c r="D71" s="506"/>
      <c r="E71" s="506"/>
      <c r="F71" s="506"/>
      <c r="G71" s="506"/>
      <c r="H71" s="506"/>
      <c r="I71" s="506"/>
      <c r="J71" s="506"/>
      <c r="K71" s="506"/>
      <c r="L71" s="593"/>
    </row>
    <row r="72" spans="1:13" x14ac:dyDescent="0.3">
      <c r="A72" s="599"/>
      <c r="B72" s="506"/>
      <c r="C72" s="506"/>
      <c r="D72" s="506"/>
      <c r="E72" s="506"/>
      <c r="F72" s="506"/>
      <c r="G72" s="506"/>
      <c r="H72" s="506"/>
      <c r="I72" s="506"/>
      <c r="J72" s="506"/>
      <c r="K72" s="506"/>
      <c r="L72" s="593"/>
    </row>
    <row r="73" spans="1:13" x14ac:dyDescent="0.3">
      <c r="A73" s="599"/>
      <c r="B73" s="506"/>
      <c r="C73" s="506"/>
      <c r="D73" s="506"/>
      <c r="E73" s="506"/>
      <c r="F73" s="506"/>
      <c r="G73" s="506"/>
      <c r="H73" s="506"/>
      <c r="I73" s="506"/>
      <c r="J73" s="506"/>
      <c r="K73" s="506"/>
      <c r="L73" s="593"/>
    </row>
    <row r="74" spans="1:13" ht="15" thickBot="1" x14ac:dyDescent="0.35">
      <c r="A74" s="599"/>
      <c r="B74" s="506"/>
      <c r="C74" s="506"/>
      <c r="D74" s="506"/>
      <c r="E74" s="506"/>
      <c r="F74" s="506"/>
      <c r="G74" s="506"/>
      <c r="H74" s="506"/>
      <c r="I74" s="506"/>
      <c r="J74" s="506"/>
      <c r="K74" s="506"/>
      <c r="L74" s="593"/>
    </row>
    <row r="75" spans="1:13" ht="15" thickBot="1" x14ac:dyDescent="0.35">
      <c r="A75" s="599"/>
      <c r="B75" s="506"/>
      <c r="C75" s="506"/>
      <c r="D75" s="506"/>
      <c r="E75" s="506"/>
      <c r="F75" s="506"/>
      <c r="G75" s="970" t="s">
        <v>4588</v>
      </c>
      <c r="H75" s="971"/>
      <c r="I75" s="972"/>
      <c r="J75" s="606" t="s">
        <v>66</v>
      </c>
      <c r="K75" s="607" t="s">
        <v>4562</v>
      </c>
      <c r="L75" s="593"/>
      <c r="M75" s="506"/>
    </row>
    <row r="76" spans="1:13" x14ac:dyDescent="0.3">
      <c r="A76" s="599"/>
      <c r="B76" s="506"/>
      <c r="C76" s="506"/>
      <c r="D76" s="506"/>
      <c r="E76" s="506"/>
      <c r="F76" s="506"/>
      <c r="G76" s="964" t="s">
        <v>4589</v>
      </c>
      <c r="H76" s="965"/>
      <c r="I76" s="966"/>
      <c r="J76" s="608">
        <v>0.54600000000000004</v>
      </c>
      <c r="K76" s="609">
        <v>0.6</v>
      </c>
      <c r="L76" s="593"/>
      <c r="M76" s="506"/>
    </row>
    <row r="77" spans="1:13" x14ac:dyDescent="0.3">
      <c r="A77" s="599"/>
      <c r="B77" s="506"/>
      <c r="C77" s="506"/>
      <c r="D77" s="506"/>
      <c r="E77" s="506"/>
      <c r="F77" s="506"/>
      <c r="G77" s="967" t="s">
        <v>4590</v>
      </c>
      <c r="H77" s="968"/>
      <c r="I77" s="969"/>
      <c r="J77" s="610">
        <v>0.56000000000000005</v>
      </c>
      <c r="K77" s="611">
        <v>0.7</v>
      </c>
      <c r="L77" s="593"/>
      <c r="M77" s="506"/>
    </row>
    <row r="78" spans="1:13" x14ac:dyDescent="0.3">
      <c r="A78" s="599"/>
      <c r="B78" s="506"/>
      <c r="C78" s="506"/>
      <c r="D78" s="506"/>
      <c r="E78" s="506"/>
      <c r="F78" s="506"/>
      <c r="G78" s="967" t="s">
        <v>4591</v>
      </c>
      <c r="H78" s="968"/>
      <c r="I78" s="969"/>
      <c r="J78" s="612">
        <v>0.63700000000000001</v>
      </c>
      <c r="K78" s="611">
        <v>0.7</v>
      </c>
      <c r="L78" s="593"/>
      <c r="M78" s="506"/>
    </row>
    <row r="79" spans="1:13" x14ac:dyDescent="0.3">
      <c r="A79" s="599"/>
      <c r="B79" s="506"/>
      <c r="C79" s="506"/>
      <c r="D79" s="506"/>
      <c r="E79" s="506"/>
      <c r="F79" s="506"/>
      <c r="G79" s="967" t="s">
        <v>4592</v>
      </c>
      <c r="H79" s="968"/>
      <c r="I79" s="969"/>
      <c r="J79" s="612">
        <v>0.64</v>
      </c>
      <c r="K79" s="611">
        <v>0.7</v>
      </c>
      <c r="L79" s="593"/>
      <c r="M79" s="506"/>
    </row>
    <row r="80" spans="1:13" x14ac:dyDescent="0.3">
      <c r="A80" s="599"/>
      <c r="B80" s="506"/>
      <c r="C80" s="506"/>
      <c r="D80" s="506"/>
      <c r="E80" s="506"/>
      <c r="F80" s="506"/>
      <c r="G80" s="967" t="s">
        <v>4593</v>
      </c>
      <c r="H80" s="968"/>
      <c r="I80" s="969"/>
      <c r="J80" s="612">
        <v>0.75600000000000001</v>
      </c>
      <c r="K80" s="611">
        <v>0.8</v>
      </c>
      <c r="L80" s="593"/>
      <c r="M80" s="506"/>
    </row>
    <row r="81" spans="1:13" x14ac:dyDescent="0.3">
      <c r="A81" s="599"/>
      <c r="B81" s="506"/>
      <c r="C81" s="506"/>
      <c r="D81" s="506"/>
      <c r="E81" s="506"/>
      <c r="F81" s="506"/>
      <c r="G81" s="967" t="s">
        <v>4594</v>
      </c>
      <c r="H81" s="968"/>
      <c r="I81" s="969"/>
      <c r="J81" s="612">
        <v>0.81499999999999995</v>
      </c>
      <c r="K81" s="611">
        <v>0.8</v>
      </c>
      <c r="L81" s="593"/>
      <c r="M81" s="506"/>
    </row>
    <row r="82" spans="1:13" ht="15" thickBot="1" x14ac:dyDescent="0.35">
      <c r="A82" s="599"/>
      <c r="B82" s="506"/>
      <c r="C82" s="506"/>
      <c r="D82" s="506"/>
      <c r="E82" s="506"/>
      <c r="F82" s="506"/>
      <c r="G82" s="961" t="s">
        <v>4595</v>
      </c>
      <c r="H82" s="962"/>
      <c r="I82" s="963"/>
      <c r="J82" s="613">
        <v>0.97</v>
      </c>
      <c r="K82" s="614">
        <v>0.9</v>
      </c>
      <c r="L82" s="593"/>
      <c r="M82" s="506"/>
    </row>
    <row r="83" spans="1:13" x14ac:dyDescent="0.3">
      <c r="A83" s="599"/>
      <c r="B83" s="506"/>
      <c r="C83" s="506"/>
      <c r="D83" s="506"/>
      <c r="E83" s="506"/>
      <c r="F83" s="506"/>
      <c r="G83" s="615"/>
      <c r="H83" s="615"/>
      <c r="I83" s="615"/>
      <c r="J83" s="615"/>
      <c r="K83" s="615"/>
      <c r="L83" s="593"/>
      <c r="M83" s="506"/>
    </row>
    <row r="84" spans="1:13" x14ac:dyDescent="0.3">
      <c r="A84" s="599"/>
      <c r="B84" s="506"/>
      <c r="C84" s="506"/>
      <c r="D84" s="506"/>
      <c r="E84" s="506"/>
      <c r="F84" s="506"/>
      <c r="G84" s="506"/>
      <c r="H84" s="506"/>
      <c r="I84" s="506"/>
      <c r="J84" s="506"/>
      <c r="K84" s="506"/>
      <c r="L84" s="593"/>
      <c r="M84" s="506"/>
    </row>
    <row r="85" spans="1:13" ht="15" thickBot="1" x14ac:dyDescent="0.35">
      <c r="A85" s="599"/>
      <c r="B85" s="506"/>
      <c r="C85" s="506"/>
      <c r="D85" s="506"/>
      <c r="E85" s="506"/>
      <c r="F85" s="506"/>
      <c r="G85" s="506"/>
      <c r="H85" s="506"/>
      <c r="I85" s="506"/>
      <c r="J85" s="506"/>
      <c r="K85" s="506"/>
      <c r="L85" s="593"/>
      <c r="M85" s="506"/>
    </row>
    <row r="86" spans="1:13" ht="15" thickBot="1" x14ac:dyDescent="0.35">
      <c r="A86" s="599"/>
      <c r="B86" s="506"/>
      <c r="C86" s="506"/>
      <c r="D86" s="506"/>
      <c r="E86" s="506"/>
      <c r="F86" s="506"/>
      <c r="G86" s="970" t="s">
        <v>4588</v>
      </c>
      <c r="H86" s="971"/>
      <c r="I86" s="972"/>
      <c r="J86" s="616" t="s">
        <v>4582</v>
      </c>
      <c r="K86" s="506"/>
      <c r="L86" s="593"/>
      <c r="M86" s="506"/>
    </row>
    <row r="87" spans="1:13" x14ac:dyDescent="0.3">
      <c r="A87" s="599"/>
      <c r="B87" s="506"/>
      <c r="C87" s="506"/>
      <c r="D87" s="506"/>
      <c r="E87" s="506"/>
      <c r="F87" s="506"/>
      <c r="G87" s="964" t="s">
        <v>4589</v>
      </c>
      <c r="H87" s="965"/>
      <c r="I87" s="966"/>
      <c r="J87" s="617">
        <v>1</v>
      </c>
      <c r="K87" s="506"/>
      <c r="L87" s="593"/>
      <c r="M87" s="506"/>
    </row>
    <row r="88" spans="1:13" x14ac:dyDescent="0.3">
      <c r="A88" s="599"/>
      <c r="B88" s="506"/>
      <c r="C88" s="506"/>
      <c r="D88" s="506"/>
      <c r="E88" s="506"/>
      <c r="F88" s="506"/>
      <c r="G88" s="967" t="s">
        <v>4596</v>
      </c>
      <c r="H88" s="968"/>
      <c r="I88" s="969"/>
      <c r="J88" s="618">
        <v>1.1000000000000001</v>
      </c>
      <c r="K88" s="506"/>
      <c r="L88" s="593"/>
      <c r="M88" s="506"/>
    </row>
    <row r="89" spans="1:13" x14ac:dyDescent="0.3">
      <c r="A89" s="599"/>
      <c r="B89" s="506"/>
      <c r="C89" s="506"/>
      <c r="D89" s="506"/>
      <c r="E89" s="506"/>
      <c r="F89" s="506"/>
      <c r="G89" s="967" t="s">
        <v>4591</v>
      </c>
      <c r="H89" s="968"/>
      <c r="I89" s="969"/>
      <c r="J89" s="611">
        <v>0.6</v>
      </c>
      <c r="K89" s="506"/>
      <c r="L89" s="593"/>
      <c r="M89" s="506"/>
    </row>
    <row r="90" spans="1:13" x14ac:dyDescent="0.3">
      <c r="A90" s="599"/>
      <c r="B90" s="506"/>
      <c r="C90" s="506"/>
      <c r="D90" s="506"/>
      <c r="E90" s="506"/>
      <c r="F90" s="506"/>
      <c r="G90" s="967" t="s">
        <v>4592</v>
      </c>
      <c r="H90" s="968"/>
      <c r="I90" s="969"/>
      <c r="J90" s="611">
        <v>0.5</v>
      </c>
      <c r="K90" s="506"/>
      <c r="L90" s="593"/>
      <c r="M90" s="506"/>
    </row>
    <row r="91" spans="1:13" x14ac:dyDescent="0.3">
      <c r="A91" s="599"/>
      <c r="B91" s="506"/>
      <c r="C91" s="506"/>
      <c r="D91" s="506"/>
      <c r="E91" s="506"/>
      <c r="F91" s="506"/>
      <c r="G91" s="967" t="s">
        <v>4593</v>
      </c>
      <c r="H91" s="968"/>
      <c r="I91" s="969"/>
      <c r="J91" s="611">
        <v>0.3</v>
      </c>
      <c r="K91" s="506"/>
      <c r="L91" s="593"/>
      <c r="M91" s="506"/>
    </row>
    <row r="92" spans="1:13" x14ac:dyDescent="0.3">
      <c r="A92" s="599"/>
      <c r="B92" s="506"/>
      <c r="C92" s="506"/>
      <c r="D92" s="506"/>
      <c r="E92" s="506"/>
      <c r="F92" s="506"/>
      <c r="G92" s="967" t="s">
        <v>4594</v>
      </c>
      <c r="H92" s="968"/>
      <c r="I92" s="969"/>
      <c r="J92" s="611">
        <v>0.2</v>
      </c>
      <c r="K92" s="506"/>
      <c r="L92" s="593"/>
      <c r="M92" s="506"/>
    </row>
    <row r="93" spans="1:13" ht="15" thickBot="1" x14ac:dyDescent="0.35">
      <c r="A93" s="599"/>
      <c r="B93" s="506"/>
      <c r="C93" s="506"/>
      <c r="D93" s="506"/>
      <c r="E93" s="506"/>
      <c r="F93" s="506"/>
      <c r="G93" s="961" t="s">
        <v>4595</v>
      </c>
      <c r="H93" s="962"/>
      <c r="I93" s="963"/>
      <c r="J93" s="614">
        <v>0.1</v>
      </c>
      <c r="K93" s="506"/>
      <c r="L93" s="593"/>
      <c r="M93" s="506"/>
    </row>
    <row r="94" spans="1:13" x14ac:dyDescent="0.3">
      <c r="A94" s="599"/>
      <c r="B94" s="506"/>
      <c r="C94" s="506"/>
      <c r="D94" s="506"/>
      <c r="E94" s="506"/>
      <c r="F94" s="506"/>
      <c r="G94" s="506"/>
      <c r="H94" s="506"/>
      <c r="I94" s="506"/>
      <c r="J94" s="506"/>
      <c r="K94" s="506"/>
      <c r="L94" s="593"/>
    </row>
    <row r="95" spans="1:13" x14ac:dyDescent="0.3">
      <c r="A95" s="599"/>
      <c r="B95" s="506"/>
      <c r="C95" s="506"/>
      <c r="D95" s="506"/>
      <c r="E95" s="506"/>
      <c r="F95" s="506"/>
      <c r="G95" s="506"/>
      <c r="H95" s="506"/>
      <c r="I95" s="506"/>
      <c r="J95" s="506"/>
      <c r="K95" s="506"/>
      <c r="L95" s="593"/>
    </row>
    <row r="96" spans="1:13" x14ac:dyDescent="0.3">
      <c r="A96" s="599"/>
      <c r="B96" s="506"/>
      <c r="C96" s="506"/>
      <c r="D96" s="506"/>
      <c r="E96" s="506"/>
      <c r="F96" s="506"/>
      <c r="G96" s="506"/>
      <c r="H96" s="506"/>
      <c r="I96" s="506"/>
      <c r="J96" s="506"/>
      <c r="K96" s="506"/>
      <c r="L96" s="593"/>
    </row>
    <row r="97" spans="1:12" ht="15" thickBot="1" x14ac:dyDescent="0.35">
      <c r="A97" s="619"/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1"/>
    </row>
    <row r="98" spans="1:12" ht="15" thickTop="1" x14ac:dyDescent="0.3"/>
  </sheetData>
  <mergeCells count="19">
    <mergeCell ref="G86:I86"/>
    <mergeCell ref="B5:C5"/>
    <mergeCell ref="N5:O5"/>
    <mergeCell ref="B33:D33"/>
    <mergeCell ref="G75:I75"/>
    <mergeCell ref="G76:I76"/>
    <mergeCell ref="G77:I77"/>
    <mergeCell ref="G78:I78"/>
    <mergeCell ref="G79:I79"/>
    <mergeCell ref="G80:I80"/>
    <mergeCell ref="G81:I81"/>
    <mergeCell ref="G82:I82"/>
    <mergeCell ref="G93:I93"/>
    <mergeCell ref="G87:I87"/>
    <mergeCell ref="G88:I88"/>
    <mergeCell ref="G89:I89"/>
    <mergeCell ref="G90:I90"/>
    <mergeCell ref="G91:I91"/>
    <mergeCell ref="G92:I9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8E3D-E814-4748-8EBA-AE9A96DD18C4}">
  <sheetPr>
    <tabColor rgb="FF0000FF"/>
  </sheetPr>
  <dimension ref="A1:P98"/>
  <sheetViews>
    <sheetView topLeftCell="A58" zoomScaleNormal="100" workbookViewId="0">
      <selection activeCell="G82" sqref="G82:I82"/>
    </sheetView>
  </sheetViews>
  <sheetFormatPr defaultRowHeight="14.4" x14ac:dyDescent="0.3"/>
  <cols>
    <col min="2" max="2" width="30.6640625" customWidth="1"/>
    <col min="3" max="3" width="15.5546875" customWidth="1"/>
    <col min="4" max="4" width="11" customWidth="1"/>
    <col min="6" max="6" width="25.88671875" bestFit="1" customWidth="1"/>
    <col min="7" max="7" width="23" customWidth="1"/>
    <col min="8" max="8" width="22.88671875" customWidth="1"/>
    <col min="10" max="10" width="25.88671875" bestFit="1" customWidth="1"/>
    <col min="11" max="11" width="13.6640625" bestFit="1" customWidth="1"/>
    <col min="12" max="12" width="31" bestFit="1" customWidth="1"/>
    <col min="13" max="13" width="7.5546875" customWidth="1"/>
    <col min="14" max="14" width="23.6640625" customWidth="1"/>
    <col min="15" max="15" width="13.88671875" customWidth="1"/>
    <col min="16" max="16" width="10.6640625" bestFit="1" customWidth="1"/>
  </cols>
  <sheetData>
    <row r="1" spans="1:16" ht="15" thickTop="1" x14ac:dyDescent="0.3">
      <c r="A1" s="558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60"/>
    </row>
    <row r="2" spans="1:16" x14ac:dyDescent="0.3">
      <c r="A2" s="561"/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3"/>
    </row>
    <row r="3" spans="1:16" ht="16.2" x14ac:dyDescent="0.35">
      <c r="A3" s="564"/>
      <c r="B3" s="565"/>
      <c r="C3" s="565"/>
      <c r="D3" s="565"/>
      <c r="E3" s="565"/>
      <c r="F3" s="562"/>
      <c r="G3" s="562"/>
      <c r="H3" s="562"/>
      <c r="I3" s="562"/>
      <c r="J3" s="562"/>
      <c r="K3" s="565"/>
      <c r="L3" s="566"/>
      <c r="M3" s="567"/>
      <c r="N3" s="567"/>
      <c r="O3" s="567"/>
    </row>
    <row r="4" spans="1:16" ht="16.8" thickBot="1" x14ac:dyDescent="0.4">
      <c r="A4" s="568"/>
      <c r="B4" s="569"/>
      <c r="C4" s="565"/>
      <c r="D4" s="565"/>
      <c r="E4" s="565"/>
      <c r="F4" s="565"/>
      <c r="G4" s="565"/>
      <c r="H4" s="565"/>
      <c r="I4" s="562"/>
      <c r="J4" s="565"/>
      <c r="K4" s="565"/>
      <c r="L4" s="566"/>
      <c r="M4" s="567"/>
      <c r="N4" s="567"/>
      <c r="O4" s="567"/>
      <c r="P4" s="567"/>
    </row>
    <row r="5" spans="1:16" ht="20.25" customHeight="1" thickBot="1" x14ac:dyDescent="0.4">
      <c r="A5" s="564"/>
      <c r="B5" s="973"/>
      <c r="C5" s="974"/>
      <c r="D5" s="565"/>
      <c r="E5" s="565"/>
      <c r="F5" s="565"/>
      <c r="G5" s="565"/>
      <c r="H5" s="565"/>
      <c r="I5" s="562"/>
      <c r="J5" s="565"/>
      <c r="K5" s="565"/>
      <c r="L5" s="566"/>
      <c r="M5" s="567"/>
      <c r="N5" s="975"/>
      <c r="O5" s="975"/>
      <c r="P5" s="570"/>
    </row>
    <row r="6" spans="1:16" ht="17.25" customHeight="1" thickBot="1" x14ac:dyDescent="0.4">
      <c r="A6" s="564"/>
      <c r="B6" s="536" t="s">
        <v>4515</v>
      </c>
      <c r="C6" s="536" t="s">
        <v>4516</v>
      </c>
      <c r="D6" s="536" t="s">
        <v>4517</v>
      </c>
      <c r="E6" s="565"/>
      <c r="F6" s="565"/>
      <c r="G6" s="565"/>
      <c r="H6" s="565"/>
      <c r="I6" s="562"/>
      <c r="J6" s="565"/>
      <c r="K6" s="565"/>
      <c r="L6" s="566"/>
      <c r="M6" s="567"/>
      <c r="N6" s="570"/>
      <c r="O6" s="570"/>
      <c r="P6" s="570"/>
    </row>
    <row r="7" spans="1:16" ht="14.25" customHeight="1" x14ac:dyDescent="0.35">
      <c r="A7" s="564"/>
      <c r="B7" s="537" t="s">
        <v>4546</v>
      </c>
      <c r="C7" s="537" t="e">
        <f>'Ditch Calculation'!#REF!</f>
        <v>#REF!</v>
      </c>
      <c r="D7" s="537"/>
      <c r="E7" s="565"/>
      <c r="F7" s="565"/>
      <c r="G7" s="565"/>
      <c r="H7" s="565"/>
      <c r="I7" s="562"/>
      <c r="J7" s="565"/>
      <c r="K7" s="565"/>
      <c r="L7" s="566"/>
      <c r="M7" s="567"/>
      <c r="N7" s="570"/>
      <c r="O7" s="570"/>
      <c r="P7" s="570"/>
    </row>
    <row r="8" spans="1:16" ht="14.25" customHeight="1" x14ac:dyDescent="0.35">
      <c r="A8" s="564"/>
      <c r="B8" s="537" t="s">
        <v>4518</v>
      </c>
      <c r="C8" s="538" t="e">
        <f>'Ditch Calculation'!#REF!</f>
        <v>#REF!</v>
      </c>
      <c r="D8" s="537"/>
      <c r="E8" s="565"/>
      <c r="F8" s="565"/>
      <c r="G8" s="571"/>
      <c r="H8" s="565"/>
      <c r="I8" s="562"/>
      <c r="J8" s="565"/>
      <c r="K8" s="571"/>
      <c r="L8" s="566"/>
      <c r="M8" s="567"/>
      <c r="N8" s="570"/>
      <c r="O8" s="572"/>
      <c r="P8" s="570"/>
    </row>
    <row r="9" spans="1:16" ht="18" customHeight="1" x14ac:dyDescent="0.35">
      <c r="A9" s="564"/>
      <c r="B9" s="537" t="s">
        <v>4547</v>
      </c>
      <c r="C9" s="537">
        <v>1</v>
      </c>
      <c r="D9" s="537"/>
      <c r="E9" s="573"/>
      <c r="F9" s="565"/>
      <c r="G9" s="565"/>
      <c r="H9" s="565"/>
      <c r="I9" s="562"/>
      <c r="J9" s="565"/>
      <c r="K9" s="565"/>
      <c r="L9" s="566"/>
      <c r="M9" s="574"/>
      <c r="N9" s="570"/>
      <c r="O9" s="570"/>
      <c r="P9" s="570"/>
    </row>
    <row r="10" spans="1:16" ht="16.5" customHeight="1" x14ac:dyDescent="0.35">
      <c r="A10" s="564"/>
      <c r="B10" s="537" t="s">
        <v>4519</v>
      </c>
      <c r="C10" s="539" t="e">
        <f>C15/1.2</f>
        <v>#REF!</v>
      </c>
      <c r="D10" s="537" t="s">
        <v>21</v>
      </c>
      <c r="E10" s="565"/>
      <c r="F10" s="565"/>
      <c r="G10" s="575"/>
      <c r="H10" s="565"/>
      <c r="I10" s="562"/>
      <c r="J10" s="565"/>
      <c r="K10" s="575"/>
      <c r="L10" s="566"/>
      <c r="M10" s="567"/>
      <c r="N10" s="570"/>
      <c r="O10" s="576"/>
      <c r="P10" s="570"/>
    </row>
    <row r="11" spans="1:16" ht="19.5" customHeight="1" x14ac:dyDescent="0.35">
      <c r="A11" s="564"/>
      <c r="B11" s="537" t="s">
        <v>4520</v>
      </c>
      <c r="C11" s="539" t="e">
        <f>2*C10*((1+C9^2)^0.5-C9)</f>
        <v>#REF!</v>
      </c>
      <c r="D11" s="537" t="s">
        <v>21</v>
      </c>
      <c r="E11" s="565"/>
      <c r="F11" s="565"/>
      <c r="G11" s="575"/>
      <c r="H11" s="565"/>
      <c r="I11" s="562"/>
      <c r="J11" s="565"/>
      <c r="K11" s="575"/>
      <c r="L11" s="566"/>
      <c r="M11" s="567"/>
      <c r="N11" s="570"/>
      <c r="O11" s="576"/>
      <c r="P11" s="570"/>
    </row>
    <row r="12" spans="1:16" ht="16.2" x14ac:dyDescent="0.35">
      <c r="A12" s="564"/>
      <c r="B12" s="537" t="s">
        <v>4521</v>
      </c>
      <c r="C12" s="539" t="e">
        <f>(C11+(C9*C10))*C10</f>
        <v>#REF!</v>
      </c>
      <c r="D12" s="537" t="s">
        <v>4522</v>
      </c>
      <c r="E12" s="565"/>
      <c r="F12" s="565"/>
      <c r="G12" s="575"/>
      <c r="H12" s="565"/>
      <c r="I12" s="562"/>
      <c r="J12" s="565"/>
      <c r="K12" s="575"/>
      <c r="L12" s="566"/>
      <c r="M12" s="567"/>
      <c r="N12" s="570"/>
      <c r="O12" s="576"/>
      <c r="P12" s="570"/>
    </row>
    <row r="13" spans="1:16" ht="16.2" x14ac:dyDescent="0.35">
      <c r="A13" s="564"/>
      <c r="B13" s="537" t="s">
        <v>4523</v>
      </c>
      <c r="C13" s="539" t="e">
        <f>C11+(2*C10*(SQRT(1+C9)^2))</f>
        <v>#REF!</v>
      </c>
      <c r="D13" s="537" t="s">
        <v>21</v>
      </c>
      <c r="E13" s="565"/>
      <c r="F13" s="565"/>
      <c r="G13" s="575"/>
      <c r="H13" s="565"/>
      <c r="I13" s="562"/>
      <c r="J13" s="565"/>
      <c r="K13" s="575"/>
      <c r="L13" s="566"/>
      <c r="M13" s="567"/>
      <c r="N13" s="570"/>
      <c r="O13" s="576"/>
      <c r="P13" s="570"/>
    </row>
    <row r="14" spans="1:16" ht="16.2" x14ac:dyDescent="0.35">
      <c r="A14" s="564"/>
      <c r="B14" s="537" t="s">
        <v>4524</v>
      </c>
      <c r="C14" s="539" t="e">
        <f>C12/C13</f>
        <v>#REF!</v>
      </c>
      <c r="D14" s="537" t="s">
        <v>21</v>
      </c>
      <c r="E14" s="565"/>
      <c r="F14" s="565"/>
      <c r="G14" s="575"/>
      <c r="H14" s="565"/>
      <c r="I14" s="562"/>
      <c r="J14" s="565"/>
      <c r="K14" s="575"/>
      <c r="L14" s="566"/>
      <c r="M14" s="567"/>
      <c r="N14" s="570"/>
      <c r="O14" s="576"/>
      <c r="P14" s="570"/>
    </row>
    <row r="15" spans="1:16" ht="16.2" x14ac:dyDescent="0.35">
      <c r="A15" s="564"/>
      <c r="B15" s="537" t="s">
        <v>4550</v>
      </c>
      <c r="C15" s="541" t="e">
        <f>'Ditch Calculation'!#REF!</f>
        <v>#REF!</v>
      </c>
      <c r="D15" s="537" t="s">
        <v>21</v>
      </c>
      <c r="E15" s="565"/>
      <c r="F15" s="565"/>
      <c r="G15" s="565"/>
      <c r="H15" s="565"/>
      <c r="I15" s="562"/>
      <c r="J15" s="565"/>
      <c r="K15" s="565"/>
      <c r="L15" s="566"/>
      <c r="M15" s="567"/>
      <c r="N15" s="570"/>
      <c r="O15" s="570"/>
      <c r="P15" s="570"/>
    </row>
    <row r="16" spans="1:16" ht="16.8" thickBot="1" x14ac:dyDescent="0.4">
      <c r="A16" s="564"/>
      <c r="B16" s="537" t="s">
        <v>4525</v>
      </c>
      <c r="C16" s="539" t="e">
        <f>C11+(2*C9*C10)</f>
        <v>#REF!</v>
      </c>
      <c r="D16" s="537" t="s">
        <v>21</v>
      </c>
      <c r="E16" s="565"/>
      <c r="F16" s="565"/>
      <c r="G16" s="565"/>
      <c r="H16" s="565"/>
      <c r="I16" s="565"/>
      <c r="J16" s="565"/>
      <c r="K16" s="565"/>
      <c r="L16" s="566"/>
      <c r="M16" s="567"/>
      <c r="N16" s="570"/>
      <c r="O16" s="570"/>
      <c r="P16" s="570"/>
    </row>
    <row r="17" spans="1:16" ht="16.8" thickBot="1" x14ac:dyDescent="0.4">
      <c r="A17" s="564"/>
      <c r="B17" s="542" t="s">
        <v>4526</v>
      </c>
      <c r="C17" s="543" t="e">
        <f>(1/C7)*(C14^0.666666)*(C8^0.5)*C12</f>
        <v>#REF!</v>
      </c>
      <c r="D17" s="556" t="s">
        <v>4527</v>
      </c>
      <c r="E17" s="565"/>
      <c r="F17" s="565"/>
      <c r="G17" s="577"/>
      <c r="H17" s="578"/>
      <c r="I17" s="565"/>
      <c r="J17" s="565"/>
      <c r="K17" s="577"/>
      <c r="L17" s="579"/>
      <c r="M17" s="567"/>
      <c r="N17" s="570"/>
      <c r="O17" s="580"/>
      <c r="P17" s="581"/>
    </row>
    <row r="18" spans="1:16" ht="16.2" x14ac:dyDescent="0.35">
      <c r="A18" s="564"/>
      <c r="B18" s="565"/>
      <c r="C18" s="565"/>
      <c r="D18" s="565"/>
      <c r="E18" s="565"/>
      <c r="F18" s="582"/>
      <c r="G18" s="565"/>
      <c r="H18" s="565"/>
      <c r="I18" s="565"/>
      <c r="J18" s="582"/>
      <c r="K18" s="565"/>
      <c r="L18" s="566"/>
      <c r="N18" s="567"/>
    </row>
    <row r="19" spans="1:16" ht="16.2" x14ac:dyDescent="0.35">
      <c r="A19" s="564"/>
      <c r="B19" s="565"/>
      <c r="C19" s="565"/>
      <c r="D19" s="565"/>
      <c r="E19" s="565"/>
      <c r="F19" s="582"/>
      <c r="G19" s="565"/>
      <c r="H19" s="565"/>
      <c r="I19" s="565"/>
      <c r="J19" s="582"/>
      <c r="K19" s="565"/>
      <c r="L19" s="566"/>
      <c r="N19" s="567"/>
    </row>
    <row r="20" spans="1:16" ht="16.2" x14ac:dyDescent="0.35">
      <c r="A20" s="564"/>
      <c r="B20" s="565"/>
      <c r="C20" s="565"/>
      <c r="D20" s="565"/>
      <c r="E20" s="565"/>
      <c r="F20" s="582"/>
      <c r="G20" s="565"/>
      <c r="H20" s="565"/>
      <c r="I20" s="565"/>
      <c r="J20" s="582"/>
      <c r="K20" s="565"/>
      <c r="L20" s="566"/>
      <c r="N20" s="567"/>
    </row>
    <row r="21" spans="1:16" ht="16.2" x14ac:dyDescent="0.35">
      <c r="A21" s="564"/>
      <c r="B21" s="565"/>
      <c r="C21" s="565"/>
      <c r="D21" s="565"/>
      <c r="E21" s="565"/>
      <c r="F21" s="582"/>
      <c r="G21" s="565"/>
      <c r="H21" s="565"/>
      <c r="I21" s="565"/>
      <c r="J21" s="582"/>
      <c r="K21" s="565"/>
      <c r="L21" s="566"/>
      <c r="N21" s="567"/>
    </row>
    <row r="22" spans="1:16" ht="16.2" x14ac:dyDescent="0.35">
      <c r="A22" s="564"/>
      <c r="B22" s="565"/>
      <c r="C22" s="565"/>
      <c r="D22" s="565"/>
      <c r="E22" s="565"/>
      <c r="F22" s="582"/>
      <c r="G22" s="565"/>
      <c r="H22" s="565"/>
      <c r="I22" s="565"/>
      <c r="J22" s="582"/>
      <c r="K22" s="565"/>
      <c r="L22" s="566"/>
      <c r="N22" s="567"/>
    </row>
    <row r="23" spans="1:16" ht="16.2" x14ac:dyDescent="0.35">
      <c r="A23" s="564"/>
      <c r="B23" s="565"/>
      <c r="C23" s="565"/>
      <c r="D23" s="565"/>
      <c r="E23" s="565"/>
      <c r="F23" s="582"/>
      <c r="G23" s="565"/>
      <c r="H23" s="565"/>
      <c r="I23" s="565"/>
      <c r="J23" s="582"/>
      <c r="K23" s="565"/>
      <c r="L23" s="566"/>
      <c r="N23" s="567"/>
    </row>
    <row r="24" spans="1:16" ht="16.2" x14ac:dyDescent="0.35">
      <c r="A24" s="564"/>
      <c r="B24" s="565"/>
      <c r="C24" s="565"/>
      <c r="D24" s="565"/>
      <c r="E24" s="565"/>
      <c r="F24" s="582"/>
      <c r="G24" s="565"/>
      <c r="H24" s="565"/>
      <c r="I24" s="565"/>
      <c r="J24" s="582"/>
      <c r="K24" s="565"/>
      <c r="L24" s="566"/>
      <c r="N24" s="567"/>
    </row>
    <row r="25" spans="1:16" ht="16.2" x14ac:dyDescent="0.35">
      <c r="A25" s="564"/>
      <c r="B25" s="565"/>
      <c r="C25" s="565"/>
      <c r="D25" s="565"/>
      <c r="E25" s="565"/>
      <c r="F25" s="582"/>
      <c r="G25" s="565"/>
      <c r="H25" s="565"/>
      <c r="I25" s="565"/>
      <c r="J25" s="582"/>
      <c r="K25" s="565"/>
      <c r="L25" s="566"/>
      <c r="N25" s="567"/>
    </row>
    <row r="26" spans="1:16" ht="16.2" x14ac:dyDescent="0.35">
      <c r="A26" s="564"/>
      <c r="B26" s="565"/>
      <c r="C26" s="565"/>
      <c r="D26" s="565"/>
      <c r="E26" s="565"/>
      <c r="F26" s="582"/>
      <c r="G26" s="565"/>
      <c r="H26" s="565"/>
      <c r="I26" s="565"/>
      <c r="J26" s="582"/>
      <c r="K26" s="565"/>
      <c r="L26" s="566"/>
      <c r="N26" s="567"/>
    </row>
    <row r="27" spans="1:16" ht="16.2" x14ac:dyDescent="0.35">
      <c r="A27" s="564"/>
      <c r="B27" s="565"/>
      <c r="C27" s="565"/>
      <c r="D27" s="565"/>
      <c r="E27" s="565"/>
      <c r="F27" s="582"/>
      <c r="G27" s="565"/>
      <c r="H27" s="565"/>
      <c r="I27" s="565"/>
      <c r="J27" s="582"/>
      <c r="K27" s="565"/>
      <c r="L27" s="566"/>
      <c r="N27" s="567"/>
    </row>
    <row r="28" spans="1:16" ht="16.2" x14ac:dyDescent="0.35">
      <c r="A28" s="564"/>
      <c r="B28" s="565"/>
      <c r="C28" s="565"/>
      <c r="D28" s="565"/>
      <c r="E28" s="565"/>
      <c r="F28" s="582"/>
      <c r="G28" s="565"/>
      <c r="H28" s="565"/>
      <c r="I28" s="565"/>
      <c r="J28" s="582"/>
      <c r="K28" s="565"/>
      <c r="L28" s="566"/>
      <c r="N28" s="567"/>
    </row>
    <row r="29" spans="1:16" ht="16.2" x14ac:dyDescent="0.35">
      <c r="A29" s="564"/>
      <c r="B29" s="565"/>
      <c r="C29" s="565"/>
      <c r="D29" s="565"/>
      <c r="E29" s="565"/>
      <c r="F29" s="582"/>
      <c r="G29" s="565"/>
      <c r="H29" s="565"/>
      <c r="I29" s="565"/>
      <c r="J29" s="582"/>
      <c r="K29" s="565"/>
      <c r="L29" s="566"/>
      <c r="N29" s="567"/>
    </row>
    <row r="30" spans="1:16" ht="17.25" customHeight="1" x14ac:dyDescent="0.35">
      <c r="A30" s="564"/>
      <c r="B30" s="565"/>
      <c r="C30" s="565"/>
      <c r="D30" s="565"/>
      <c r="E30" s="565"/>
      <c r="F30" s="582"/>
      <c r="G30" s="565"/>
      <c r="H30" s="565"/>
      <c r="I30" s="565"/>
      <c r="J30" s="582"/>
      <c r="K30" s="565"/>
      <c r="L30" s="566"/>
      <c r="N30" s="567"/>
    </row>
    <row r="31" spans="1:16" ht="16.8" thickBot="1" x14ac:dyDescent="0.4">
      <c r="A31" s="583"/>
      <c r="B31" s="584"/>
      <c r="C31" s="584"/>
      <c r="D31" s="584"/>
      <c r="E31" s="584"/>
      <c r="F31" s="585"/>
      <c r="G31" s="584"/>
      <c r="H31" s="584"/>
      <c r="I31" s="584"/>
      <c r="J31" s="585"/>
      <c r="K31" s="584"/>
      <c r="L31" s="586"/>
      <c r="N31" s="567"/>
    </row>
    <row r="32" spans="1:16" ht="16.8" thickTop="1" x14ac:dyDescent="0.35">
      <c r="A32" s="587"/>
      <c r="B32" s="588"/>
      <c r="C32" s="588"/>
      <c r="D32" s="588"/>
      <c r="E32" s="588"/>
      <c r="F32" s="589"/>
      <c r="G32" s="588"/>
      <c r="H32" s="588"/>
      <c r="I32" s="588"/>
      <c r="J32" s="589"/>
      <c r="K32" s="588"/>
      <c r="L32" s="590"/>
      <c r="N32" s="567"/>
    </row>
    <row r="33" spans="1:12" ht="15.6" x14ac:dyDescent="0.3">
      <c r="A33" s="591">
        <v>2</v>
      </c>
      <c r="B33" s="976" t="s">
        <v>4554</v>
      </c>
      <c r="C33" s="976"/>
      <c r="D33" s="976"/>
      <c r="E33" s="506"/>
      <c r="F33" s="506"/>
      <c r="G33" s="506"/>
      <c r="H33" s="506"/>
      <c r="I33" s="592"/>
      <c r="J33" s="592"/>
      <c r="K33" s="506"/>
      <c r="L33" s="593"/>
    </row>
    <row r="34" spans="1:12" ht="16.2" thickBot="1" x14ac:dyDescent="0.35">
      <c r="A34" s="594"/>
      <c r="B34" s="633" t="s">
        <v>4555</v>
      </c>
      <c r="C34" s="633" t="s">
        <v>4556</v>
      </c>
      <c r="D34" s="633" t="s">
        <v>4557</v>
      </c>
      <c r="E34" s="506"/>
      <c r="F34" s="506"/>
      <c r="G34" s="506"/>
      <c r="H34" s="506"/>
      <c r="I34" s="592"/>
      <c r="J34" s="592"/>
      <c r="K34" s="506"/>
      <c r="L34" s="593"/>
    </row>
    <row r="35" spans="1:12" ht="28.5" customHeight="1" thickBot="1" x14ac:dyDescent="0.35">
      <c r="A35" s="594"/>
      <c r="B35" s="624" t="s">
        <v>4558</v>
      </c>
      <c r="C35" s="625">
        <v>0.75600000000000001</v>
      </c>
      <c r="D35" s="625" t="s">
        <v>4559</v>
      </c>
      <c r="E35" s="506"/>
      <c r="F35" s="506"/>
      <c r="G35" s="595" t="s">
        <v>4560</v>
      </c>
      <c r="H35" s="596" t="s">
        <v>4561</v>
      </c>
      <c r="I35" s="592"/>
      <c r="J35" s="592"/>
      <c r="K35" s="506"/>
      <c r="L35" s="593"/>
    </row>
    <row r="36" spans="1:12" ht="15.6" x14ac:dyDescent="0.3">
      <c r="A36" s="594"/>
      <c r="B36" s="626" t="s">
        <v>4562</v>
      </c>
      <c r="C36" s="625">
        <v>0.8</v>
      </c>
      <c r="D36" s="625" t="s">
        <v>4559</v>
      </c>
      <c r="E36" s="506"/>
      <c r="F36" s="506"/>
      <c r="G36" s="597" t="s">
        <v>4563</v>
      </c>
      <c r="H36" s="598" t="s">
        <v>4564</v>
      </c>
      <c r="I36" s="592"/>
      <c r="J36" s="592"/>
      <c r="K36" s="506"/>
      <c r="L36" s="593"/>
    </row>
    <row r="37" spans="1:12" ht="15.6" x14ac:dyDescent="0.3">
      <c r="A37" s="599"/>
      <c r="B37" s="626" t="s">
        <v>186</v>
      </c>
      <c r="C37" s="627">
        <v>1</v>
      </c>
      <c r="D37" s="625" t="s">
        <v>21</v>
      </c>
      <c r="E37" s="506"/>
      <c r="F37" s="506"/>
      <c r="G37" s="600" t="s">
        <v>4565</v>
      </c>
      <c r="H37" s="601">
        <v>1.2E-2</v>
      </c>
      <c r="I37" s="506"/>
      <c r="J37" s="506"/>
      <c r="K37" s="506"/>
      <c r="L37" s="593"/>
    </row>
    <row r="38" spans="1:12" ht="15.6" x14ac:dyDescent="0.3">
      <c r="A38" s="599"/>
      <c r="B38" s="624" t="s">
        <v>4566</v>
      </c>
      <c r="C38" s="625">
        <v>9.81</v>
      </c>
      <c r="D38" s="625" t="s">
        <v>4567</v>
      </c>
      <c r="E38" s="506"/>
      <c r="F38" s="506"/>
      <c r="G38" s="602" t="s">
        <v>4568</v>
      </c>
      <c r="H38" s="603">
        <v>1.4999999999999999E-2</v>
      </c>
      <c r="I38" s="506"/>
      <c r="J38" s="506"/>
      <c r="K38" s="506"/>
      <c r="L38" s="593"/>
    </row>
    <row r="39" spans="1:12" ht="15.6" x14ac:dyDescent="0.3">
      <c r="A39" s="599"/>
      <c r="B39" s="624" t="s">
        <v>4505</v>
      </c>
      <c r="C39" s="628" t="e">
        <f>C10</f>
        <v>#REF!</v>
      </c>
      <c r="D39" s="625" t="s">
        <v>21</v>
      </c>
      <c r="E39" s="506"/>
      <c r="F39" s="506"/>
      <c r="G39" s="600" t="s">
        <v>4569</v>
      </c>
      <c r="H39" s="601" t="s">
        <v>4570</v>
      </c>
      <c r="I39" s="506"/>
      <c r="J39" s="506"/>
      <c r="K39" s="506"/>
      <c r="L39" s="593"/>
    </row>
    <row r="40" spans="1:12" ht="15.6" x14ac:dyDescent="0.3">
      <c r="A40" s="599"/>
      <c r="B40" s="624" t="s">
        <v>4571</v>
      </c>
      <c r="C40" s="631" t="e">
        <f>C39/C37</f>
        <v>#REF!</v>
      </c>
      <c r="D40" s="629" t="s">
        <v>4572</v>
      </c>
      <c r="E40" s="506"/>
      <c r="F40" s="506"/>
      <c r="G40" s="600" t="s">
        <v>4573</v>
      </c>
      <c r="H40" s="601" t="s">
        <v>4574</v>
      </c>
      <c r="I40" s="506"/>
      <c r="J40" s="506"/>
      <c r="K40" s="506"/>
      <c r="L40" s="593"/>
    </row>
    <row r="41" spans="1:12" ht="21" thickBot="1" x14ac:dyDescent="0.35">
      <c r="A41" s="599"/>
      <c r="B41" s="622" t="s">
        <v>4575</v>
      </c>
      <c r="C41" s="632" t="e">
        <f>0.785*C35*(C37)^2.5*(2*C38)^0.5*(C39/(C37-C36))^0.5</f>
        <v>#REF!</v>
      </c>
      <c r="D41" s="625" t="s">
        <v>4527</v>
      </c>
      <c r="E41" s="506"/>
      <c r="G41" s="604" t="s">
        <v>4576</v>
      </c>
      <c r="H41" s="605" t="s">
        <v>4577</v>
      </c>
      <c r="I41" s="506"/>
      <c r="J41" s="506"/>
      <c r="K41" s="506"/>
      <c r="L41" s="593"/>
    </row>
    <row r="42" spans="1:12" x14ac:dyDescent="0.3">
      <c r="A42" s="599"/>
      <c r="B42" s="633" t="s">
        <v>4555</v>
      </c>
      <c r="C42" s="634" t="s">
        <v>4578</v>
      </c>
      <c r="D42" s="633" t="s">
        <v>4557</v>
      </c>
      <c r="E42" s="506"/>
      <c r="F42" s="506"/>
      <c r="G42" s="506"/>
      <c r="H42" s="506"/>
      <c r="I42" s="506"/>
      <c r="J42" s="506"/>
      <c r="K42" s="506"/>
      <c r="L42" s="593"/>
    </row>
    <row r="43" spans="1:12" x14ac:dyDescent="0.3">
      <c r="A43" s="599"/>
      <c r="B43" s="624" t="s">
        <v>4579</v>
      </c>
      <c r="C43" s="628">
        <f>0.785*(C37)^2</f>
        <v>0.78500000000000003</v>
      </c>
      <c r="D43" s="625" t="s">
        <v>4522</v>
      </c>
      <c r="E43" s="506"/>
      <c r="F43" s="506"/>
      <c r="G43" s="506"/>
      <c r="H43" s="506"/>
      <c r="I43" s="506"/>
      <c r="J43" s="506"/>
      <c r="K43" s="506"/>
      <c r="L43" s="593"/>
    </row>
    <row r="44" spans="1:12" x14ac:dyDescent="0.3">
      <c r="A44" s="599"/>
      <c r="B44" s="624" t="s">
        <v>62</v>
      </c>
      <c r="C44" s="635">
        <f>(717.8-699.5)/110</f>
        <v>0.16636363636363596</v>
      </c>
      <c r="D44" s="625"/>
      <c r="E44" s="506"/>
      <c r="F44" s="506"/>
      <c r="G44" s="506"/>
      <c r="H44" s="506"/>
      <c r="I44" s="506"/>
      <c r="J44" s="506"/>
      <c r="K44" s="506"/>
      <c r="L44" s="593"/>
    </row>
    <row r="45" spans="1:12" x14ac:dyDescent="0.3">
      <c r="A45" s="599"/>
      <c r="B45" s="624" t="s">
        <v>4504</v>
      </c>
      <c r="C45" s="625">
        <v>110</v>
      </c>
      <c r="D45" s="625" t="s">
        <v>21</v>
      </c>
      <c r="E45" s="506"/>
      <c r="F45" s="506"/>
      <c r="G45" s="506"/>
      <c r="H45" s="506"/>
      <c r="I45" s="506"/>
      <c r="J45" s="506"/>
      <c r="K45" s="506"/>
      <c r="L45" s="593"/>
    </row>
    <row r="46" spans="1:12" x14ac:dyDescent="0.3">
      <c r="A46" s="599"/>
      <c r="B46" s="624" t="s">
        <v>4580</v>
      </c>
      <c r="C46" s="628">
        <v>0.6</v>
      </c>
      <c r="D46" s="625"/>
      <c r="E46" s="506"/>
      <c r="F46" s="506"/>
      <c r="G46" s="506"/>
      <c r="H46" s="506"/>
      <c r="I46" s="506"/>
      <c r="J46" s="506"/>
      <c r="K46" s="506"/>
      <c r="L46" s="593"/>
    </row>
    <row r="47" spans="1:12" x14ac:dyDescent="0.3">
      <c r="A47" s="599"/>
      <c r="B47" s="624" t="s">
        <v>4581</v>
      </c>
      <c r="C47" s="625">
        <v>0.44</v>
      </c>
      <c r="D47" s="625" t="s">
        <v>4559</v>
      </c>
      <c r="E47" s="506"/>
      <c r="F47" s="506"/>
      <c r="G47" s="506"/>
      <c r="H47" s="506"/>
      <c r="I47" s="506"/>
      <c r="J47" s="506"/>
      <c r="K47" s="506"/>
      <c r="L47" s="593"/>
    </row>
    <row r="48" spans="1:12" x14ac:dyDescent="0.3">
      <c r="A48" s="599"/>
      <c r="B48" s="624" t="s">
        <v>4582</v>
      </c>
      <c r="C48" s="625">
        <v>0.3</v>
      </c>
      <c r="D48" s="625" t="s">
        <v>4559</v>
      </c>
      <c r="E48" s="506"/>
      <c r="F48" s="506"/>
      <c r="G48" s="506"/>
      <c r="H48" s="506"/>
      <c r="I48" s="506"/>
      <c r="J48" s="506"/>
      <c r="K48" s="506"/>
      <c r="L48" s="593"/>
    </row>
    <row r="49" spans="1:12" x14ac:dyDescent="0.3">
      <c r="A49" s="599"/>
      <c r="B49" s="624" t="s">
        <v>4583</v>
      </c>
      <c r="C49" s="625">
        <f>C37/4</f>
        <v>0.25</v>
      </c>
      <c r="D49" s="625"/>
      <c r="E49" s="506"/>
      <c r="F49" s="506"/>
      <c r="G49" s="506"/>
      <c r="H49" s="506"/>
      <c r="I49" s="506"/>
      <c r="J49" s="506"/>
      <c r="K49" s="506"/>
      <c r="L49" s="593"/>
    </row>
    <row r="50" spans="1:12" ht="15.75" customHeight="1" x14ac:dyDescent="0.3">
      <c r="A50" s="599"/>
      <c r="B50" s="624" t="s">
        <v>4584</v>
      </c>
      <c r="C50" s="630" t="e">
        <f>2*C38*(H37^2)*(C45/(C14)^1.3333)</f>
        <v>#REF!</v>
      </c>
      <c r="D50" s="625"/>
      <c r="E50" s="506"/>
      <c r="F50" s="506"/>
      <c r="G50" s="506"/>
      <c r="H50" s="506"/>
      <c r="I50" s="506"/>
      <c r="J50" s="506"/>
      <c r="K50" s="506"/>
      <c r="L50" s="593"/>
    </row>
    <row r="51" spans="1:12" ht="18.75" customHeight="1" x14ac:dyDescent="0.3">
      <c r="A51" s="599"/>
      <c r="B51" s="624" t="s">
        <v>4585</v>
      </c>
      <c r="C51" s="625">
        <v>1</v>
      </c>
      <c r="D51" s="625"/>
      <c r="E51" s="506"/>
      <c r="F51" s="506"/>
      <c r="G51" s="506"/>
      <c r="H51" s="506"/>
      <c r="I51" s="506"/>
      <c r="J51" s="506"/>
      <c r="K51" s="506"/>
      <c r="L51" s="593"/>
    </row>
    <row r="52" spans="1:12" ht="35.25" customHeight="1" x14ac:dyDescent="0.3">
      <c r="A52" s="599"/>
      <c r="B52" s="623" t="s">
        <v>4586</v>
      </c>
      <c r="C52" s="631" t="e">
        <f>(2*C38*(C39+(C44*C45)-C47))/(C48+C50+C51)^0.5</f>
        <v>#REF!</v>
      </c>
      <c r="D52" s="625" t="s">
        <v>4600</v>
      </c>
      <c r="E52" s="506"/>
      <c r="F52" s="506"/>
      <c r="G52" s="506"/>
      <c r="H52" s="506"/>
      <c r="I52" s="506"/>
      <c r="J52" s="506"/>
      <c r="K52" s="506"/>
      <c r="L52" s="593"/>
    </row>
    <row r="53" spans="1:12" ht="16.5" customHeight="1" x14ac:dyDescent="0.3">
      <c r="A53" s="599"/>
      <c r="B53" s="624" t="s">
        <v>4587</v>
      </c>
      <c r="C53" s="632" t="e">
        <f>C43*C52</f>
        <v>#REF!</v>
      </c>
      <c r="D53" s="625" t="s">
        <v>4527</v>
      </c>
      <c r="E53" s="506"/>
      <c r="F53" s="506"/>
      <c r="G53" s="506"/>
      <c r="H53" s="506"/>
      <c r="I53" s="506"/>
      <c r="J53" s="506"/>
      <c r="K53" s="506"/>
      <c r="L53" s="593"/>
    </row>
    <row r="54" spans="1:12" ht="19.5" customHeight="1" x14ac:dyDescent="0.3">
      <c r="A54" s="599"/>
      <c r="B54" s="506"/>
      <c r="C54" s="506"/>
      <c r="D54" s="506"/>
      <c r="E54" s="506"/>
      <c r="F54" s="506"/>
      <c r="G54" s="506"/>
      <c r="H54" s="506"/>
      <c r="I54" s="506"/>
      <c r="J54" s="506"/>
      <c r="K54" s="506"/>
      <c r="L54" s="593"/>
    </row>
    <row r="55" spans="1:12" ht="18" customHeight="1" x14ac:dyDescent="0.3">
      <c r="A55" s="599"/>
      <c r="B55" s="506"/>
      <c r="C55" s="506"/>
      <c r="D55" s="506"/>
      <c r="E55" s="506"/>
      <c r="F55" s="506"/>
      <c r="G55" s="506"/>
      <c r="H55" s="506"/>
      <c r="I55" s="506"/>
      <c r="J55" s="506"/>
      <c r="K55" s="506"/>
      <c r="L55" s="593"/>
    </row>
    <row r="56" spans="1:12" ht="18" customHeight="1" x14ac:dyDescent="0.3">
      <c r="A56" s="599"/>
      <c r="B56" s="506"/>
      <c r="C56" s="506"/>
      <c r="D56" s="506"/>
      <c r="E56" s="506"/>
      <c r="F56" s="506"/>
      <c r="G56" s="506"/>
      <c r="H56" s="506"/>
      <c r="I56" s="506"/>
      <c r="J56" s="506"/>
      <c r="K56" s="506"/>
      <c r="L56" s="593"/>
    </row>
    <row r="57" spans="1:12" x14ac:dyDescent="0.3">
      <c r="A57" s="599"/>
      <c r="B57" s="506"/>
      <c r="C57" s="506"/>
      <c r="D57" s="506"/>
      <c r="E57" s="506"/>
      <c r="F57" s="506"/>
      <c r="G57" s="506"/>
      <c r="H57" s="506"/>
      <c r="I57" s="506"/>
      <c r="J57" s="506"/>
      <c r="K57" s="506"/>
      <c r="L57" s="593"/>
    </row>
    <row r="58" spans="1:12" x14ac:dyDescent="0.3">
      <c r="A58" s="599"/>
      <c r="B58" s="506"/>
      <c r="C58" s="506"/>
      <c r="D58" s="506"/>
      <c r="E58" s="506"/>
      <c r="F58" s="506"/>
      <c r="G58" s="506"/>
      <c r="H58" s="506"/>
      <c r="I58" s="506"/>
      <c r="J58" s="506"/>
      <c r="K58" s="506"/>
      <c r="L58" s="593"/>
    </row>
    <row r="59" spans="1:12" x14ac:dyDescent="0.3">
      <c r="A59" s="599"/>
      <c r="B59" s="506"/>
      <c r="C59" s="506"/>
      <c r="D59" s="506"/>
      <c r="E59" s="506"/>
      <c r="F59" s="506"/>
      <c r="G59" s="506"/>
      <c r="H59" s="506"/>
      <c r="I59" s="506"/>
      <c r="J59" s="506"/>
      <c r="K59" s="506"/>
      <c r="L59" s="593"/>
    </row>
    <row r="60" spans="1:12" x14ac:dyDescent="0.3">
      <c r="A60" s="599"/>
      <c r="B60" s="506"/>
      <c r="C60" s="506"/>
      <c r="D60" s="506"/>
      <c r="E60" s="506"/>
      <c r="F60" s="506"/>
      <c r="G60" s="506"/>
      <c r="H60" s="506"/>
      <c r="I60" s="506"/>
      <c r="J60" s="506"/>
      <c r="K60" s="506"/>
      <c r="L60" s="593"/>
    </row>
    <row r="61" spans="1:12" x14ac:dyDescent="0.3">
      <c r="A61" s="599"/>
      <c r="B61" s="506"/>
      <c r="C61" s="506"/>
      <c r="D61" s="506"/>
      <c r="E61" s="506"/>
      <c r="F61" s="506"/>
      <c r="G61" s="506"/>
      <c r="H61" s="506"/>
      <c r="I61" s="506"/>
      <c r="J61" s="506"/>
      <c r="K61" s="506"/>
      <c r="L61" s="593"/>
    </row>
    <row r="62" spans="1:12" x14ac:dyDescent="0.3">
      <c r="A62" s="599"/>
      <c r="B62" s="506"/>
      <c r="C62" s="506"/>
      <c r="D62" s="506"/>
      <c r="E62" s="506"/>
      <c r="F62" s="506"/>
      <c r="G62" s="506"/>
      <c r="H62" s="506"/>
      <c r="I62" s="506"/>
      <c r="J62" s="506"/>
      <c r="K62" s="506"/>
      <c r="L62" s="593"/>
    </row>
    <row r="63" spans="1:12" x14ac:dyDescent="0.3">
      <c r="A63" s="599"/>
      <c r="B63" s="506"/>
      <c r="C63" s="506"/>
      <c r="D63" s="506"/>
      <c r="E63" s="506"/>
      <c r="F63" s="506"/>
      <c r="G63" s="506"/>
      <c r="H63" s="506"/>
      <c r="I63" s="506"/>
      <c r="J63" s="506"/>
      <c r="K63" s="506"/>
      <c r="L63" s="593"/>
    </row>
    <row r="64" spans="1:12" x14ac:dyDescent="0.3">
      <c r="A64" s="599"/>
      <c r="B64" s="506"/>
      <c r="C64" s="506"/>
      <c r="D64" s="506"/>
      <c r="E64" s="506"/>
      <c r="F64" s="506"/>
      <c r="G64" s="506"/>
      <c r="H64" s="506"/>
      <c r="I64" s="506"/>
      <c r="J64" s="506"/>
      <c r="K64" s="506"/>
      <c r="L64" s="593"/>
    </row>
    <row r="65" spans="1:13" x14ac:dyDescent="0.3">
      <c r="A65" s="599"/>
      <c r="B65" s="506"/>
      <c r="C65" s="506"/>
      <c r="D65" s="506"/>
      <c r="E65" s="506"/>
      <c r="F65" s="506"/>
      <c r="G65" s="506"/>
      <c r="H65" s="506"/>
      <c r="I65" s="506"/>
      <c r="J65" s="506"/>
      <c r="K65" s="506"/>
      <c r="L65" s="593"/>
    </row>
    <row r="66" spans="1:13" x14ac:dyDescent="0.3">
      <c r="A66" s="599"/>
      <c r="B66" s="506"/>
      <c r="C66" s="506"/>
      <c r="D66" s="506"/>
      <c r="E66" s="506"/>
      <c r="F66" s="506"/>
      <c r="G66" s="506"/>
      <c r="H66" s="506"/>
      <c r="I66" s="506"/>
      <c r="J66" s="506"/>
      <c r="K66" s="506"/>
      <c r="L66" s="593"/>
    </row>
    <row r="67" spans="1:13" x14ac:dyDescent="0.3">
      <c r="A67" s="599"/>
      <c r="B67" s="506"/>
      <c r="C67" s="506"/>
      <c r="D67" s="506"/>
      <c r="E67" s="506"/>
      <c r="F67" s="506"/>
      <c r="G67" s="506"/>
      <c r="H67" s="506"/>
      <c r="I67" s="506"/>
      <c r="J67" s="506"/>
      <c r="K67" s="506"/>
      <c r="L67" s="593"/>
    </row>
    <row r="68" spans="1:13" x14ac:dyDescent="0.3">
      <c r="A68" s="599"/>
      <c r="B68" s="506"/>
      <c r="C68" s="506"/>
      <c r="D68" s="506"/>
      <c r="E68" s="506"/>
      <c r="F68" s="506"/>
      <c r="G68" s="506"/>
      <c r="H68" s="506"/>
      <c r="I68" s="506"/>
      <c r="J68" s="506"/>
      <c r="K68" s="506"/>
      <c r="L68" s="593"/>
    </row>
    <row r="69" spans="1:13" x14ac:dyDescent="0.3">
      <c r="A69" s="599"/>
      <c r="B69" s="506"/>
      <c r="C69" s="506"/>
      <c r="D69" s="506"/>
      <c r="E69" s="506"/>
      <c r="F69" s="506"/>
      <c r="G69" s="506"/>
      <c r="H69" s="506"/>
      <c r="I69" s="506"/>
      <c r="J69" s="506"/>
      <c r="K69" s="506"/>
      <c r="L69" s="593"/>
    </row>
    <row r="70" spans="1:13" x14ac:dyDescent="0.3">
      <c r="A70" s="599"/>
      <c r="B70" s="506"/>
      <c r="C70" s="506"/>
      <c r="D70" s="506"/>
      <c r="E70" s="506"/>
      <c r="F70" s="506"/>
      <c r="G70" s="506"/>
      <c r="H70" s="506"/>
      <c r="I70" s="506"/>
      <c r="J70" s="506"/>
      <c r="K70" s="506"/>
      <c r="L70" s="593"/>
    </row>
    <row r="71" spans="1:13" x14ac:dyDescent="0.3">
      <c r="A71" s="599"/>
      <c r="B71" s="506"/>
      <c r="C71" s="506"/>
      <c r="D71" s="506"/>
      <c r="E71" s="506"/>
      <c r="F71" s="506"/>
      <c r="G71" s="506"/>
      <c r="H71" s="506"/>
      <c r="I71" s="506"/>
      <c r="J71" s="506"/>
      <c r="K71" s="506"/>
      <c r="L71" s="593"/>
    </row>
    <row r="72" spans="1:13" x14ac:dyDescent="0.3">
      <c r="A72" s="599"/>
      <c r="B72" s="506"/>
      <c r="C72" s="506"/>
      <c r="D72" s="506"/>
      <c r="E72" s="506"/>
      <c r="F72" s="506"/>
      <c r="G72" s="506"/>
      <c r="H72" s="506"/>
      <c r="I72" s="506"/>
      <c r="J72" s="506"/>
      <c r="K72" s="506"/>
      <c r="L72" s="593"/>
    </row>
    <row r="73" spans="1:13" x14ac:dyDescent="0.3">
      <c r="A73" s="599"/>
      <c r="B73" s="506"/>
      <c r="C73" s="506"/>
      <c r="D73" s="506"/>
      <c r="E73" s="506"/>
      <c r="F73" s="506"/>
      <c r="G73" s="506"/>
      <c r="H73" s="506"/>
      <c r="I73" s="506"/>
      <c r="J73" s="506"/>
      <c r="K73" s="506"/>
      <c r="L73" s="593"/>
    </row>
    <row r="74" spans="1:13" ht="15" thickBot="1" x14ac:dyDescent="0.35">
      <c r="A74" s="599"/>
      <c r="B74" s="506"/>
      <c r="C74" s="506"/>
      <c r="D74" s="506"/>
      <c r="E74" s="506"/>
      <c r="F74" s="506"/>
      <c r="G74" s="506"/>
      <c r="H74" s="506"/>
      <c r="I74" s="506"/>
      <c r="J74" s="506"/>
      <c r="K74" s="506"/>
      <c r="L74" s="593"/>
    </row>
    <row r="75" spans="1:13" ht="15" thickBot="1" x14ac:dyDescent="0.35">
      <c r="A75" s="599"/>
      <c r="B75" s="506"/>
      <c r="C75" s="506"/>
      <c r="D75" s="506"/>
      <c r="E75" s="506"/>
      <c r="F75" s="506"/>
      <c r="G75" s="970" t="s">
        <v>4588</v>
      </c>
      <c r="H75" s="971"/>
      <c r="I75" s="972"/>
      <c r="J75" s="606" t="s">
        <v>66</v>
      </c>
      <c r="K75" s="607" t="s">
        <v>4562</v>
      </c>
      <c r="L75" s="593"/>
      <c r="M75" s="506"/>
    </row>
    <row r="76" spans="1:13" x14ac:dyDescent="0.3">
      <c r="A76" s="599"/>
      <c r="B76" s="506"/>
      <c r="C76" s="506"/>
      <c r="D76" s="506"/>
      <c r="E76" s="506"/>
      <c r="F76" s="506"/>
      <c r="G76" s="964" t="s">
        <v>4589</v>
      </c>
      <c r="H76" s="965"/>
      <c r="I76" s="966"/>
      <c r="J76" s="608">
        <v>0.54600000000000004</v>
      </c>
      <c r="K76" s="609">
        <v>0.6</v>
      </c>
      <c r="L76" s="593"/>
      <c r="M76" s="506"/>
    </row>
    <row r="77" spans="1:13" x14ac:dyDescent="0.3">
      <c r="A77" s="599"/>
      <c r="B77" s="506"/>
      <c r="C77" s="506"/>
      <c r="D77" s="506"/>
      <c r="E77" s="506"/>
      <c r="F77" s="506"/>
      <c r="G77" s="967" t="s">
        <v>4590</v>
      </c>
      <c r="H77" s="968"/>
      <c r="I77" s="969"/>
      <c r="J77" s="610">
        <v>0.56000000000000005</v>
      </c>
      <c r="K77" s="611">
        <v>0.7</v>
      </c>
      <c r="L77" s="593"/>
      <c r="M77" s="506"/>
    </row>
    <row r="78" spans="1:13" x14ac:dyDescent="0.3">
      <c r="A78" s="599"/>
      <c r="B78" s="506"/>
      <c r="C78" s="506"/>
      <c r="D78" s="506"/>
      <c r="E78" s="506"/>
      <c r="F78" s="506"/>
      <c r="G78" s="967" t="s">
        <v>4591</v>
      </c>
      <c r="H78" s="968"/>
      <c r="I78" s="969"/>
      <c r="J78" s="612">
        <v>0.63700000000000001</v>
      </c>
      <c r="K78" s="611">
        <v>0.7</v>
      </c>
      <c r="L78" s="593"/>
      <c r="M78" s="506"/>
    </row>
    <row r="79" spans="1:13" x14ac:dyDescent="0.3">
      <c r="A79" s="599"/>
      <c r="B79" s="506"/>
      <c r="C79" s="506"/>
      <c r="D79" s="506"/>
      <c r="E79" s="506"/>
      <c r="F79" s="506"/>
      <c r="G79" s="967" t="s">
        <v>4592</v>
      </c>
      <c r="H79" s="968"/>
      <c r="I79" s="969"/>
      <c r="J79" s="612">
        <v>0.64</v>
      </c>
      <c r="K79" s="611">
        <v>0.7</v>
      </c>
      <c r="L79" s="593"/>
      <c r="M79" s="506"/>
    </row>
    <row r="80" spans="1:13" x14ac:dyDescent="0.3">
      <c r="A80" s="599"/>
      <c r="B80" s="506"/>
      <c r="C80" s="506"/>
      <c r="D80" s="506"/>
      <c r="E80" s="506"/>
      <c r="F80" s="506"/>
      <c r="G80" s="967" t="s">
        <v>4593</v>
      </c>
      <c r="H80" s="968"/>
      <c r="I80" s="969"/>
      <c r="J80" s="612">
        <v>0.75600000000000001</v>
      </c>
      <c r="K80" s="611">
        <v>0.8</v>
      </c>
      <c r="L80" s="593"/>
      <c r="M80" s="506"/>
    </row>
    <row r="81" spans="1:13" x14ac:dyDescent="0.3">
      <c r="A81" s="599"/>
      <c r="B81" s="506"/>
      <c r="C81" s="506"/>
      <c r="D81" s="506"/>
      <c r="E81" s="506"/>
      <c r="F81" s="506"/>
      <c r="G81" s="967" t="s">
        <v>4594</v>
      </c>
      <c r="H81" s="968"/>
      <c r="I81" s="969"/>
      <c r="J81" s="612">
        <v>0.81499999999999995</v>
      </c>
      <c r="K81" s="611">
        <v>0.8</v>
      </c>
      <c r="L81" s="593"/>
      <c r="M81" s="506"/>
    </row>
    <row r="82" spans="1:13" ht="15" thickBot="1" x14ac:dyDescent="0.35">
      <c r="A82" s="599"/>
      <c r="B82" s="506"/>
      <c r="C82" s="506"/>
      <c r="D82" s="506"/>
      <c r="E82" s="506"/>
      <c r="F82" s="506"/>
      <c r="G82" s="961" t="s">
        <v>4595</v>
      </c>
      <c r="H82" s="962"/>
      <c r="I82" s="963"/>
      <c r="J82" s="613">
        <v>0.97</v>
      </c>
      <c r="K82" s="614">
        <v>0.9</v>
      </c>
      <c r="L82" s="593"/>
      <c r="M82" s="506"/>
    </row>
    <row r="83" spans="1:13" x14ac:dyDescent="0.3">
      <c r="A83" s="599"/>
      <c r="B83" s="506"/>
      <c r="C83" s="506"/>
      <c r="D83" s="506"/>
      <c r="E83" s="506"/>
      <c r="F83" s="506"/>
      <c r="G83" s="615"/>
      <c r="H83" s="615"/>
      <c r="I83" s="615"/>
      <c r="J83" s="615"/>
      <c r="K83" s="615"/>
      <c r="L83" s="593"/>
      <c r="M83" s="506"/>
    </row>
    <row r="84" spans="1:13" x14ac:dyDescent="0.3">
      <c r="A84" s="599"/>
      <c r="B84" s="506"/>
      <c r="C84" s="506"/>
      <c r="D84" s="506"/>
      <c r="E84" s="506"/>
      <c r="F84" s="506"/>
      <c r="G84" s="506"/>
      <c r="H84" s="506"/>
      <c r="I84" s="506"/>
      <c r="J84" s="506"/>
      <c r="K84" s="506"/>
      <c r="L84" s="593"/>
      <c r="M84" s="506"/>
    </row>
    <row r="85" spans="1:13" ht="15" thickBot="1" x14ac:dyDescent="0.35">
      <c r="A85" s="599"/>
      <c r="B85" s="506"/>
      <c r="C85" s="506"/>
      <c r="D85" s="506"/>
      <c r="E85" s="506"/>
      <c r="F85" s="506"/>
      <c r="G85" s="506"/>
      <c r="H85" s="506"/>
      <c r="I85" s="506"/>
      <c r="J85" s="506"/>
      <c r="K85" s="506"/>
      <c r="L85" s="593"/>
      <c r="M85" s="506"/>
    </row>
    <row r="86" spans="1:13" ht="15" thickBot="1" x14ac:dyDescent="0.35">
      <c r="A86" s="599"/>
      <c r="B86" s="506"/>
      <c r="C86" s="506"/>
      <c r="D86" s="506"/>
      <c r="E86" s="506"/>
      <c r="F86" s="506"/>
      <c r="G86" s="970" t="s">
        <v>4588</v>
      </c>
      <c r="H86" s="971"/>
      <c r="I86" s="972"/>
      <c r="J86" s="616" t="s">
        <v>4582</v>
      </c>
      <c r="K86" s="506"/>
      <c r="L86" s="593"/>
      <c r="M86" s="506"/>
    </row>
    <row r="87" spans="1:13" x14ac:dyDescent="0.3">
      <c r="A87" s="599"/>
      <c r="B87" s="506"/>
      <c r="C87" s="506"/>
      <c r="D87" s="506"/>
      <c r="E87" s="506"/>
      <c r="F87" s="506"/>
      <c r="G87" s="964" t="s">
        <v>4589</v>
      </c>
      <c r="H87" s="965"/>
      <c r="I87" s="966"/>
      <c r="J87" s="617">
        <v>1</v>
      </c>
      <c r="K87" s="506"/>
      <c r="L87" s="593"/>
      <c r="M87" s="506"/>
    </row>
    <row r="88" spans="1:13" x14ac:dyDescent="0.3">
      <c r="A88" s="599"/>
      <c r="B88" s="506"/>
      <c r="C88" s="506"/>
      <c r="D88" s="506"/>
      <c r="E88" s="506"/>
      <c r="F88" s="506"/>
      <c r="G88" s="967" t="s">
        <v>4596</v>
      </c>
      <c r="H88" s="968"/>
      <c r="I88" s="969"/>
      <c r="J88" s="618">
        <v>1.1000000000000001</v>
      </c>
      <c r="K88" s="506"/>
      <c r="L88" s="593"/>
      <c r="M88" s="506"/>
    </row>
    <row r="89" spans="1:13" x14ac:dyDescent="0.3">
      <c r="A89" s="599"/>
      <c r="B89" s="506"/>
      <c r="C89" s="506"/>
      <c r="D89" s="506"/>
      <c r="E89" s="506"/>
      <c r="F89" s="506"/>
      <c r="G89" s="967" t="s">
        <v>4591</v>
      </c>
      <c r="H89" s="968"/>
      <c r="I89" s="969"/>
      <c r="J89" s="611">
        <v>0.6</v>
      </c>
      <c r="K89" s="506"/>
      <c r="L89" s="593"/>
      <c r="M89" s="506"/>
    </row>
    <row r="90" spans="1:13" x14ac:dyDescent="0.3">
      <c r="A90" s="599"/>
      <c r="B90" s="506"/>
      <c r="C90" s="506"/>
      <c r="D90" s="506"/>
      <c r="E90" s="506"/>
      <c r="F90" s="506"/>
      <c r="G90" s="967" t="s">
        <v>4592</v>
      </c>
      <c r="H90" s="968"/>
      <c r="I90" s="969"/>
      <c r="J90" s="611">
        <v>0.5</v>
      </c>
      <c r="K90" s="506"/>
      <c r="L90" s="593"/>
      <c r="M90" s="506"/>
    </row>
    <row r="91" spans="1:13" x14ac:dyDescent="0.3">
      <c r="A91" s="599"/>
      <c r="B91" s="506"/>
      <c r="C91" s="506"/>
      <c r="D91" s="506"/>
      <c r="E91" s="506"/>
      <c r="F91" s="506"/>
      <c r="G91" s="967" t="s">
        <v>4593</v>
      </c>
      <c r="H91" s="968"/>
      <c r="I91" s="969"/>
      <c r="J91" s="611">
        <v>0.3</v>
      </c>
      <c r="K91" s="506"/>
      <c r="L91" s="593"/>
      <c r="M91" s="506"/>
    </row>
    <row r="92" spans="1:13" x14ac:dyDescent="0.3">
      <c r="A92" s="599"/>
      <c r="B92" s="506"/>
      <c r="C92" s="506"/>
      <c r="D92" s="506"/>
      <c r="E92" s="506"/>
      <c r="F92" s="506"/>
      <c r="G92" s="967" t="s">
        <v>4594</v>
      </c>
      <c r="H92" s="968"/>
      <c r="I92" s="969"/>
      <c r="J92" s="611">
        <v>0.2</v>
      </c>
      <c r="K92" s="506"/>
      <c r="L92" s="593"/>
      <c r="M92" s="506"/>
    </row>
    <row r="93" spans="1:13" ht="15" thickBot="1" x14ac:dyDescent="0.35">
      <c r="A93" s="599"/>
      <c r="B93" s="506"/>
      <c r="C93" s="506"/>
      <c r="D93" s="506"/>
      <c r="E93" s="506"/>
      <c r="F93" s="506"/>
      <c r="G93" s="961" t="s">
        <v>4595</v>
      </c>
      <c r="H93" s="962"/>
      <c r="I93" s="963"/>
      <c r="J93" s="614">
        <v>0.1</v>
      </c>
      <c r="K93" s="506"/>
      <c r="L93" s="593"/>
      <c r="M93" s="506"/>
    </row>
    <row r="94" spans="1:13" x14ac:dyDescent="0.3">
      <c r="A94" s="599"/>
      <c r="B94" s="506"/>
      <c r="C94" s="506"/>
      <c r="D94" s="506"/>
      <c r="E94" s="506"/>
      <c r="F94" s="506"/>
      <c r="G94" s="506"/>
      <c r="H94" s="506"/>
      <c r="I94" s="506"/>
      <c r="J94" s="506"/>
      <c r="K94" s="506"/>
      <c r="L94" s="593"/>
    </row>
    <row r="95" spans="1:13" x14ac:dyDescent="0.3">
      <c r="A95" s="599"/>
      <c r="B95" s="506"/>
      <c r="C95" s="506"/>
      <c r="D95" s="506"/>
      <c r="E95" s="506"/>
      <c r="F95" s="506"/>
      <c r="G95" s="506"/>
      <c r="H95" s="506"/>
      <c r="I95" s="506"/>
      <c r="J95" s="506"/>
      <c r="K95" s="506"/>
      <c r="L95" s="593"/>
    </row>
    <row r="96" spans="1:13" x14ac:dyDescent="0.3">
      <c r="A96" s="599"/>
      <c r="B96" s="506"/>
      <c r="C96" s="506"/>
      <c r="D96" s="506"/>
      <c r="E96" s="506"/>
      <c r="F96" s="506"/>
      <c r="G96" s="506"/>
      <c r="H96" s="506"/>
      <c r="I96" s="506"/>
      <c r="J96" s="506"/>
      <c r="K96" s="506"/>
      <c r="L96" s="593"/>
    </row>
    <row r="97" spans="1:12" ht="15" thickBot="1" x14ac:dyDescent="0.35">
      <c r="A97" s="619"/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1"/>
    </row>
    <row r="98" spans="1:12" ht="15" thickTop="1" x14ac:dyDescent="0.3"/>
  </sheetData>
  <mergeCells count="19">
    <mergeCell ref="G86:I86"/>
    <mergeCell ref="B5:C5"/>
    <mergeCell ref="N5:O5"/>
    <mergeCell ref="B33:D33"/>
    <mergeCell ref="G75:I75"/>
    <mergeCell ref="G76:I76"/>
    <mergeCell ref="G77:I77"/>
    <mergeCell ref="G78:I78"/>
    <mergeCell ref="G79:I79"/>
    <mergeCell ref="G80:I80"/>
    <mergeCell ref="G81:I81"/>
    <mergeCell ref="G82:I82"/>
    <mergeCell ref="G93:I93"/>
    <mergeCell ref="G87:I87"/>
    <mergeCell ref="G88:I88"/>
    <mergeCell ref="G89:I89"/>
    <mergeCell ref="G90:I90"/>
    <mergeCell ref="G91:I91"/>
    <mergeCell ref="G92:I9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0ECA-0E33-49FD-A32C-619A33E4C319}">
  <sheetPr>
    <tabColor rgb="FFFF0000"/>
  </sheetPr>
  <dimension ref="C4:M26"/>
  <sheetViews>
    <sheetView topLeftCell="A16" workbookViewId="0">
      <selection activeCell="S164" sqref="S164"/>
    </sheetView>
  </sheetViews>
  <sheetFormatPr defaultRowHeight="14.4" x14ac:dyDescent="0.3"/>
  <cols>
    <col min="3" max="3" width="4" customWidth="1"/>
    <col min="4" max="4" width="29.44140625" customWidth="1"/>
    <col min="5" max="5" width="18.44140625" bestFit="1" customWidth="1"/>
    <col min="6" max="6" width="13.5546875" bestFit="1" customWidth="1"/>
    <col min="7" max="7" width="16.33203125" customWidth="1"/>
    <col min="8" max="8" width="24.33203125" customWidth="1"/>
    <col min="9" max="9" width="18" bestFit="1" customWidth="1"/>
    <col min="10" max="10" width="18" customWidth="1"/>
    <col min="11" max="11" width="18" bestFit="1" customWidth="1"/>
    <col min="13" max="13" width="9.33203125" bestFit="1" customWidth="1"/>
  </cols>
  <sheetData>
    <row r="4" spans="3:13" x14ac:dyDescent="0.3">
      <c r="C4" s="977" t="s">
        <v>8</v>
      </c>
      <c r="D4" s="977" t="s">
        <v>4627</v>
      </c>
      <c r="E4" s="977" t="s">
        <v>4625</v>
      </c>
      <c r="F4" s="475" t="s">
        <v>4762</v>
      </c>
      <c r="G4" s="475" t="s">
        <v>4760</v>
      </c>
      <c r="H4" s="475" t="s">
        <v>4632</v>
      </c>
      <c r="I4" s="667" t="s">
        <v>4626</v>
      </c>
      <c r="J4" s="737"/>
    </row>
    <row r="5" spans="3:13" x14ac:dyDescent="0.3">
      <c r="C5" s="977"/>
      <c r="D5" s="977"/>
      <c r="E5" s="977"/>
      <c r="F5" s="475" t="s">
        <v>4634</v>
      </c>
      <c r="G5" s="475" t="s">
        <v>4759</v>
      </c>
      <c r="H5" s="475" t="s">
        <v>4633</v>
      </c>
      <c r="I5" s="667"/>
      <c r="J5" s="737"/>
    </row>
    <row r="6" spans="3:13" x14ac:dyDescent="0.3">
      <c r="C6" s="668" t="s">
        <v>4645</v>
      </c>
      <c r="D6" s="669"/>
      <c r="E6" s="669"/>
      <c r="F6" s="669"/>
      <c r="G6" s="669"/>
      <c r="H6" s="669"/>
      <c r="I6" s="670"/>
      <c r="J6" s="737"/>
    </row>
    <row r="7" spans="3:13" x14ac:dyDescent="0.3">
      <c r="C7" s="471">
        <v>1</v>
      </c>
      <c r="D7" s="657" t="s">
        <v>4642</v>
      </c>
      <c r="E7" s="471" t="s">
        <v>4628</v>
      </c>
      <c r="F7" s="650">
        <v>113000</v>
      </c>
      <c r="G7" s="650">
        <v>2004.24</v>
      </c>
      <c r="H7" s="471">
        <v>625</v>
      </c>
      <c r="I7" s="471" t="s">
        <v>4663</v>
      </c>
      <c r="J7" s="354"/>
    </row>
    <row r="8" spans="3:13" x14ac:dyDescent="0.3">
      <c r="C8" s="471">
        <v>2</v>
      </c>
      <c r="D8" s="832" t="s">
        <v>4643</v>
      </c>
      <c r="E8" s="471" t="s">
        <v>4629</v>
      </c>
      <c r="F8" s="650">
        <v>16500</v>
      </c>
      <c r="G8" s="650">
        <v>2735.22</v>
      </c>
      <c r="H8" s="471">
        <v>610</v>
      </c>
      <c r="I8" s="471" t="s">
        <v>4635</v>
      </c>
      <c r="J8" s="354"/>
    </row>
    <row r="9" spans="3:13" x14ac:dyDescent="0.3">
      <c r="C9" s="471">
        <v>3</v>
      </c>
      <c r="D9" s="839"/>
      <c r="E9" s="471" t="s">
        <v>4630</v>
      </c>
      <c r="F9" s="650">
        <v>13800</v>
      </c>
      <c r="G9" s="650">
        <v>1764.46</v>
      </c>
      <c r="H9" s="471">
        <v>610</v>
      </c>
      <c r="I9" s="471"/>
      <c r="J9" s="354"/>
    </row>
    <row r="10" spans="3:13" x14ac:dyDescent="0.3">
      <c r="C10" s="471">
        <v>4</v>
      </c>
      <c r="D10" s="833"/>
      <c r="E10" s="471" t="s">
        <v>4631</v>
      </c>
      <c r="F10" s="650">
        <v>23775</v>
      </c>
      <c r="G10" s="650">
        <v>3569.63</v>
      </c>
      <c r="H10" s="471">
        <v>610</v>
      </c>
      <c r="I10" s="471"/>
      <c r="J10" s="354"/>
      <c r="M10" s="648"/>
    </row>
    <row r="11" spans="3:13" x14ac:dyDescent="0.3">
      <c r="C11" s="979" t="s">
        <v>4644</v>
      </c>
      <c r="D11" s="979"/>
      <c r="E11" s="979"/>
      <c r="F11" s="658">
        <f>SUM(F8:F10)</f>
        <v>54075</v>
      </c>
      <c r="G11" s="658">
        <f>SUM(G9:G10)</f>
        <v>5334.09</v>
      </c>
      <c r="H11" s="671"/>
      <c r="I11" s="672"/>
      <c r="J11" s="738"/>
    </row>
    <row r="12" spans="3:13" x14ac:dyDescent="0.3">
      <c r="C12" s="664"/>
      <c r="D12" s="664"/>
      <c r="E12" s="664"/>
      <c r="F12" s="665"/>
      <c r="G12" s="666"/>
      <c r="H12" s="666"/>
    </row>
    <row r="13" spans="3:13" x14ac:dyDescent="0.3">
      <c r="C13" s="980" t="s">
        <v>4656</v>
      </c>
      <c r="D13" s="980"/>
      <c r="E13" s="980"/>
      <c r="F13" s="980"/>
      <c r="G13" s="980"/>
      <c r="H13" s="980"/>
      <c r="I13" s="980"/>
      <c r="J13" s="980"/>
      <c r="K13" s="980"/>
      <c r="M13" s="649"/>
    </row>
    <row r="14" spans="3:13" ht="24" x14ac:dyDescent="0.3">
      <c r="C14" s="977" t="s">
        <v>8</v>
      </c>
      <c r="D14" s="977" t="s">
        <v>4627</v>
      </c>
      <c r="E14" s="659" t="s">
        <v>4646</v>
      </c>
      <c r="F14" s="981" t="s">
        <v>4637</v>
      </c>
      <c r="G14" s="659" t="s">
        <v>4652</v>
      </c>
      <c r="H14" s="659" t="s">
        <v>4649</v>
      </c>
      <c r="I14" s="659" t="s">
        <v>4649</v>
      </c>
      <c r="J14" s="659" t="s">
        <v>4766</v>
      </c>
      <c r="K14" s="977" t="s">
        <v>4626</v>
      </c>
    </row>
    <row r="15" spans="3:13" x14ac:dyDescent="0.3">
      <c r="C15" s="977"/>
      <c r="D15" s="977"/>
      <c r="E15" s="659" t="s">
        <v>4647</v>
      </c>
      <c r="F15" s="982"/>
      <c r="G15" s="659" t="s">
        <v>4653</v>
      </c>
      <c r="H15" s="659" t="s">
        <v>4650</v>
      </c>
      <c r="I15" s="659" t="s">
        <v>4651</v>
      </c>
      <c r="J15" s="659" t="s">
        <v>4651</v>
      </c>
      <c r="K15" s="977"/>
    </row>
    <row r="16" spans="3:13" ht="34.200000000000003" x14ac:dyDescent="0.3">
      <c r="C16" s="470">
        <v>1</v>
      </c>
      <c r="D16" s="533" t="s">
        <v>4660</v>
      </c>
      <c r="E16" s="533">
        <f>E17</f>
        <v>68.760000000000005</v>
      </c>
      <c r="F16" s="660">
        <f>'Runoff Coeff. (C)'!M33</f>
        <v>0.66900707361802458</v>
      </c>
      <c r="G16" s="661">
        <v>76.34</v>
      </c>
      <c r="H16" s="663">
        <f>0.00278*(E16*F16*G16)</f>
        <v>9.7625558016000014</v>
      </c>
      <c r="I16" s="643">
        <f t="shared" ref="I16:I17" si="0">H16*60*60*1</f>
        <v>35145.200885760001</v>
      </c>
      <c r="J16" s="468"/>
      <c r="K16" s="662" t="s">
        <v>4654</v>
      </c>
    </row>
    <row r="17" spans="3:13" ht="34.200000000000003" x14ac:dyDescent="0.3">
      <c r="C17" s="470">
        <v>2</v>
      </c>
      <c r="D17" s="533" t="s">
        <v>4648</v>
      </c>
      <c r="E17" s="533">
        <f>'Summary Intensity (I)'!E14</f>
        <v>68.760000000000005</v>
      </c>
      <c r="F17" s="660">
        <f>'Runoff Coeff. (C)'!M29</f>
        <v>0.77752265861027192</v>
      </c>
      <c r="G17" s="661">
        <v>48.85</v>
      </c>
      <c r="H17" s="663">
        <f t="shared" ref="H17:H18" si="1">0.00278*(E17*F17*G17)</f>
        <v>7.2603621845945634</v>
      </c>
      <c r="I17" s="643">
        <f t="shared" si="0"/>
        <v>26137.303864540427</v>
      </c>
      <c r="J17" s="643">
        <f>(77.8/1000)*60*60*24</f>
        <v>6721.9199999999983</v>
      </c>
      <c r="K17" s="662" t="s">
        <v>4654</v>
      </c>
      <c r="M17">
        <f>H17*1000</f>
        <v>7260.3621845945636</v>
      </c>
    </row>
    <row r="18" spans="3:13" ht="34.200000000000003" x14ac:dyDescent="0.3">
      <c r="C18" s="470">
        <v>3</v>
      </c>
      <c r="D18" s="533" t="s">
        <v>4761</v>
      </c>
      <c r="E18" s="533">
        <f>E17</f>
        <v>68.760000000000005</v>
      </c>
      <c r="F18" s="660">
        <v>0.9</v>
      </c>
      <c r="G18" s="661">
        <v>16.5</v>
      </c>
      <c r="H18" s="663">
        <f t="shared" si="1"/>
        <v>2.8386190800000004</v>
      </c>
      <c r="I18" s="643">
        <f>H18*60*60*1</f>
        <v>10219.028688000002</v>
      </c>
      <c r="J18" s="643">
        <f>(77.8/1000)*60*60*24</f>
        <v>6721.9199999999983</v>
      </c>
      <c r="K18" s="662" t="s">
        <v>4654</v>
      </c>
    </row>
    <row r="19" spans="3:13" x14ac:dyDescent="0.3">
      <c r="M19">
        <f>H18*1000</f>
        <v>2838.6190800000004</v>
      </c>
    </row>
    <row r="21" spans="3:13" x14ac:dyDescent="0.3">
      <c r="D21" s="978" t="s">
        <v>4657</v>
      </c>
      <c r="E21" s="978"/>
      <c r="F21" s="978"/>
      <c r="G21" s="978"/>
      <c r="H21" s="978"/>
    </row>
    <row r="22" spans="3:13" ht="24" x14ac:dyDescent="0.3">
      <c r="D22" s="977" t="s">
        <v>4627</v>
      </c>
      <c r="E22" s="476" t="s">
        <v>4655</v>
      </c>
      <c r="F22" s="476" t="s">
        <v>4665</v>
      </c>
      <c r="G22" s="476" t="s">
        <v>4661</v>
      </c>
      <c r="H22" s="475" t="s">
        <v>4626</v>
      </c>
    </row>
    <row r="23" spans="3:13" x14ac:dyDescent="0.3">
      <c r="D23" s="977"/>
      <c r="E23" s="475" t="s">
        <v>4634</v>
      </c>
      <c r="F23" s="475" t="s">
        <v>4634</v>
      </c>
      <c r="G23" s="475" t="s">
        <v>4634</v>
      </c>
      <c r="H23" s="475"/>
    </row>
    <row r="24" spans="3:13" ht="24" x14ac:dyDescent="0.3">
      <c r="D24" s="673" t="s">
        <v>4664</v>
      </c>
      <c r="E24" s="643">
        <f>F7/2</f>
        <v>56500</v>
      </c>
      <c r="F24" s="643">
        <f>I16</f>
        <v>35145.200885760001</v>
      </c>
      <c r="G24" s="643">
        <f>E24-F24</f>
        <v>21354.799114239999</v>
      </c>
      <c r="H24" s="662" t="s">
        <v>4662</v>
      </c>
    </row>
    <row r="25" spans="3:13" ht="24" x14ac:dyDescent="0.3">
      <c r="D25" s="673" t="s">
        <v>4763</v>
      </c>
      <c r="E25" s="643">
        <f>F11/2</f>
        <v>27037.5</v>
      </c>
      <c r="F25" s="643">
        <f>I17+J17</f>
        <v>32859.223864540429</v>
      </c>
      <c r="G25" s="643">
        <f>E25-F25</f>
        <v>-5821.7238645404286</v>
      </c>
      <c r="H25" s="662" t="s">
        <v>4767</v>
      </c>
    </row>
    <row r="26" spans="3:13" ht="24.6" customHeight="1" x14ac:dyDescent="0.3">
      <c r="D26" s="673" t="s">
        <v>4764</v>
      </c>
      <c r="E26" s="643">
        <f>E25</f>
        <v>27037.5</v>
      </c>
      <c r="F26" s="643">
        <f>I18+J18</f>
        <v>16940.948688</v>
      </c>
      <c r="G26" s="643">
        <f>E26-F26</f>
        <v>10096.551312</v>
      </c>
      <c r="H26" s="662" t="s">
        <v>4662</v>
      </c>
    </row>
  </sheetData>
  <mergeCells count="12">
    <mergeCell ref="C4:C5"/>
    <mergeCell ref="D4:D5"/>
    <mergeCell ref="E4:E5"/>
    <mergeCell ref="D8:D10"/>
    <mergeCell ref="D22:D23"/>
    <mergeCell ref="D21:H21"/>
    <mergeCell ref="C11:E11"/>
    <mergeCell ref="C13:K13"/>
    <mergeCell ref="D14:D15"/>
    <mergeCell ref="F14:F15"/>
    <mergeCell ref="C14:C15"/>
    <mergeCell ref="K14:K15"/>
  </mergeCells>
  <phoneticPr fontId="3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92E6-1B28-4D39-9A2F-565BF56CF86F}">
  <sheetPr>
    <tabColor rgb="FFFF0000"/>
  </sheetPr>
  <dimension ref="C4:L26"/>
  <sheetViews>
    <sheetView topLeftCell="A13" workbookViewId="0">
      <selection activeCell="S164" sqref="S164"/>
    </sheetView>
  </sheetViews>
  <sheetFormatPr defaultRowHeight="14.4" x14ac:dyDescent="0.3"/>
  <cols>
    <col min="3" max="3" width="4" customWidth="1"/>
    <col min="4" max="4" width="29.44140625" customWidth="1"/>
    <col min="5" max="5" width="18.44140625" bestFit="1" customWidth="1"/>
    <col min="6" max="6" width="13.5546875" bestFit="1" customWidth="1"/>
    <col min="7" max="7" width="16.33203125" customWidth="1"/>
    <col min="8" max="8" width="24.33203125" customWidth="1"/>
    <col min="9" max="10" width="18" bestFit="1" customWidth="1"/>
    <col min="12" max="12" width="9.33203125" bestFit="1" customWidth="1"/>
  </cols>
  <sheetData>
    <row r="4" spans="3:12" x14ac:dyDescent="0.3">
      <c r="C4" s="977" t="s">
        <v>8</v>
      </c>
      <c r="D4" s="977" t="s">
        <v>4627</v>
      </c>
      <c r="E4" s="977" t="s">
        <v>4625</v>
      </c>
      <c r="F4" s="475" t="s">
        <v>4762</v>
      </c>
      <c r="G4" s="475" t="s">
        <v>4760</v>
      </c>
      <c r="H4" s="475" t="s">
        <v>4632</v>
      </c>
      <c r="I4" s="667" t="s">
        <v>4626</v>
      </c>
    </row>
    <row r="5" spans="3:12" x14ac:dyDescent="0.3">
      <c r="C5" s="977"/>
      <c r="D5" s="977"/>
      <c r="E5" s="977"/>
      <c r="F5" s="475" t="s">
        <v>4634</v>
      </c>
      <c r="G5" s="475" t="s">
        <v>4759</v>
      </c>
      <c r="H5" s="475" t="s">
        <v>4633</v>
      </c>
      <c r="I5" s="667"/>
    </row>
    <row r="6" spans="3:12" x14ac:dyDescent="0.3">
      <c r="C6" s="668" t="s">
        <v>4645</v>
      </c>
      <c r="D6" s="669"/>
      <c r="E6" s="669"/>
      <c r="F6" s="669"/>
      <c r="G6" s="669"/>
      <c r="H6" s="669"/>
      <c r="I6" s="670"/>
    </row>
    <row r="7" spans="3:12" x14ac:dyDescent="0.3">
      <c r="C7" s="471">
        <v>1</v>
      </c>
      <c r="D7" s="657" t="s">
        <v>4642</v>
      </c>
      <c r="E7" s="471" t="s">
        <v>4628</v>
      </c>
      <c r="F7" s="650">
        <v>113000</v>
      </c>
      <c r="G7" s="650">
        <v>2004.24</v>
      </c>
      <c r="H7" s="471">
        <v>625</v>
      </c>
      <c r="I7" s="471" t="s">
        <v>4663</v>
      </c>
    </row>
    <row r="8" spans="3:12" x14ac:dyDescent="0.3">
      <c r="C8" s="471">
        <v>2</v>
      </c>
      <c r="D8" s="832" t="s">
        <v>4643</v>
      </c>
      <c r="E8" s="471" t="s">
        <v>4629</v>
      </c>
      <c r="F8" s="650">
        <v>16500</v>
      </c>
      <c r="G8" s="650">
        <v>2735.22</v>
      </c>
      <c r="H8" s="471">
        <v>610</v>
      </c>
      <c r="I8" s="471" t="s">
        <v>4635</v>
      </c>
    </row>
    <row r="9" spans="3:12" x14ac:dyDescent="0.3">
      <c r="C9" s="471">
        <v>3</v>
      </c>
      <c r="D9" s="839"/>
      <c r="E9" s="471" t="s">
        <v>4630</v>
      </c>
      <c r="F9" s="650">
        <v>13800</v>
      </c>
      <c r="G9" s="650">
        <v>1764.46</v>
      </c>
      <c r="H9" s="471">
        <v>610</v>
      </c>
      <c r="I9" s="471"/>
    </row>
    <row r="10" spans="3:12" x14ac:dyDescent="0.3">
      <c r="C10" s="471">
        <v>4</v>
      </c>
      <c r="D10" s="833"/>
      <c r="E10" s="471" t="s">
        <v>4631</v>
      </c>
      <c r="F10" s="650">
        <v>23775</v>
      </c>
      <c r="G10" s="650">
        <v>3569.63</v>
      </c>
      <c r="H10" s="471">
        <v>610</v>
      </c>
      <c r="I10" s="471"/>
      <c r="L10" s="648"/>
    </row>
    <row r="11" spans="3:12" x14ac:dyDescent="0.3">
      <c r="C11" s="979" t="s">
        <v>4644</v>
      </c>
      <c r="D11" s="979"/>
      <c r="E11" s="979"/>
      <c r="F11" s="658">
        <f>SUM(F8:F10)</f>
        <v>54075</v>
      </c>
      <c r="G11" s="658">
        <f>SUM(G9:G10)</f>
        <v>5334.09</v>
      </c>
      <c r="H11" s="671"/>
      <c r="I11" s="672"/>
    </row>
    <row r="12" spans="3:12" x14ac:dyDescent="0.3">
      <c r="C12" s="664"/>
      <c r="D12" s="664"/>
      <c r="E12" s="664"/>
      <c r="F12" s="665"/>
      <c r="G12" s="666"/>
      <c r="H12" s="666"/>
    </row>
    <row r="13" spans="3:12" x14ac:dyDescent="0.3">
      <c r="C13" s="980" t="s">
        <v>4656</v>
      </c>
      <c r="D13" s="980"/>
      <c r="E13" s="980"/>
      <c r="F13" s="980"/>
      <c r="G13" s="980"/>
      <c r="H13" s="980"/>
      <c r="I13" s="980"/>
      <c r="J13" s="980"/>
      <c r="L13" s="649"/>
    </row>
    <row r="14" spans="3:12" x14ac:dyDescent="0.3">
      <c r="C14" s="977" t="s">
        <v>8</v>
      </c>
      <c r="D14" s="977" t="s">
        <v>4627</v>
      </c>
      <c r="E14" s="659" t="s">
        <v>4765</v>
      </c>
      <c r="F14" s="981" t="s">
        <v>4637</v>
      </c>
      <c r="G14" s="659" t="s">
        <v>4652</v>
      </c>
      <c r="H14" s="659" t="s">
        <v>4649</v>
      </c>
      <c r="I14" s="659" t="s">
        <v>4649</v>
      </c>
      <c r="J14" s="977" t="s">
        <v>4626</v>
      </c>
    </row>
    <row r="15" spans="3:12" x14ac:dyDescent="0.3">
      <c r="C15" s="977"/>
      <c r="D15" s="977"/>
      <c r="E15" s="659" t="s">
        <v>4647</v>
      </c>
      <c r="F15" s="982"/>
      <c r="G15" s="659" t="s">
        <v>4653</v>
      </c>
      <c r="H15" s="659" t="s">
        <v>4650</v>
      </c>
      <c r="I15" s="659" t="s">
        <v>4651</v>
      </c>
      <c r="J15" s="977"/>
    </row>
    <row r="16" spans="3:12" ht="34.200000000000003" x14ac:dyDescent="0.3">
      <c r="C16" s="470">
        <v>1</v>
      </c>
      <c r="D16" s="533" t="s">
        <v>4660</v>
      </c>
      <c r="E16" s="533">
        <f>'[2]Summary Intensity (I)'!$F$9</f>
        <v>96.425109196126101</v>
      </c>
      <c r="F16" s="660">
        <f>'Runoff Coeff. (C)'!M33</f>
        <v>0.66900707361802458</v>
      </c>
      <c r="G16" s="661">
        <v>76.34</v>
      </c>
      <c r="H16" s="663">
        <f>0.00278*(E16*F16*G16)</f>
        <v>13.690452431683454</v>
      </c>
      <c r="I16" s="643">
        <f t="shared" ref="I16:I17" si="0">H16*60*60*1</f>
        <v>49285.628754060432</v>
      </c>
      <c r="J16" s="662" t="s">
        <v>4654</v>
      </c>
    </row>
    <row r="17" spans="3:12" ht="34.200000000000003" x14ac:dyDescent="0.3">
      <c r="C17" s="470">
        <v>2</v>
      </c>
      <c r="D17" s="533" t="s">
        <v>4648</v>
      </c>
      <c r="E17" s="533">
        <f>'[2]Summary Intensity (I)'!$F$9</f>
        <v>96.425109196126101</v>
      </c>
      <c r="F17" s="660">
        <f>'Runoff Coeff. (C)'!M29</f>
        <v>0.77752265861027192</v>
      </c>
      <c r="G17" s="661">
        <v>48.85</v>
      </c>
      <c r="H17" s="663">
        <f t="shared" ref="H17:H18" si="1">0.00278*(E17*F17*G17)</f>
        <v>10.181518563888238</v>
      </c>
      <c r="I17" s="643">
        <f t="shared" si="0"/>
        <v>36653.466829997655</v>
      </c>
      <c r="J17" s="662" t="s">
        <v>4654</v>
      </c>
      <c r="L17">
        <f>H17*1000</f>
        <v>10181.518563888238</v>
      </c>
    </row>
    <row r="18" spans="3:12" ht="34.200000000000003" x14ac:dyDescent="0.3">
      <c r="C18" s="470">
        <v>3</v>
      </c>
      <c r="D18" s="533" t="s">
        <v>4761</v>
      </c>
      <c r="E18" s="533">
        <f>'[2]Summary Intensity (I)'!$F$9</f>
        <v>96.425109196126101</v>
      </c>
      <c r="F18" s="660">
        <v>0.9</v>
      </c>
      <c r="G18" s="661">
        <v>16.5</v>
      </c>
      <c r="H18" s="663">
        <f t="shared" si="1"/>
        <v>3.9807177829436737</v>
      </c>
      <c r="I18" s="643">
        <f>H18*60*60*1</f>
        <v>14330.584018597227</v>
      </c>
      <c r="J18" s="662" t="s">
        <v>4654</v>
      </c>
    </row>
    <row r="19" spans="3:12" x14ac:dyDescent="0.3">
      <c r="L19">
        <f>H18*1000</f>
        <v>3980.7177829436737</v>
      </c>
    </row>
    <row r="21" spans="3:12" x14ac:dyDescent="0.3">
      <c r="D21" s="978" t="s">
        <v>4657</v>
      </c>
      <c r="E21" s="978"/>
      <c r="F21" s="978"/>
      <c r="G21" s="978"/>
      <c r="H21" s="978"/>
    </row>
    <row r="22" spans="3:12" ht="24" x14ac:dyDescent="0.3">
      <c r="D22" s="977" t="s">
        <v>4627</v>
      </c>
      <c r="E22" s="476" t="s">
        <v>4655</v>
      </c>
      <c r="F22" s="476" t="s">
        <v>4665</v>
      </c>
      <c r="G22" s="476" t="s">
        <v>4661</v>
      </c>
      <c r="H22" s="475" t="s">
        <v>4626</v>
      </c>
    </row>
    <row r="23" spans="3:12" x14ac:dyDescent="0.3">
      <c r="D23" s="977"/>
      <c r="E23" s="475" t="s">
        <v>4634</v>
      </c>
      <c r="F23" s="475" t="s">
        <v>4634</v>
      </c>
      <c r="G23" s="475" t="s">
        <v>4634</v>
      </c>
      <c r="H23" s="475"/>
    </row>
    <row r="24" spans="3:12" ht="24" x14ac:dyDescent="0.3">
      <c r="D24" s="673" t="s">
        <v>4664</v>
      </c>
      <c r="E24" s="643">
        <f>F7/2</f>
        <v>56500</v>
      </c>
      <c r="F24" s="643">
        <f>I16*1</f>
        <v>49285.628754060432</v>
      </c>
      <c r="G24" s="643">
        <f>E24-F24</f>
        <v>7214.3712459395683</v>
      </c>
      <c r="H24" s="662" t="s">
        <v>4662</v>
      </c>
    </row>
    <row r="25" spans="3:12" ht="24" x14ac:dyDescent="0.3">
      <c r="D25" s="673" t="s">
        <v>4763</v>
      </c>
      <c r="E25" s="643">
        <f>F11/2</f>
        <v>27037.5</v>
      </c>
      <c r="F25" s="643">
        <f t="shared" ref="F25:F26" si="2">I17*1</f>
        <v>36653.466829997655</v>
      </c>
      <c r="G25" s="643">
        <f>E25-F25</f>
        <v>-9615.9668299976547</v>
      </c>
      <c r="H25" s="662" t="s">
        <v>4767</v>
      </c>
    </row>
    <row r="26" spans="3:12" ht="24.6" customHeight="1" x14ac:dyDescent="0.3">
      <c r="D26" s="673" t="s">
        <v>4764</v>
      </c>
      <c r="E26" s="643">
        <f>E25</f>
        <v>27037.5</v>
      </c>
      <c r="F26" s="643">
        <f t="shared" si="2"/>
        <v>14330.584018597227</v>
      </c>
      <c r="G26" s="643">
        <f>E26-F26</f>
        <v>12706.915981402773</v>
      </c>
      <c r="H26" s="662" t="s">
        <v>4662</v>
      </c>
    </row>
  </sheetData>
  <mergeCells count="12">
    <mergeCell ref="D22:D23"/>
    <mergeCell ref="C4:C5"/>
    <mergeCell ref="D4:D5"/>
    <mergeCell ref="E4:E5"/>
    <mergeCell ref="D8:D10"/>
    <mergeCell ref="C11:E11"/>
    <mergeCell ref="C13:J13"/>
    <mergeCell ref="C14:C15"/>
    <mergeCell ref="D14:D15"/>
    <mergeCell ref="F14:F15"/>
    <mergeCell ref="J14:J15"/>
    <mergeCell ref="D21:H2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8A89-0542-4DE1-9A2E-20F2A87C300D}">
  <sheetPr>
    <tabColor rgb="FFFF0000"/>
  </sheetPr>
  <dimension ref="C4:L26"/>
  <sheetViews>
    <sheetView topLeftCell="A13" workbookViewId="0">
      <selection activeCell="D31" sqref="D31"/>
    </sheetView>
  </sheetViews>
  <sheetFormatPr defaultRowHeight="14.4" x14ac:dyDescent="0.3"/>
  <cols>
    <col min="3" max="3" width="4" customWidth="1"/>
    <col min="4" max="4" width="29.44140625" customWidth="1"/>
    <col min="5" max="5" width="18.44140625" bestFit="1" customWidth="1"/>
    <col min="6" max="6" width="13.5546875" bestFit="1" customWidth="1"/>
    <col min="7" max="7" width="16.33203125" customWidth="1"/>
    <col min="8" max="8" width="24.33203125" customWidth="1"/>
    <col min="9" max="10" width="18" bestFit="1" customWidth="1"/>
    <col min="12" max="12" width="9.33203125" bestFit="1" customWidth="1"/>
  </cols>
  <sheetData>
    <row r="4" spans="3:12" x14ac:dyDescent="0.3">
      <c r="C4" s="977" t="s">
        <v>8</v>
      </c>
      <c r="D4" s="977" t="s">
        <v>4627</v>
      </c>
      <c r="E4" s="977" t="s">
        <v>4625</v>
      </c>
      <c r="F4" s="475" t="s">
        <v>4762</v>
      </c>
      <c r="G4" s="475" t="s">
        <v>4760</v>
      </c>
      <c r="H4" s="475" t="s">
        <v>4632</v>
      </c>
      <c r="I4" s="667" t="s">
        <v>4626</v>
      </c>
    </row>
    <row r="5" spans="3:12" x14ac:dyDescent="0.3">
      <c r="C5" s="977"/>
      <c r="D5" s="977"/>
      <c r="E5" s="977"/>
      <c r="F5" s="475" t="s">
        <v>4634</v>
      </c>
      <c r="G5" s="475" t="s">
        <v>4759</v>
      </c>
      <c r="H5" s="475" t="s">
        <v>4633</v>
      </c>
      <c r="I5" s="667"/>
    </row>
    <row r="6" spans="3:12" x14ac:dyDescent="0.3">
      <c r="C6" s="668" t="s">
        <v>4645</v>
      </c>
      <c r="D6" s="669"/>
      <c r="E6" s="669"/>
      <c r="F6" s="669"/>
      <c r="G6" s="669"/>
      <c r="H6" s="669"/>
      <c r="I6" s="670"/>
    </row>
    <row r="7" spans="3:12" x14ac:dyDescent="0.3">
      <c r="C7" s="471">
        <v>1</v>
      </c>
      <c r="D7" s="657" t="s">
        <v>4642</v>
      </c>
      <c r="E7" s="471" t="s">
        <v>4628</v>
      </c>
      <c r="F7" s="650">
        <v>113000</v>
      </c>
      <c r="G7" s="650">
        <v>2004.24</v>
      </c>
      <c r="H7" s="471">
        <v>625</v>
      </c>
      <c r="I7" s="471" t="s">
        <v>4663</v>
      </c>
    </row>
    <row r="8" spans="3:12" x14ac:dyDescent="0.3">
      <c r="C8" s="471">
        <v>2</v>
      </c>
      <c r="D8" s="832" t="s">
        <v>4643</v>
      </c>
      <c r="E8" s="471" t="s">
        <v>4629</v>
      </c>
      <c r="F8" s="650">
        <v>16500</v>
      </c>
      <c r="G8" s="650">
        <v>2735.22</v>
      </c>
      <c r="H8" s="471">
        <v>610</v>
      </c>
      <c r="I8" s="471" t="s">
        <v>4635</v>
      </c>
    </row>
    <row r="9" spans="3:12" x14ac:dyDescent="0.3">
      <c r="C9" s="471">
        <v>3</v>
      </c>
      <c r="D9" s="839"/>
      <c r="E9" s="471" t="s">
        <v>4630</v>
      </c>
      <c r="F9" s="650">
        <v>13800</v>
      </c>
      <c r="G9" s="650">
        <v>1764.46</v>
      </c>
      <c r="H9" s="471">
        <v>610</v>
      </c>
      <c r="I9" s="471"/>
    </row>
    <row r="10" spans="3:12" x14ac:dyDescent="0.3">
      <c r="C10" s="471">
        <v>4</v>
      </c>
      <c r="D10" s="833"/>
      <c r="E10" s="471" t="s">
        <v>4631</v>
      </c>
      <c r="F10" s="650">
        <v>23775</v>
      </c>
      <c r="G10" s="650">
        <v>3569.63</v>
      </c>
      <c r="H10" s="471">
        <v>610</v>
      </c>
      <c r="I10" s="471"/>
      <c r="L10" s="648"/>
    </row>
    <row r="11" spans="3:12" x14ac:dyDescent="0.3">
      <c r="C11" s="979" t="s">
        <v>4644</v>
      </c>
      <c r="D11" s="979"/>
      <c r="E11" s="979"/>
      <c r="F11" s="658">
        <f>SUM(F8:F10)</f>
        <v>54075</v>
      </c>
      <c r="G11" s="658">
        <f>SUM(G9:G10)</f>
        <v>5334.09</v>
      </c>
      <c r="H11" s="671"/>
      <c r="I11" s="672"/>
    </row>
    <row r="12" spans="3:12" x14ac:dyDescent="0.3">
      <c r="C12" s="664"/>
      <c r="D12" s="664"/>
      <c r="E12" s="664"/>
      <c r="F12" s="665"/>
      <c r="G12" s="666"/>
      <c r="H12" s="666"/>
    </row>
    <row r="13" spans="3:12" x14ac:dyDescent="0.3">
      <c r="C13" s="980" t="s">
        <v>4656</v>
      </c>
      <c r="D13" s="980"/>
      <c r="E13" s="980"/>
      <c r="F13" s="980"/>
      <c r="G13" s="980"/>
      <c r="H13" s="980"/>
      <c r="I13" s="980"/>
      <c r="J13" s="980"/>
      <c r="L13" s="649"/>
    </row>
    <row r="14" spans="3:12" x14ac:dyDescent="0.3">
      <c r="C14" s="977" t="s">
        <v>8</v>
      </c>
      <c r="D14" s="977" t="s">
        <v>4627</v>
      </c>
      <c r="E14" s="659" t="s">
        <v>4765</v>
      </c>
      <c r="F14" s="981" t="s">
        <v>4637</v>
      </c>
      <c r="G14" s="659" t="s">
        <v>4652</v>
      </c>
      <c r="H14" s="659" t="s">
        <v>4649</v>
      </c>
      <c r="I14" s="659" t="s">
        <v>4649</v>
      </c>
      <c r="J14" s="977" t="s">
        <v>4626</v>
      </c>
    </row>
    <row r="15" spans="3:12" x14ac:dyDescent="0.3">
      <c r="C15" s="977"/>
      <c r="D15" s="977"/>
      <c r="E15" s="659" t="s">
        <v>4647</v>
      </c>
      <c r="F15" s="982"/>
      <c r="G15" s="659" t="s">
        <v>4653</v>
      </c>
      <c r="H15" s="659" t="s">
        <v>4650</v>
      </c>
      <c r="I15" s="659" t="s">
        <v>4651</v>
      </c>
      <c r="J15" s="977"/>
    </row>
    <row r="16" spans="3:12" ht="34.200000000000003" x14ac:dyDescent="0.3">
      <c r="C16" s="470">
        <v>1</v>
      </c>
      <c r="D16" s="533" t="s">
        <v>4660</v>
      </c>
      <c r="E16" s="533">
        <f>'Summary Intensity (I)'!$B$7</f>
        <v>41.30282635797559</v>
      </c>
      <c r="F16" s="660">
        <f>'Runoff Coeff. (C)'!M33</f>
        <v>0.66900707361802458</v>
      </c>
      <c r="G16" s="661">
        <v>76.34</v>
      </c>
      <c r="H16" s="663">
        <f>0.00278*(E16*F16*G16)</f>
        <v>5.8641818947575901</v>
      </c>
      <c r="I16" s="643">
        <f t="shared" ref="I16:I17" si="0">H16*60*60*1</f>
        <v>21111.054821127324</v>
      </c>
      <c r="J16" s="662" t="s">
        <v>4654</v>
      </c>
    </row>
    <row r="17" spans="3:12" ht="34.200000000000003" x14ac:dyDescent="0.3">
      <c r="C17" s="470">
        <v>2</v>
      </c>
      <c r="D17" s="533" t="s">
        <v>4648</v>
      </c>
      <c r="E17" s="533">
        <f>'Summary Intensity (I)'!$B$7</f>
        <v>41.30282635797559</v>
      </c>
      <c r="F17" s="660">
        <f>'Runoff Coeff. (C)'!M29</f>
        <v>0.77752265861027192</v>
      </c>
      <c r="G17" s="661">
        <v>48.85</v>
      </c>
      <c r="H17" s="663">
        <f t="shared" ref="H17:H18" si="1">0.00278*(E17*F17*G17)</f>
        <v>4.3611617016626161</v>
      </c>
      <c r="I17" s="643">
        <f t="shared" si="0"/>
        <v>15700.182125985419</v>
      </c>
      <c r="J17" s="662" t="s">
        <v>4654</v>
      </c>
      <c r="L17">
        <f>H17*1000</f>
        <v>4361.161701662616</v>
      </c>
    </row>
    <row r="18" spans="3:12" ht="34.200000000000003" x14ac:dyDescent="0.3">
      <c r="C18" s="470">
        <v>3</v>
      </c>
      <c r="D18" s="533" t="s">
        <v>4761</v>
      </c>
      <c r="E18" s="533">
        <f>'Summary Intensity (I)'!$B$7</f>
        <v>41.30282635797559</v>
      </c>
      <c r="F18" s="660">
        <v>0.9</v>
      </c>
      <c r="G18" s="661">
        <v>16.5</v>
      </c>
      <c r="H18" s="663">
        <f t="shared" si="1"/>
        <v>1.7051045805363063</v>
      </c>
      <c r="I18" s="643">
        <f>H18*60*60*1</f>
        <v>6138.3764899307025</v>
      </c>
      <c r="J18" s="662" t="s">
        <v>4654</v>
      </c>
    </row>
    <row r="21" spans="3:12" x14ac:dyDescent="0.3">
      <c r="D21" s="978" t="s">
        <v>4657</v>
      </c>
      <c r="E21" s="978"/>
      <c r="F21" s="978"/>
      <c r="G21" s="978"/>
      <c r="H21" s="978"/>
    </row>
    <row r="22" spans="3:12" ht="24" x14ac:dyDescent="0.3">
      <c r="D22" s="977" t="s">
        <v>4627</v>
      </c>
      <c r="E22" s="476" t="s">
        <v>4655</v>
      </c>
      <c r="F22" s="476" t="s">
        <v>4665</v>
      </c>
      <c r="G22" s="476" t="s">
        <v>4661</v>
      </c>
      <c r="H22" s="475" t="s">
        <v>4626</v>
      </c>
    </row>
    <row r="23" spans="3:12" x14ac:dyDescent="0.3">
      <c r="D23" s="977"/>
      <c r="E23" s="475" t="s">
        <v>4634</v>
      </c>
      <c r="F23" s="475" t="s">
        <v>4634</v>
      </c>
      <c r="G23" s="475" t="s">
        <v>4634</v>
      </c>
      <c r="H23" s="475"/>
    </row>
    <row r="24" spans="3:12" ht="24" x14ac:dyDescent="0.3">
      <c r="D24" s="673" t="s">
        <v>4664</v>
      </c>
      <c r="E24" s="643">
        <f>F7*0.8</f>
        <v>90400</v>
      </c>
      <c r="F24" s="643">
        <f>I16</f>
        <v>21111.054821127324</v>
      </c>
      <c r="G24" s="643">
        <f>E24-F24</f>
        <v>69288.945178872673</v>
      </c>
      <c r="H24" s="662" t="s">
        <v>4662</v>
      </c>
    </row>
    <row r="25" spans="3:12" ht="24" x14ac:dyDescent="0.3">
      <c r="D25" s="673" t="s">
        <v>4763</v>
      </c>
      <c r="E25" s="643">
        <f>F11*0.8</f>
        <v>43260</v>
      </c>
      <c r="F25" s="643">
        <f>I17</f>
        <v>15700.182125985419</v>
      </c>
      <c r="G25" s="643">
        <f>E25-F25</f>
        <v>27559.817874014581</v>
      </c>
      <c r="H25" s="662" t="s">
        <v>4767</v>
      </c>
    </row>
    <row r="26" spans="3:12" ht="24.6" customHeight="1" x14ac:dyDescent="0.3">
      <c r="D26" s="673" t="s">
        <v>4764</v>
      </c>
      <c r="E26" s="643">
        <f>E25</f>
        <v>43260</v>
      </c>
      <c r="F26" s="643">
        <f>I18</f>
        <v>6138.3764899307025</v>
      </c>
      <c r="G26" s="643">
        <f>E26-F26</f>
        <v>37121.623510069301</v>
      </c>
      <c r="H26" s="662" t="s">
        <v>4662</v>
      </c>
    </row>
  </sheetData>
  <mergeCells count="12">
    <mergeCell ref="D22:D23"/>
    <mergeCell ref="C4:C5"/>
    <mergeCell ref="D4:D5"/>
    <mergeCell ref="E4:E5"/>
    <mergeCell ref="D8:D10"/>
    <mergeCell ref="C11:E11"/>
    <mergeCell ref="C13:J13"/>
    <mergeCell ref="C14:C15"/>
    <mergeCell ref="D14:D15"/>
    <mergeCell ref="F14:F15"/>
    <mergeCell ref="J14:J15"/>
    <mergeCell ref="D21:H2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BF81-F6D0-42F6-8291-EB7246C79DC5}">
  <sheetPr>
    <tabColor rgb="FFFF0000"/>
  </sheetPr>
  <dimension ref="C4:H6"/>
  <sheetViews>
    <sheetView workbookViewId="0">
      <selection activeCell="B41" activeCellId="1" sqref="I31 B40:B41"/>
    </sheetView>
  </sheetViews>
  <sheetFormatPr defaultRowHeight="14.4" x14ac:dyDescent="0.3"/>
  <cols>
    <col min="3" max="3" width="14.44140625" customWidth="1"/>
    <col min="4" max="4" width="13.44140625" customWidth="1"/>
    <col min="5" max="5" width="13.6640625" customWidth="1"/>
    <col min="6" max="6" width="13.5546875" customWidth="1"/>
    <col min="7" max="7" width="11.6640625" customWidth="1"/>
    <col min="8" max="8" width="16.33203125" customWidth="1"/>
  </cols>
  <sheetData>
    <row r="4" spans="3:8" ht="36" x14ac:dyDescent="0.3">
      <c r="C4" s="659" t="s">
        <v>4749</v>
      </c>
      <c r="D4" s="659" t="s">
        <v>4748</v>
      </c>
      <c r="E4" s="659" t="s">
        <v>4744</v>
      </c>
      <c r="F4" s="659" t="s">
        <v>4745</v>
      </c>
      <c r="G4" s="659" t="s">
        <v>4747</v>
      </c>
      <c r="H4" s="659" t="s">
        <v>4666</v>
      </c>
    </row>
    <row r="5" spans="3:8" x14ac:dyDescent="0.3">
      <c r="C5" s="659" t="s">
        <v>4634</v>
      </c>
      <c r="D5" s="659" t="s">
        <v>4651</v>
      </c>
      <c r="E5" s="659" t="s">
        <v>4651</v>
      </c>
      <c r="F5" s="659" t="s">
        <v>4651</v>
      </c>
      <c r="G5" s="659" t="s">
        <v>4746</v>
      </c>
      <c r="H5" s="659"/>
    </row>
    <row r="6" spans="3:8" x14ac:dyDescent="0.3">
      <c r="C6" s="488">
        <f>'Kapasitas Pond 84 Jam'!E25</f>
        <v>43260</v>
      </c>
      <c r="D6" s="488">
        <f>'Kapasitas Pond 84 Jam'!I17</f>
        <v>15700.182125985419</v>
      </c>
      <c r="E6" s="674">
        <f>D6-C6</f>
        <v>-27559.817874014581</v>
      </c>
      <c r="F6" s="675">
        <f>'Kapasitas Pompa'!C26</f>
        <v>6480</v>
      </c>
      <c r="G6" s="643">
        <v>20</v>
      </c>
      <c r="H6" s="470" t="s">
        <v>4743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D1C8-57B0-4ADA-93DE-070B7E0B49AD}">
  <sheetPr>
    <tabColor rgb="FFFF0000"/>
  </sheetPr>
  <dimension ref="B2:E44"/>
  <sheetViews>
    <sheetView zoomScale="80" zoomScaleNormal="80" workbookViewId="0">
      <selection activeCell="B41" activeCellId="1" sqref="I31 B40:B41"/>
    </sheetView>
  </sheetViews>
  <sheetFormatPr defaultRowHeight="14.4" x14ac:dyDescent="0.3"/>
  <cols>
    <col min="3" max="3" width="20.109375" bestFit="1" customWidth="1"/>
  </cols>
  <sheetData>
    <row r="2" spans="2:5" x14ac:dyDescent="0.3">
      <c r="B2" s="985" t="s">
        <v>4768</v>
      </c>
      <c r="C2" s="985"/>
      <c r="D2" s="985"/>
      <c r="E2" s="985"/>
    </row>
    <row r="3" spans="2:5" x14ac:dyDescent="0.3">
      <c r="B3" s="710" t="s">
        <v>4708</v>
      </c>
      <c r="C3" s="711"/>
      <c r="D3" s="983" t="s">
        <v>4750</v>
      </c>
      <c r="E3" s="984"/>
    </row>
    <row r="4" spans="2:5" x14ac:dyDescent="0.3">
      <c r="B4" s="704" t="s">
        <v>4709</v>
      </c>
      <c r="C4" s="705"/>
      <c r="D4" s="706">
        <v>605</v>
      </c>
      <c r="E4" s="705" t="s">
        <v>4710</v>
      </c>
    </row>
    <row r="5" spans="2:5" x14ac:dyDescent="0.3">
      <c r="B5" s="704" t="s">
        <v>4711</v>
      </c>
      <c r="C5" s="705"/>
      <c r="D5" s="706">
        <v>635</v>
      </c>
      <c r="E5" s="705" t="s">
        <v>4710</v>
      </c>
    </row>
    <row r="6" spans="2:5" x14ac:dyDescent="0.3">
      <c r="B6" s="704" t="s">
        <v>4712</v>
      </c>
      <c r="C6" s="705"/>
      <c r="D6" s="706">
        <v>215</v>
      </c>
      <c r="E6" s="705" t="s">
        <v>21</v>
      </c>
    </row>
    <row r="7" spans="2:5" x14ac:dyDescent="0.3">
      <c r="B7" s="707" t="s">
        <v>4713</v>
      </c>
      <c r="C7" s="708"/>
      <c r="D7" s="709">
        <f>'Kapasitas Pompa'!C25</f>
        <v>270</v>
      </c>
      <c r="E7" s="708" t="s">
        <v>4714</v>
      </c>
    </row>
    <row r="8" spans="2:5" x14ac:dyDescent="0.3">
      <c r="B8" s="710"/>
      <c r="C8" s="711"/>
      <c r="D8" s="712">
        <f>D7/3600</f>
        <v>7.4999999999999997E-2</v>
      </c>
      <c r="E8" s="711" t="s">
        <v>4715</v>
      </c>
    </row>
    <row r="9" spans="2:5" x14ac:dyDescent="0.3">
      <c r="B9" s="704" t="s">
        <v>4716</v>
      </c>
      <c r="C9" s="705"/>
      <c r="D9" s="704">
        <v>9.8000000000000007</v>
      </c>
      <c r="E9" s="705" t="s">
        <v>4717</v>
      </c>
    </row>
    <row r="10" spans="2:5" x14ac:dyDescent="0.3">
      <c r="B10" s="707" t="s">
        <v>4718</v>
      </c>
      <c r="C10" s="708"/>
      <c r="D10" s="709">
        <v>12</v>
      </c>
      <c r="E10" s="708" t="s">
        <v>4719</v>
      </c>
    </row>
    <row r="11" spans="2:5" x14ac:dyDescent="0.3">
      <c r="B11" s="707"/>
      <c r="C11" s="708"/>
      <c r="D11" s="713">
        <f>D10*(2.54/100)</f>
        <v>0.30479999999999996</v>
      </c>
      <c r="E11" s="708" t="s">
        <v>21</v>
      </c>
    </row>
    <row r="12" spans="2:5" x14ac:dyDescent="0.3">
      <c r="B12" s="707"/>
      <c r="C12" s="708" t="s">
        <v>4612</v>
      </c>
      <c r="D12" s="714">
        <f>1/4*3.14*(D11^2)</f>
        <v>7.292888639999999E-2</v>
      </c>
      <c r="E12" s="708" t="s">
        <v>4720</v>
      </c>
    </row>
    <row r="13" spans="2:5" x14ac:dyDescent="0.3">
      <c r="B13" s="707"/>
      <c r="C13" s="708" t="s">
        <v>4721</v>
      </c>
      <c r="D13" s="714">
        <f>2*LOG(3.7*D11/0.00006)</f>
        <v>8.5481308727018277</v>
      </c>
      <c r="E13" s="708" t="s">
        <v>4720</v>
      </c>
    </row>
    <row r="14" spans="2:5" x14ac:dyDescent="0.3">
      <c r="B14" s="707"/>
      <c r="C14" s="708" t="s">
        <v>4722</v>
      </c>
      <c r="D14" s="714">
        <f>(1/D13)^2</f>
        <v>1.3685405645147766E-2</v>
      </c>
      <c r="E14" s="708" t="s">
        <v>21</v>
      </c>
    </row>
    <row r="15" spans="2:5" x14ac:dyDescent="0.3">
      <c r="B15" s="715"/>
      <c r="C15" s="708" t="s">
        <v>4613</v>
      </c>
      <c r="D15" s="714">
        <f>D8/D12</f>
        <v>1.0283990843990181</v>
      </c>
      <c r="E15" s="708" t="s">
        <v>4723</v>
      </c>
    </row>
    <row r="16" spans="2:5" x14ac:dyDescent="0.3">
      <c r="B16" s="707"/>
      <c r="C16" s="716" t="s">
        <v>4724</v>
      </c>
      <c r="D16" s="714">
        <f>D6*(D15^2)/(2*D11*D9)</f>
        <v>38.06192844930748</v>
      </c>
      <c r="E16" s="708" t="s">
        <v>21</v>
      </c>
    </row>
    <row r="17" spans="2:5" x14ac:dyDescent="0.3">
      <c r="B17" s="710"/>
      <c r="C17" s="711"/>
      <c r="D17" s="712"/>
      <c r="E17" s="711"/>
    </row>
    <row r="18" spans="2:5" x14ac:dyDescent="0.3">
      <c r="B18" s="707" t="s">
        <v>4725</v>
      </c>
      <c r="C18" s="708"/>
      <c r="D18" s="709">
        <v>38</v>
      </c>
      <c r="E18" s="708" t="s">
        <v>4726</v>
      </c>
    </row>
    <row r="19" spans="2:5" x14ac:dyDescent="0.3">
      <c r="B19" s="707"/>
      <c r="C19" s="708" t="s">
        <v>4727</v>
      </c>
      <c r="D19" s="709">
        <v>0.57730000000000004</v>
      </c>
      <c r="E19" s="708"/>
    </row>
    <row r="20" spans="2:5" x14ac:dyDescent="0.3">
      <c r="B20" s="707"/>
      <c r="C20" s="708" t="s">
        <v>4583</v>
      </c>
      <c r="D20" s="707">
        <f>D11/D19</f>
        <v>0.52797505629655284</v>
      </c>
      <c r="E20" s="708"/>
    </row>
    <row r="21" spans="2:5" x14ac:dyDescent="0.3">
      <c r="B21" s="707"/>
      <c r="C21" s="708" t="s">
        <v>4728</v>
      </c>
      <c r="D21" s="707">
        <f>(D11/(2*D20))^3.5</f>
        <v>1.2921129121217274E-2</v>
      </c>
      <c r="E21" s="708"/>
    </row>
    <row r="22" spans="2:5" x14ac:dyDescent="0.3">
      <c r="B22" s="707"/>
      <c r="C22" s="708" t="s">
        <v>4729</v>
      </c>
      <c r="D22" s="707">
        <f>(D18/90)^0.5</f>
        <v>0.64978628965393093</v>
      </c>
      <c r="E22" s="708"/>
    </row>
    <row r="23" spans="2:5" x14ac:dyDescent="0.3">
      <c r="B23" s="710"/>
      <c r="C23" s="711" t="s">
        <v>4730</v>
      </c>
      <c r="D23" s="710">
        <f>(0.131+(1.847*D21))*D22</f>
        <v>0.1006293652441735</v>
      </c>
      <c r="E23" s="711"/>
    </row>
    <row r="24" spans="2:5" x14ac:dyDescent="0.3">
      <c r="B24" s="707" t="s">
        <v>4731</v>
      </c>
      <c r="C24" s="708"/>
      <c r="D24" s="707"/>
      <c r="E24" s="708"/>
    </row>
    <row r="25" spans="2:5" x14ac:dyDescent="0.3">
      <c r="B25" s="707"/>
      <c r="C25" s="708" t="s">
        <v>4732</v>
      </c>
      <c r="D25" s="707">
        <f>D5-D4</f>
        <v>30</v>
      </c>
      <c r="E25" s="708" t="s">
        <v>21</v>
      </c>
    </row>
    <row r="26" spans="2:5" x14ac:dyDescent="0.3">
      <c r="B26" s="707"/>
      <c r="C26" s="708" t="s">
        <v>4733</v>
      </c>
      <c r="D26" s="717">
        <f>D14*D16</f>
        <v>0.520892930465363</v>
      </c>
      <c r="E26" s="708" t="s">
        <v>21</v>
      </c>
    </row>
    <row r="27" spans="2:5" x14ac:dyDescent="0.3">
      <c r="B27" s="707"/>
      <c r="C27" s="708" t="s">
        <v>4734</v>
      </c>
      <c r="D27" s="714">
        <f>(D15^2)/(2*D9)</f>
        <v>5.3959422285343811E-2</v>
      </c>
      <c r="E27" s="708" t="s">
        <v>21</v>
      </c>
    </row>
    <row r="28" spans="2:5" x14ac:dyDescent="0.3">
      <c r="B28" s="707"/>
      <c r="C28" s="708" t="s">
        <v>4735</v>
      </c>
      <c r="D28" s="714">
        <f>D23*D27</f>
        <v>5.4299024135164575E-3</v>
      </c>
      <c r="E28" s="708" t="s">
        <v>21</v>
      </c>
    </row>
    <row r="29" spans="2:5" x14ac:dyDescent="0.3">
      <c r="B29" s="707"/>
      <c r="C29" s="708" t="s">
        <v>4736</v>
      </c>
      <c r="D29" s="714">
        <f>1.847*D27</f>
        <v>9.9663052961030021E-2</v>
      </c>
      <c r="E29" s="708" t="s">
        <v>21</v>
      </c>
    </row>
    <row r="30" spans="2:5" ht="15" thickBot="1" x14ac:dyDescent="0.35">
      <c r="B30" s="707"/>
      <c r="C30" s="708"/>
      <c r="D30" s="717"/>
      <c r="E30" s="708"/>
    </row>
    <row r="31" spans="2:5" ht="15" thickBot="1" x14ac:dyDescent="0.35">
      <c r="B31" s="739" t="s">
        <v>4737</v>
      </c>
      <c r="C31" s="740"/>
      <c r="D31" s="741">
        <f>SUM(D25:D30)</f>
        <v>30.679945308125255</v>
      </c>
      <c r="E31" s="740" t="s">
        <v>21</v>
      </c>
    </row>
    <row r="32" spans="2:5" ht="15" thickBot="1" x14ac:dyDescent="0.35">
      <c r="B32" s="742" t="s">
        <v>4738</v>
      </c>
      <c r="C32" s="718"/>
      <c r="D32" s="743">
        <f>D7</f>
        <v>270</v>
      </c>
      <c r="E32" s="744" t="s">
        <v>4739</v>
      </c>
    </row>
    <row r="33" spans="2:5" ht="15" thickBot="1" x14ac:dyDescent="0.35">
      <c r="B33" s="742" t="s">
        <v>4740</v>
      </c>
      <c r="C33" s="718"/>
      <c r="D33" s="743">
        <v>780</v>
      </c>
      <c r="E33" s="744" t="s">
        <v>4741</v>
      </c>
    </row>
    <row r="34" spans="2:5" ht="15" thickBot="1" x14ac:dyDescent="0.35">
      <c r="B34" s="742" t="s">
        <v>4742</v>
      </c>
      <c r="C34" s="718"/>
      <c r="D34" s="745">
        <f>(D31*D8*1*9.8)/85</f>
        <v>0.26529129178202426</v>
      </c>
      <c r="E34" s="744"/>
    </row>
    <row r="35" spans="2:5" x14ac:dyDescent="0.3">
      <c r="B35" s="719"/>
      <c r="C35" s="720"/>
      <c r="D35" s="720"/>
      <c r="E35" s="720"/>
    </row>
    <row r="36" spans="2:5" x14ac:dyDescent="0.3">
      <c r="B36" s="720"/>
      <c r="C36" s="720"/>
      <c r="D36" s="720"/>
      <c r="E36" s="720"/>
    </row>
    <row r="37" spans="2:5" x14ac:dyDescent="0.3">
      <c r="B37" s="720"/>
      <c r="C37" s="720"/>
      <c r="D37" s="720"/>
      <c r="E37" s="720"/>
    </row>
    <row r="38" spans="2:5" x14ac:dyDescent="0.3">
      <c r="B38" s="720"/>
      <c r="C38" s="720"/>
      <c r="D38" s="720"/>
      <c r="E38" s="720"/>
    </row>
    <row r="39" spans="2:5" x14ac:dyDescent="0.3">
      <c r="B39" s="720"/>
      <c r="C39" s="720"/>
      <c r="D39" s="720"/>
      <c r="E39" s="720"/>
    </row>
    <row r="40" spans="2:5" x14ac:dyDescent="0.3">
      <c r="B40" s="720"/>
      <c r="C40" s="720"/>
      <c r="D40" s="720"/>
      <c r="E40" s="720"/>
    </row>
    <row r="41" spans="2:5" x14ac:dyDescent="0.3">
      <c r="B41" s="720"/>
      <c r="C41" s="720"/>
      <c r="D41" s="720"/>
      <c r="E41" s="720"/>
    </row>
    <row r="42" spans="2:5" x14ac:dyDescent="0.3">
      <c r="B42" s="720"/>
      <c r="C42" s="720"/>
      <c r="D42" s="720"/>
      <c r="E42" s="720"/>
    </row>
    <row r="43" spans="2:5" x14ac:dyDescent="0.3">
      <c r="B43" s="720"/>
      <c r="C43" s="720"/>
      <c r="D43" s="720"/>
      <c r="E43" s="720"/>
    </row>
    <row r="44" spans="2:5" x14ac:dyDescent="0.3">
      <c r="B44" s="720"/>
      <c r="C44" s="720"/>
      <c r="D44" s="720"/>
      <c r="E44" s="720"/>
    </row>
  </sheetData>
  <mergeCells count="2">
    <mergeCell ref="D3:E3"/>
    <mergeCell ref="B2:E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32C1-DF26-4399-8077-F14DB9F7D822}">
  <sheetPr>
    <tabColor rgb="FFFF0000"/>
  </sheetPr>
  <dimension ref="A1:P369"/>
  <sheetViews>
    <sheetView workbookViewId="0">
      <selection activeCell="B41" activeCellId="1" sqref="I31 B40:B41"/>
    </sheetView>
  </sheetViews>
  <sheetFormatPr defaultRowHeight="14.4" x14ac:dyDescent="0.3"/>
  <cols>
    <col min="1" max="1" width="6.109375" style="729" customWidth="1"/>
    <col min="2" max="2" width="9.6640625" style="354" bestFit="1" customWidth="1"/>
    <col min="3" max="3" width="13.44140625" style="730" bestFit="1" customWidth="1"/>
    <col min="4" max="4" width="9.33203125" style="731" customWidth="1"/>
    <col min="5" max="5" width="9.33203125" style="732" customWidth="1"/>
    <col min="6" max="6" width="11" style="354" bestFit="1" customWidth="1"/>
    <col min="7" max="7" width="16.88671875" style="354" customWidth="1"/>
    <col min="8" max="16" width="8.88671875" style="354"/>
  </cols>
  <sheetData>
    <row r="1" spans="1:16" x14ac:dyDescent="0.3">
      <c r="A1" s="987" t="s">
        <v>8</v>
      </c>
      <c r="B1" s="987" t="s">
        <v>4751</v>
      </c>
      <c r="C1" s="990" t="s">
        <v>4752</v>
      </c>
      <c r="D1" s="993" t="s">
        <v>4753</v>
      </c>
      <c r="E1" s="993" t="s">
        <v>4754</v>
      </c>
      <c r="F1" s="998" t="s">
        <v>4755</v>
      </c>
      <c r="G1" s="1001" t="s">
        <v>4756</v>
      </c>
      <c r="I1" s="986" t="s">
        <v>4757</v>
      </c>
      <c r="J1" s="986"/>
      <c r="K1" s="986"/>
      <c r="L1" s="986"/>
      <c r="M1" s="986"/>
      <c r="N1" s="986"/>
      <c r="O1" s="986"/>
      <c r="P1" s="986"/>
    </row>
    <row r="2" spans="1:16" x14ac:dyDescent="0.3">
      <c r="A2" s="988"/>
      <c r="B2" s="988"/>
      <c r="C2" s="991"/>
      <c r="D2" s="994"/>
      <c r="E2" s="994"/>
      <c r="F2" s="999"/>
      <c r="G2" s="1002"/>
    </row>
    <row r="3" spans="1:16" x14ac:dyDescent="0.3">
      <c r="A3" s="989"/>
      <c r="B3" s="989"/>
      <c r="C3" s="992"/>
      <c r="D3" s="995"/>
      <c r="E3" s="995"/>
      <c r="F3" s="1000"/>
      <c r="G3" s="1003"/>
      <c r="I3" s="721"/>
    </row>
    <row r="4" spans="1:16" x14ac:dyDescent="0.3">
      <c r="A4" s="470">
        <v>306</v>
      </c>
      <c r="B4" s="722">
        <v>45231</v>
      </c>
      <c r="C4" s="723">
        <f>'Kapasitas Pond CH Mrs Nancy'!I17</f>
        <v>26137.303864540427</v>
      </c>
      <c r="D4" s="643">
        <f>'Rencana Pompa'!$E$6</f>
        <v>-27559.817874014581</v>
      </c>
      <c r="E4" s="643">
        <f>'Rencana Pompa'!$F$6</f>
        <v>6480</v>
      </c>
      <c r="F4" s="724">
        <f>C4+D4-E4</f>
        <v>-7902.5140094741546</v>
      </c>
      <c r="G4" s="829">
        <f>H18</f>
        <v>30</v>
      </c>
    </row>
    <row r="5" spans="1:16" x14ac:dyDescent="0.3">
      <c r="A5" s="470">
        <v>307</v>
      </c>
      <c r="B5" s="722">
        <v>45232</v>
      </c>
      <c r="C5" s="723">
        <f t="shared" ref="C5:C63" si="0">F4</f>
        <v>-7902.5140094741546</v>
      </c>
      <c r="D5" s="643">
        <f>'Rencana Pompa'!$E$6</f>
        <v>-27559.817874014581</v>
      </c>
      <c r="E5" s="643">
        <f>'Rencana Pompa'!$F$6</f>
        <v>6480</v>
      </c>
      <c r="F5" s="724">
        <f>C5+D5-E5</f>
        <v>-41942.331883488732</v>
      </c>
      <c r="G5" s="830"/>
    </row>
    <row r="6" spans="1:16" x14ac:dyDescent="0.3">
      <c r="A6" s="470">
        <v>308</v>
      </c>
      <c r="B6" s="722">
        <v>45233</v>
      </c>
      <c r="C6" s="723">
        <f t="shared" si="0"/>
        <v>-41942.331883488732</v>
      </c>
      <c r="D6" s="643">
        <f>'Rencana Pompa'!$E$6</f>
        <v>-27559.817874014581</v>
      </c>
      <c r="E6" s="643">
        <f>'Rencana Pompa'!$F$6</f>
        <v>6480</v>
      </c>
      <c r="F6" s="724">
        <f>C6+D6-E6</f>
        <v>-75982.149757503314</v>
      </c>
      <c r="G6" s="830"/>
    </row>
    <row r="7" spans="1:16" x14ac:dyDescent="0.3">
      <c r="A7" s="470">
        <v>309</v>
      </c>
      <c r="B7" s="722">
        <v>45234</v>
      </c>
      <c r="C7" s="723">
        <f t="shared" si="0"/>
        <v>-75982.149757503314</v>
      </c>
      <c r="D7" s="643">
        <f>'Rencana Pompa'!$E$6</f>
        <v>-27559.817874014581</v>
      </c>
      <c r="E7" s="643">
        <f>'Rencana Pompa'!$F$6</f>
        <v>6480</v>
      </c>
      <c r="F7" s="724">
        <f t="shared" ref="F7:F64" si="1">C7+D7-E7</f>
        <v>-110021.96763151789</v>
      </c>
      <c r="G7" s="830"/>
    </row>
    <row r="8" spans="1:16" x14ac:dyDescent="0.3">
      <c r="A8" s="470">
        <v>310</v>
      </c>
      <c r="B8" s="722">
        <v>45235</v>
      </c>
      <c r="C8" s="723">
        <f t="shared" si="0"/>
        <v>-110021.96763151789</v>
      </c>
      <c r="D8" s="643">
        <f>'Rencana Pompa'!$E$6</f>
        <v>-27559.817874014581</v>
      </c>
      <c r="E8" s="643">
        <f>'Rencana Pompa'!$F$6</f>
        <v>6480</v>
      </c>
      <c r="F8" s="724">
        <f t="shared" si="1"/>
        <v>-144061.78550553246</v>
      </c>
      <c r="G8" s="830"/>
    </row>
    <row r="9" spans="1:16" x14ac:dyDescent="0.3">
      <c r="A9" s="470">
        <v>311</v>
      </c>
      <c r="B9" s="722">
        <v>45236</v>
      </c>
      <c r="C9" s="723">
        <f t="shared" si="0"/>
        <v>-144061.78550553246</v>
      </c>
      <c r="D9" s="643">
        <f>'Rencana Pompa'!$E$6</f>
        <v>-27559.817874014581</v>
      </c>
      <c r="E9" s="643">
        <f>'Rencana Pompa'!$F$6</f>
        <v>6480</v>
      </c>
      <c r="F9" s="724">
        <f t="shared" si="1"/>
        <v>-178101.60337954704</v>
      </c>
      <c r="G9" s="830"/>
    </row>
    <row r="10" spans="1:16" x14ac:dyDescent="0.3">
      <c r="A10" s="470">
        <v>312</v>
      </c>
      <c r="B10" s="722">
        <v>45237</v>
      </c>
      <c r="C10" s="723">
        <f t="shared" si="0"/>
        <v>-178101.60337954704</v>
      </c>
      <c r="D10" s="643">
        <f>'Rencana Pompa'!$E$6</f>
        <v>-27559.817874014581</v>
      </c>
      <c r="E10" s="643">
        <f>'Rencana Pompa'!$F$6</f>
        <v>6480</v>
      </c>
      <c r="F10" s="724">
        <f t="shared" si="1"/>
        <v>-212141.42125356162</v>
      </c>
      <c r="G10" s="830"/>
    </row>
    <row r="11" spans="1:16" x14ac:dyDescent="0.3">
      <c r="A11" s="470">
        <v>313</v>
      </c>
      <c r="B11" s="722">
        <v>45238</v>
      </c>
      <c r="C11" s="723">
        <f t="shared" si="0"/>
        <v>-212141.42125356162</v>
      </c>
      <c r="D11" s="643">
        <f>'Rencana Pompa'!$E$6</f>
        <v>-27559.817874014581</v>
      </c>
      <c r="E11" s="643">
        <f>'Rencana Pompa'!$F$6</f>
        <v>6480</v>
      </c>
      <c r="F11" s="724">
        <f t="shared" si="1"/>
        <v>-246181.23912757621</v>
      </c>
      <c r="G11" s="830"/>
    </row>
    <row r="12" spans="1:16" x14ac:dyDescent="0.3">
      <c r="A12" s="470">
        <v>314</v>
      </c>
      <c r="B12" s="722">
        <v>45239</v>
      </c>
      <c r="C12" s="723">
        <f t="shared" si="0"/>
        <v>-246181.23912757621</v>
      </c>
      <c r="D12" s="643">
        <f>'Rencana Pompa'!$E$6</f>
        <v>-27559.817874014581</v>
      </c>
      <c r="E12" s="643">
        <f>'Rencana Pompa'!$F$6</f>
        <v>6480</v>
      </c>
      <c r="F12" s="724">
        <f t="shared" si="1"/>
        <v>-280221.05700159079</v>
      </c>
      <c r="G12" s="830"/>
    </row>
    <row r="13" spans="1:16" x14ac:dyDescent="0.3">
      <c r="A13" s="470">
        <v>315</v>
      </c>
      <c r="B13" s="722">
        <v>45240</v>
      </c>
      <c r="C13" s="723">
        <f t="shared" si="0"/>
        <v>-280221.05700159079</v>
      </c>
      <c r="D13" s="643">
        <f>'Rencana Pompa'!$E$6</f>
        <v>-27559.817874014581</v>
      </c>
      <c r="E13" s="643">
        <f>'Rencana Pompa'!$F$6</f>
        <v>6480</v>
      </c>
      <c r="F13" s="724">
        <f t="shared" si="1"/>
        <v>-314260.87487560534</v>
      </c>
      <c r="G13" s="830"/>
    </row>
    <row r="14" spans="1:16" x14ac:dyDescent="0.3">
      <c r="A14" s="470">
        <v>316</v>
      </c>
      <c r="B14" s="722">
        <v>45241</v>
      </c>
      <c r="C14" s="723">
        <f t="shared" si="0"/>
        <v>-314260.87487560534</v>
      </c>
      <c r="D14" s="643">
        <f>'Rencana Pompa'!$E$6</f>
        <v>-27559.817874014581</v>
      </c>
      <c r="E14" s="643">
        <f>'Rencana Pompa'!$F$6</f>
        <v>6480</v>
      </c>
      <c r="F14" s="724">
        <f t="shared" si="1"/>
        <v>-348300.69274961995</v>
      </c>
      <c r="G14" s="830"/>
    </row>
    <row r="15" spans="1:16" x14ac:dyDescent="0.3">
      <c r="A15" s="470">
        <v>317</v>
      </c>
      <c r="B15" s="722">
        <v>45242</v>
      </c>
      <c r="C15" s="723">
        <f t="shared" si="0"/>
        <v>-348300.69274961995</v>
      </c>
      <c r="D15" s="643">
        <f>'Rencana Pompa'!$E$6</f>
        <v>-27559.817874014581</v>
      </c>
      <c r="E15" s="643">
        <f>'Rencana Pompa'!$F$6</f>
        <v>6480</v>
      </c>
      <c r="F15" s="724">
        <f t="shared" si="1"/>
        <v>-382340.51062363456</v>
      </c>
      <c r="G15" s="830"/>
    </row>
    <row r="16" spans="1:16" x14ac:dyDescent="0.3">
      <c r="A16" s="470">
        <v>318</v>
      </c>
      <c r="B16" s="722">
        <v>45243</v>
      </c>
      <c r="C16" s="723">
        <f t="shared" si="0"/>
        <v>-382340.51062363456</v>
      </c>
      <c r="D16" s="643">
        <f>'Rencana Pompa'!$E$6</f>
        <v>-27559.817874014581</v>
      </c>
      <c r="E16" s="643">
        <f>'Rencana Pompa'!$F$6</f>
        <v>6480</v>
      </c>
      <c r="F16" s="724">
        <f t="shared" si="1"/>
        <v>-416380.32849764917</v>
      </c>
      <c r="G16" s="830"/>
    </row>
    <row r="17" spans="1:8" x14ac:dyDescent="0.3">
      <c r="A17" s="470">
        <v>319</v>
      </c>
      <c r="B17" s="722">
        <v>45244</v>
      </c>
      <c r="C17" s="723">
        <f t="shared" si="0"/>
        <v>-416380.32849764917</v>
      </c>
      <c r="D17" s="643">
        <f>'Rencana Pompa'!$E$6</f>
        <v>-27559.817874014581</v>
      </c>
      <c r="E17" s="643">
        <f>'Rencana Pompa'!$F$6</f>
        <v>6480</v>
      </c>
      <c r="F17" s="724">
        <f t="shared" si="1"/>
        <v>-450420.14637166378</v>
      </c>
      <c r="G17" s="830"/>
    </row>
    <row r="18" spans="1:8" x14ac:dyDescent="0.3">
      <c r="A18" s="470">
        <v>320</v>
      </c>
      <c r="B18" s="722">
        <v>45245</v>
      </c>
      <c r="C18" s="723">
        <f t="shared" si="0"/>
        <v>-450420.14637166378</v>
      </c>
      <c r="D18" s="643">
        <f>'Rencana Pompa'!$E$6</f>
        <v>-27559.817874014581</v>
      </c>
      <c r="E18" s="643">
        <f>'Rencana Pompa'!$F$6</f>
        <v>6480</v>
      </c>
      <c r="F18" s="724">
        <f t="shared" si="1"/>
        <v>-484459.96424567839</v>
      </c>
      <c r="G18" s="830"/>
      <c r="H18" s="354">
        <f>COUNTIF(E4:E33,"&gt;0")</f>
        <v>30</v>
      </c>
    </row>
    <row r="19" spans="1:8" x14ac:dyDescent="0.3">
      <c r="A19" s="470">
        <v>321</v>
      </c>
      <c r="B19" s="722">
        <v>45246</v>
      </c>
      <c r="C19" s="723">
        <f t="shared" si="0"/>
        <v>-484459.96424567839</v>
      </c>
      <c r="D19" s="643">
        <f>'Rencana Pompa'!$E$6</f>
        <v>-27559.817874014581</v>
      </c>
      <c r="E19" s="643">
        <f>'Rencana Pompa'!$F$6</f>
        <v>6480</v>
      </c>
      <c r="F19" s="724">
        <f t="shared" si="1"/>
        <v>-518499.782119693</v>
      </c>
      <c r="G19" s="830"/>
    </row>
    <row r="20" spans="1:8" x14ac:dyDescent="0.3">
      <c r="A20" s="470">
        <v>322</v>
      </c>
      <c r="B20" s="722">
        <v>45247</v>
      </c>
      <c r="C20" s="723">
        <f t="shared" si="0"/>
        <v>-518499.782119693</v>
      </c>
      <c r="D20" s="643">
        <f>'Rencana Pompa'!$E$6</f>
        <v>-27559.817874014581</v>
      </c>
      <c r="E20" s="643">
        <f>'Rencana Pompa'!$F$6</f>
        <v>6480</v>
      </c>
      <c r="F20" s="724">
        <f t="shared" si="1"/>
        <v>-552539.59999370761</v>
      </c>
      <c r="G20" s="830"/>
    </row>
    <row r="21" spans="1:8" x14ac:dyDescent="0.3">
      <c r="A21" s="470">
        <v>323</v>
      </c>
      <c r="B21" s="722">
        <v>45248</v>
      </c>
      <c r="C21" s="723">
        <f t="shared" si="0"/>
        <v>-552539.59999370761</v>
      </c>
      <c r="D21" s="643">
        <f>'Rencana Pompa'!$E$6</f>
        <v>-27559.817874014581</v>
      </c>
      <c r="E21" s="643">
        <f>'Rencana Pompa'!$F$6</f>
        <v>6480</v>
      </c>
      <c r="F21" s="724">
        <f t="shared" si="1"/>
        <v>-586579.41786772222</v>
      </c>
      <c r="G21" s="830"/>
    </row>
    <row r="22" spans="1:8" x14ac:dyDescent="0.3">
      <c r="A22" s="470">
        <v>324</v>
      </c>
      <c r="B22" s="722">
        <v>45249</v>
      </c>
      <c r="C22" s="723">
        <f t="shared" si="0"/>
        <v>-586579.41786772222</v>
      </c>
      <c r="D22" s="643">
        <f>'Rencana Pompa'!$E$6</f>
        <v>-27559.817874014581</v>
      </c>
      <c r="E22" s="643">
        <f>'Rencana Pompa'!$F$6</f>
        <v>6480</v>
      </c>
      <c r="F22" s="724">
        <f t="shared" si="1"/>
        <v>-620619.23574173683</v>
      </c>
      <c r="G22" s="830"/>
    </row>
    <row r="23" spans="1:8" x14ac:dyDescent="0.3">
      <c r="A23" s="470">
        <v>325</v>
      </c>
      <c r="B23" s="722">
        <v>45250</v>
      </c>
      <c r="C23" s="723">
        <f t="shared" si="0"/>
        <v>-620619.23574173683</v>
      </c>
      <c r="D23" s="643">
        <f>'Rencana Pompa'!$E$6</f>
        <v>-27559.817874014581</v>
      </c>
      <c r="E23" s="643">
        <f>'Rencana Pompa'!$F$6</f>
        <v>6480</v>
      </c>
      <c r="F23" s="724">
        <f t="shared" si="1"/>
        <v>-654659.05361575144</v>
      </c>
      <c r="G23" s="830"/>
    </row>
    <row r="24" spans="1:8" x14ac:dyDescent="0.3">
      <c r="A24" s="470">
        <v>326</v>
      </c>
      <c r="B24" s="722">
        <v>45251</v>
      </c>
      <c r="C24" s="723">
        <f t="shared" si="0"/>
        <v>-654659.05361575144</v>
      </c>
      <c r="D24" s="643">
        <f>'Rencana Pompa'!$E$6</f>
        <v>-27559.817874014581</v>
      </c>
      <c r="E24" s="643">
        <f>'Rencana Pompa'!$F$6</f>
        <v>6480</v>
      </c>
      <c r="F24" s="724">
        <f t="shared" si="1"/>
        <v>-688698.87148976605</v>
      </c>
      <c r="G24" s="830"/>
    </row>
    <row r="25" spans="1:8" x14ac:dyDescent="0.3">
      <c r="A25" s="470">
        <v>327</v>
      </c>
      <c r="B25" s="722">
        <v>45252</v>
      </c>
      <c r="C25" s="723">
        <f t="shared" si="0"/>
        <v>-688698.87148976605</v>
      </c>
      <c r="D25" s="643">
        <f>'Rencana Pompa'!$E$6</f>
        <v>-27559.817874014581</v>
      </c>
      <c r="E25" s="643">
        <f>'Rencana Pompa'!$F$6</f>
        <v>6480</v>
      </c>
      <c r="F25" s="724">
        <f t="shared" si="1"/>
        <v>-722738.68936378066</v>
      </c>
      <c r="G25" s="830"/>
    </row>
    <row r="26" spans="1:8" x14ac:dyDescent="0.3">
      <c r="A26" s="470">
        <v>328</v>
      </c>
      <c r="B26" s="722">
        <v>45253</v>
      </c>
      <c r="C26" s="723">
        <f t="shared" si="0"/>
        <v>-722738.68936378066</v>
      </c>
      <c r="D26" s="643">
        <f>'Rencana Pompa'!$E$6</f>
        <v>-27559.817874014581</v>
      </c>
      <c r="E26" s="643">
        <f>'Rencana Pompa'!$F$6</f>
        <v>6480</v>
      </c>
      <c r="F26" s="724">
        <f t="shared" si="1"/>
        <v>-756778.50723779527</v>
      </c>
      <c r="G26" s="830"/>
    </row>
    <row r="27" spans="1:8" x14ac:dyDescent="0.3">
      <c r="A27" s="470">
        <v>329</v>
      </c>
      <c r="B27" s="722">
        <v>45254</v>
      </c>
      <c r="C27" s="723">
        <f t="shared" si="0"/>
        <v>-756778.50723779527</v>
      </c>
      <c r="D27" s="643">
        <f>'Rencana Pompa'!$E$6</f>
        <v>-27559.817874014581</v>
      </c>
      <c r="E27" s="643">
        <f>'Rencana Pompa'!$F$6</f>
        <v>6480</v>
      </c>
      <c r="F27" s="724">
        <f t="shared" si="1"/>
        <v>-790818.32511180989</v>
      </c>
      <c r="G27" s="830"/>
    </row>
    <row r="28" spans="1:8" x14ac:dyDescent="0.3">
      <c r="A28" s="470">
        <v>330</v>
      </c>
      <c r="B28" s="722">
        <v>45255</v>
      </c>
      <c r="C28" s="723">
        <f t="shared" si="0"/>
        <v>-790818.32511180989</v>
      </c>
      <c r="D28" s="643">
        <f>'Rencana Pompa'!$E$6</f>
        <v>-27559.817874014581</v>
      </c>
      <c r="E28" s="643">
        <f>'Rencana Pompa'!$F$6</f>
        <v>6480</v>
      </c>
      <c r="F28" s="724">
        <f t="shared" si="1"/>
        <v>-824858.1429858245</v>
      </c>
      <c r="G28" s="830"/>
    </row>
    <row r="29" spans="1:8" x14ac:dyDescent="0.3">
      <c r="A29" s="470">
        <v>331</v>
      </c>
      <c r="B29" s="722">
        <v>45256</v>
      </c>
      <c r="C29" s="723">
        <f t="shared" si="0"/>
        <v>-824858.1429858245</v>
      </c>
      <c r="D29" s="643">
        <f>'Rencana Pompa'!$E$6</f>
        <v>-27559.817874014581</v>
      </c>
      <c r="E29" s="643">
        <f>'Rencana Pompa'!$F$6</f>
        <v>6480</v>
      </c>
      <c r="F29" s="724">
        <f t="shared" si="1"/>
        <v>-858897.96085983911</v>
      </c>
      <c r="G29" s="830"/>
    </row>
    <row r="30" spans="1:8" x14ac:dyDescent="0.3">
      <c r="A30" s="470">
        <v>332</v>
      </c>
      <c r="B30" s="722">
        <v>45257</v>
      </c>
      <c r="C30" s="723">
        <f t="shared" si="0"/>
        <v>-858897.96085983911</v>
      </c>
      <c r="D30" s="643">
        <f>'Rencana Pompa'!$E$6</f>
        <v>-27559.817874014581</v>
      </c>
      <c r="E30" s="643">
        <f>'Rencana Pompa'!$F$6</f>
        <v>6480</v>
      </c>
      <c r="F30" s="724">
        <f t="shared" si="1"/>
        <v>-892937.77873385372</v>
      </c>
      <c r="G30" s="830"/>
    </row>
    <row r="31" spans="1:8" x14ac:dyDescent="0.3">
      <c r="A31" s="470">
        <v>333</v>
      </c>
      <c r="B31" s="722">
        <v>45258</v>
      </c>
      <c r="C31" s="723">
        <f t="shared" si="0"/>
        <v>-892937.77873385372</v>
      </c>
      <c r="D31" s="643">
        <f>'Rencana Pompa'!$E$6</f>
        <v>-27559.817874014581</v>
      </c>
      <c r="E31" s="643">
        <f>'Rencana Pompa'!$F$6</f>
        <v>6480</v>
      </c>
      <c r="F31" s="724">
        <f t="shared" si="1"/>
        <v>-926977.59660786833</v>
      </c>
      <c r="G31" s="830"/>
    </row>
    <row r="32" spans="1:8" x14ac:dyDescent="0.3">
      <c r="A32" s="470">
        <v>334</v>
      </c>
      <c r="B32" s="722">
        <v>45259</v>
      </c>
      <c r="C32" s="723">
        <f t="shared" si="0"/>
        <v>-926977.59660786833</v>
      </c>
      <c r="D32" s="643">
        <f>'Rencana Pompa'!$E$6</f>
        <v>-27559.817874014581</v>
      </c>
      <c r="E32" s="643">
        <f>'Rencana Pompa'!$F$6</f>
        <v>6480</v>
      </c>
      <c r="F32" s="724">
        <f t="shared" si="1"/>
        <v>-961017.41448188294</v>
      </c>
      <c r="G32" s="830"/>
    </row>
    <row r="33" spans="1:16" x14ac:dyDescent="0.3">
      <c r="A33" s="725">
        <v>335</v>
      </c>
      <c r="B33" s="722">
        <v>45260</v>
      </c>
      <c r="C33" s="727">
        <f t="shared" si="0"/>
        <v>-961017.41448188294</v>
      </c>
      <c r="D33" s="643">
        <f>'Rencana Pompa'!$E$6</f>
        <v>-27559.817874014581</v>
      </c>
      <c r="E33" s="643">
        <f>'Rencana Pompa'!$F$6</f>
        <v>6480</v>
      </c>
      <c r="F33" s="724">
        <f t="shared" si="1"/>
        <v>-995057.23235589755</v>
      </c>
      <c r="G33" s="831"/>
      <c r="H33" s="726"/>
      <c r="I33" s="726"/>
      <c r="J33" s="726"/>
      <c r="K33" s="726"/>
      <c r="L33" s="726"/>
      <c r="M33" s="726"/>
      <c r="N33" s="726"/>
      <c r="O33" s="726"/>
      <c r="P33" s="726"/>
    </row>
    <row r="34" spans="1:16" x14ac:dyDescent="0.3">
      <c r="A34" s="470">
        <v>336</v>
      </c>
      <c r="B34" s="722">
        <v>45261</v>
      </c>
      <c r="C34" s="723">
        <f t="shared" si="0"/>
        <v>-995057.23235589755</v>
      </c>
      <c r="D34" s="643">
        <f>'Rencana Pompa'!$E$6</f>
        <v>-27559.817874014581</v>
      </c>
      <c r="E34" s="643">
        <f>'Rencana Pompa'!$F$6</f>
        <v>6480</v>
      </c>
      <c r="F34" s="724">
        <f t="shared" si="1"/>
        <v>-1029097.0502299122</v>
      </c>
      <c r="G34" s="996">
        <f>H48</f>
        <v>31</v>
      </c>
    </row>
    <row r="35" spans="1:16" x14ac:dyDescent="0.3">
      <c r="A35" s="470">
        <v>337</v>
      </c>
      <c r="B35" s="722">
        <v>45262</v>
      </c>
      <c r="C35" s="723">
        <f t="shared" si="0"/>
        <v>-1029097.0502299122</v>
      </c>
      <c r="D35" s="643">
        <f>'Rencana Pompa'!$E$6</f>
        <v>-27559.817874014581</v>
      </c>
      <c r="E35" s="643">
        <f>'Rencana Pompa'!$F$6</f>
        <v>6480</v>
      </c>
      <c r="F35" s="724">
        <f t="shared" si="1"/>
        <v>-1063136.8681039268</v>
      </c>
      <c r="G35" s="997"/>
    </row>
    <row r="36" spans="1:16" x14ac:dyDescent="0.3">
      <c r="A36" s="470">
        <v>338</v>
      </c>
      <c r="B36" s="722">
        <v>45263</v>
      </c>
      <c r="C36" s="723">
        <f t="shared" si="0"/>
        <v>-1063136.8681039268</v>
      </c>
      <c r="D36" s="643">
        <f>'Rencana Pompa'!$E$6</f>
        <v>-27559.817874014581</v>
      </c>
      <c r="E36" s="643">
        <f>'Rencana Pompa'!$F$6</f>
        <v>6480</v>
      </c>
      <c r="F36" s="724">
        <f t="shared" si="1"/>
        <v>-1097176.6859779414</v>
      </c>
      <c r="G36" s="997"/>
    </row>
    <row r="37" spans="1:16" x14ac:dyDescent="0.3">
      <c r="A37" s="470">
        <v>339</v>
      </c>
      <c r="B37" s="722">
        <v>45264</v>
      </c>
      <c r="C37" s="723">
        <f t="shared" si="0"/>
        <v>-1097176.6859779414</v>
      </c>
      <c r="D37" s="643">
        <f>'Rencana Pompa'!$E$6</f>
        <v>-27559.817874014581</v>
      </c>
      <c r="E37" s="643">
        <f>'Rencana Pompa'!$F$6</f>
        <v>6480</v>
      </c>
      <c r="F37" s="724">
        <f t="shared" si="1"/>
        <v>-1131216.503851956</v>
      </c>
      <c r="G37" s="997"/>
    </row>
    <row r="38" spans="1:16" x14ac:dyDescent="0.3">
      <c r="A38" s="470">
        <v>340</v>
      </c>
      <c r="B38" s="722">
        <v>45265</v>
      </c>
      <c r="C38" s="723">
        <f t="shared" si="0"/>
        <v>-1131216.503851956</v>
      </c>
      <c r="D38" s="643">
        <f>'Rencana Pompa'!$E$6</f>
        <v>-27559.817874014581</v>
      </c>
      <c r="E38" s="643">
        <f>'Rencana Pompa'!$F$6</f>
        <v>6480</v>
      </c>
      <c r="F38" s="724">
        <f t="shared" si="1"/>
        <v>-1165256.3217259706</v>
      </c>
      <c r="G38" s="997"/>
    </row>
    <row r="39" spans="1:16" x14ac:dyDescent="0.3">
      <c r="A39" s="470">
        <v>341</v>
      </c>
      <c r="B39" s="722">
        <v>45266</v>
      </c>
      <c r="C39" s="723">
        <f t="shared" si="0"/>
        <v>-1165256.3217259706</v>
      </c>
      <c r="D39" s="643">
        <f>'Rencana Pompa'!$E$6</f>
        <v>-27559.817874014581</v>
      </c>
      <c r="E39" s="643">
        <f>'Rencana Pompa'!$F$6</f>
        <v>6480</v>
      </c>
      <c r="F39" s="724">
        <f t="shared" si="1"/>
        <v>-1199296.1395999852</v>
      </c>
      <c r="G39" s="997"/>
    </row>
    <row r="40" spans="1:16" x14ac:dyDescent="0.3">
      <c r="A40" s="470">
        <v>342</v>
      </c>
      <c r="B40" s="722">
        <v>45267</v>
      </c>
      <c r="C40" s="723">
        <f t="shared" si="0"/>
        <v>-1199296.1395999852</v>
      </c>
      <c r="D40" s="643">
        <f>'Rencana Pompa'!$E$6</f>
        <v>-27559.817874014581</v>
      </c>
      <c r="E40" s="643">
        <f>'Rencana Pompa'!$F$6</f>
        <v>6480</v>
      </c>
      <c r="F40" s="724">
        <f t="shared" si="1"/>
        <v>-1233335.9574739998</v>
      </c>
      <c r="G40" s="997"/>
    </row>
    <row r="41" spans="1:16" x14ac:dyDescent="0.3">
      <c r="A41" s="470">
        <v>343</v>
      </c>
      <c r="B41" s="722">
        <v>45268</v>
      </c>
      <c r="C41" s="723">
        <f t="shared" si="0"/>
        <v>-1233335.9574739998</v>
      </c>
      <c r="D41" s="643">
        <f>'Rencana Pompa'!$E$6</f>
        <v>-27559.817874014581</v>
      </c>
      <c r="E41" s="643">
        <f>'Rencana Pompa'!$F$6</f>
        <v>6480</v>
      </c>
      <c r="F41" s="724">
        <f t="shared" si="1"/>
        <v>-1267375.7753480144</v>
      </c>
      <c r="G41" s="997"/>
    </row>
    <row r="42" spans="1:16" x14ac:dyDescent="0.3">
      <c r="A42" s="470">
        <v>344</v>
      </c>
      <c r="B42" s="722">
        <v>45269</v>
      </c>
      <c r="C42" s="723">
        <f t="shared" si="0"/>
        <v>-1267375.7753480144</v>
      </c>
      <c r="D42" s="643">
        <f>'Rencana Pompa'!$E$6</f>
        <v>-27559.817874014581</v>
      </c>
      <c r="E42" s="643">
        <f>'Rencana Pompa'!$F$6</f>
        <v>6480</v>
      </c>
      <c r="F42" s="724">
        <f t="shared" si="1"/>
        <v>-1301415.593222029</v>
      </c>
      <c r="G42" s="997"/>
    </row>
    <row r="43" spans="1:16" x14ac:dyDescent="0.3">
      <c r="A43" s="470">
        <v>345</v>
      </c>
      <c r="B43" s="722">
        <v>45270</v>
      </c>
      <c r="C43" s="723">
        <f t="shared" si="0"/>
        <v>-1301415.593222029</v>
      </c>
      <c r="D43" s="643">
        <f>'Rencana Pompa'!$E$6</f>
        <v>-27559.817874014581</v>
      </c>
      <c r="E43" s="643">
        <f>'Rencana Pompa'!$F$6</f>
        <v>6480</v>
      </c>
      <c r="F43" s="724">
        <f t="shared" si="1"/>
        <v>-1335455.4110960437</v>
      </c>
      <c r="G43" s="997"/>
    </row>
    <row r="44" spans="1:16" x14ac:dyDescent="0.3">
      <c r="A44" s="470">
        <v>346</v>
      </c>
      <c r="B44" s="722">
        <v>45271</v>
      </c>
      <c r="C44" s="723">
        <f t="shared" si="0"/>
        <v>-1335455.4110960437</v>
      </c>
      <c r="D44" s="643">
        <f>'Rencana Pompa'!$E$6</f>
        <v>-27559.817874014581</v>
      </c>
      <c r="E44" s="643">
        <f>'Rencana Pompa'!$F$6</f>
        <v>6480</v>
      </c>
      <c r="F44" s="724">
        <f t="shared" si="1"/>
        <v>-1369495.2289700583</v>
      </c>
      <c r="G44" s="997"/>
    </row>
    <row r="45" spans="1:16" x14ac:dyDescent="0.3">
      <c r="A45" s="470">
        <v>347</v>
      </c>
      <c r="B45" s="722">
        <v>45272</v>
      </c>
      <c r="C45" s="723">
        <f t="shared" si="0"/>
        <v>-1369495.2289700583</v>
      </c>
      <c r="D45" s="643">
        <f>'Rencana Pompa'!$E$6</f>
        <v>-27559.817874014581</v>
      </c>
      <c r="E45" s="643">
        <f>'Rencana Pompa'!$F$6</f>
        <v>6480</v>
      </c>
      <c r="F45" s="724">
        <f t="shared" si="1"/>
        <v>-1403535.0468440729</v>
      </c>
      <c r="G45" s="997"/>
    </row>
    <row r="46" spans="1:16" x14ac:dyDescent="0.3">
      <c r="A46" s="470">
        <v>348</v>
      </c>
      <c r="B46" s="722">
        <v>45273</v>
      </c>
      <c r="C46" s="723">
        <f t="shared" si="0"/>
        <v>-1403535.0468440729</v>
      </c>
      <c r="D46" s="643">
        <f>'Rencana Pompa'!$E$6</f>
        <v>-27559.817874014581</v>
      </c>
      <c r="E46" s="643">
        <f>'Rencana Pompa'!$F$6</f>
        <v>6480</v>
      </c>
      <c r="F46" s="724">
        <f t="shared" si="1"/>
        <v>-1437574.8647180875</v>
      </c>
      <c r="G46" s="997"/>
    </row>
    <row r="47" spans="1:16" x14ac:dyDescent="0.3">
      <c r="A47" s="470">
        <v>349</v>
      </c>
      <c r="B47" s="722">
        <v>45274</v>
      </c>
      <c r="C47" s="723">
        <f t="shared" si="0"/>
        <v>-1437574.8647180875</v>
      </c>
      <c r="D47" s="643">
        <f>'Rencana Pompa'!$E$6</f>
        <v>-27559.817874014581</v>
      </c>
      <c r="E47" s="643">
        <f>'Rencana Pompa'!$F$6</f>
        <v>6480</v>
      </c>
      <c r="F47" s="724">
        <f t="shared" si="1"/>
        <v>-1471614.6825921021</v>
      </c>
      <c r="G47" s="997"/>
    </row>
    <row r="48" spans="1:16" x14ac:dyDescent="0.3">
      <c r="A48" s="470">
        <v>350</v>
      </c>
      <c r="B48" s="722">
        <v>45275</v>
      </c>
      <c r="C48" s="723">
        <f t="shared" si="0"/>
        <v>-1471614.6825921021</v>
      </c>
      <c r="D48" s="643">
        <f>'Rencana Pompa'!$E$6</f>
        <v>-27559.817874014581</v>
      </c>
      <c r="E48" s="643">
        <f>'Rencana Pompa'!$F$6</f>
        <v>6480</v>
      </c>
      <c r="F48" s="724">
        <f t="shared" si="1"/>
        <v>-1505654.5004661167</v>
      </c>
      <c r="G48" s="997"/>
      <c r="H48" s="354">
        <f>COUNTIF(E34:E64,"&gt;0")</f>
        <v>31</v>
      </c>
    </row>
    <row r="49" spans="1:16" x14ac:dyDescent="0.3">
      <c r="A49" s="470">
        <v>351</v>
      </c>
      <c r="B49" s="722">
        <v>45276</v>
      </c>
      <c r="C49" s="723">
        <f t="shared" si="0"/>
        <v>-1505654.5004661167</v>
      </c>
      <c r="D49" s="643">
        <f>'Rencana Pompa'!$E$6</f>
        <v>-27559.817874014581</v>
      </c>
      <c r="E49" s="643">
        <f>'Rencana Pompa'!$F$6</f>
        <v>6480</v>
      </c>
      <c r="F49" s="724">
        <f t="shared" si="1"/>
        <v>-1539694.3183401313</v>
      </c>
      <c r="G49" s="997"/>
    </row>
    <row r="50" spans="1:16" x14ac:dyDescent="0.3">
      <c r="A50" s="470">
        <v>352</v>
      </c>
      <c r="B50" s="722">
        <v>45277</v>
      </c>
      <c r="C50" s="723">
        <f t="shared" si="0"/>
        <v>-1539694.3183401313</v>
      </c>
      <c r="D50" s="643">
        <f>'Rencana Pompa'!$E$6</f>
        <v>-27559.817874014581</v>
      </c>
      <c r="E50" s="643">
        <f>'Rencana Pompa'!$F$6</f>
        <v>6480</v>
      </c>
      <c r="F50" s="724">
        <f t="shared" si="1"/>
        <v>-1573734.1362141459</v>
      </c>
      <c r="G50" s="997"/>
    </row>
    <row r="51" spans="1:16" x14ac:dyDescent="0.3">
      <c r="A51" s="470">
        <v>353</v>
      </c>
      <c r="B51" s="722">
        <v>45278</v>
      </c>
      <c r="C51" s="723">
        <f t="shared" si="0"/>
        <v>-1573734.1362141459</v>
      </c>
      <c r="D51" s="643">
        <f>'Rencana Pompa'!$E$6</f>
        <v>-27559.817874014581</v>
      </c>
      <c r="E51" s="643">
        <f>'Rencana Pompa'!$F$6</f>
        <v>6480</v>
      </c>
      <c r="F51" s="724">
        <f t="shared" si="1"/>
        <v>-1607773.9540881605</v>
      </c>
      <c r="G51" s="997"/>
    </row>
    <row r="52" spans="1:16" x14ac:dyDescent="0.3">
      <c r="A52" s="470">
        <v>354</v>
      </c>
      <c r="B52" s="722">
        <v>45279</v>
      </c>
      <c r="C52" s="723">
        <f t="shared" si="0"/>
        <v>-1607773.9540881605</v>
      </c>
      <c r="D52" s="643">
        <f>'Rencana Pompa'!$E$6</f>
        <v>-27559.817874014581</v>
      </c>
      <c r="E52" s="643">
        <f>'Rencana Pompa'!$F$6</f>
        <v>6480</v>
      </c>
      <c r="F52" s="724">
        <f t="shared" si="1"/>
        <v>-1641813.7719621751</v>
      </c>
      <c r="G52" s="997"/>
    </row>
    <row r="53" spans="1:16" x14ac:dyDescent="0.3">
      <c r="A53" s="470">
        <v>355</v>
      </c>
      <c r="B53" s="722">
        <v>45280</v>
      </c>
      <c r="C53" s="723">
        <f t="shared" si="0"/>
        <v>-1641813.7719621751</v>
      </c>
      <c r="D53" s="643">
        <f>'Rencana Pompa'!$E$6</f>
        <v>-27559.817874014581</v>
      </c>
      <c r="E53" s="643">
        <f>'Rencana Pompa'!$F$6</f>
        <v>6480</v>
      </c>
      <c r="F53" s="724">
        <f t="shared" si="1"/>
        <v>-1675853.5898361898</v>
      </c>
      <c r="G53" s="997"/>
    </row>
    <row r="54" spans="1:16" x14ac:dyDescent="0.3">
      <c r="A54" s="470">
        <v>356</v>
      </c>
      <c r="B54" s="722">
        <v>45281</v>
      </c>
      <c r="C54" s="723">
        <f t="shared" si="0"/>
        <v>-1675853.5898361898</v>
      </c>
      <c r="D54" s="643">
        <f>'Rencana Pompa'!$E$6</f>
        <v>-27559.817874014581</v>
      </c>
      <c r="E54" s="643">
        <f>'Rencana Pompa'!$F$6</f>
        <v>6480</v>
      </c>
      <c r="F54" s="724">
        <f t="shared" si="1"/>
        <v>-1709893.4077102044</v>
      </c>
      <c r="G54" s="997"/>
    </row>
    <row r="55" spans="1:16" x14ac:dyDescent="0.3">
      <c r="A55" s="470">
        <v>357</v>
      </c>
      <c r="B55" s="722">
        <v>45282</v>
      </c>
      <c r="C55" s="723">
        <f t="shared" si="0"/>
        <v>-1709893.4077102044</v>
      </c>
      <c r="D55" s="643">
        <f>'Rencana Pompa'!$E$6</f>
        <v>-27559.817874014581</v>
      </c>
      <c r="E55" s="643">
        <f>'Rencana Pompa'!$F$6</f>
        <v>6480</v>
      </c>
      <c r="F55" s="724">
        <f t="shared" si="1"/>
        <v>-1743933.225584219</v>
      </c>
      <c r="G55" s="997"/>
    </row>
    <row r="56" spans="1:16" x14ac:dyDescent="0.3">
      <c r="A56" s="470">
        <v>358</v>
      </c>
      <c r="B56" s="722">
        <v>45283</v>
      </c>
      <c r="C56" s="723">
        <f t="shared" si="0"/>
        <v>-1743933.225584219</v>
      </c>
      <c r="D56" s="643">
        <f>'Rencana Pompa'!$E$6</f>
        <v>-27559.817874014581</v>
      </c>
      <c r="E56" s="643">
        <f>'Rencana Pompa'!$F$6</f>
        <v>6480</v>
      </c>
      <c r="F56" s="724">
        <f t="shared" si="1"/>
        <v>-1777973.0434582336</v>
      </c>
      <c r="G56" s="997"/>
    </row>
    <row r="57" spans="1:16" x14ac:dyDescent="0.3">
      <c r="A57" s="470">
        <v>359</v>
      </c>
      <c r="B57" s="722">
        <v>45284</v>
      </c>
      <c r="C57" s="723">
        <f t="shared" si="0"/>
        <v>-1777973.0434582336</v>
      </c>
      <c r="D57" s="643">
        <f>'Rencana Pompa'!$E$6</f>
        <v>-27559.817874014581</v>
      </c>
      <c r="E57" s="643">
        <f>'Rencana Pompa'!$F$6</f>
        <v>6480</v>
      </c>
      <c r="F57" s="724">
        <f t="shared" si="1"/>
        <v>-1812012.8613322482</v>
      </c>
      <c r="G57" s="997"/>
    </row>
    <row r="58" spans="1:16" x14ac:dyDescent="0.3">
      <c r="A58" s="470">
        <v>360</v>
      </c>
      <c r="B58" s="722">
        <v>45285</v>
      </c>
      <c r="C58" s="723">
        <f t="shared" si="0"/>
        <v>-1812012.8613322482</v>
      </c>
      <c r="D58" s="643">
        <f>'Rencana Pompa'!$E$6</f>
        <v>-27559.817874014581</v>
      </c>
      <c r="E58" s="643">
        <f>'Rencana Pompa'!$F$6</f>
        <v>6480</v>
      </c>
      <c r="F58" s="724">
        <f t="shared" si="1"/>
        <v>-1846052.6792062628</v>
      </c>
      <c r="G58" s="997"/>
    </row>
    <row r="59" spans="1:16" x14ac:dyDescent="0.3">
      <c r="A59" s="470">
        <v>361</v>
      </c>
      <c r="B59" s="722">
        <v>45286</v>
      </c>
      <c r="C59" s="723">
        <f t="shared" si="0"/>
        <v>-1846052.6792062628</v>
      </c>
      <c r="D59" s="643">
        <f>'Rencana Pompa'!$E$6</f>
        <v>-27559.817874014581</v>
      </c>
      <c r="E59" s="643">
        <f>'Rencana Pompa'!$F$6</f>
        <v>6480</v>
      </c>
      <c r="F59" s="724">
        <f t="shared" si="1"/>
        <v>-1880092.4970802774</v>
      </c>
      <c r="G59" s="997"/>
    </row>
    <row r="60" spans="1:16" x14ac:dyDescent="0.3">
      <c r="A60" s="470">
        <v>362</v>
      </c>
      <c r="B60" s="722">
        <v>45287</v>
      </c>
      <c r="C60" s="723">
        <f t="shared" si="0"/>
        <v>-1880092.4970802774</v>
      </c>
      <c r="D60" s="643">
        <f>'Rencana Pompa'!$E$6</f>
        <v>-27559.817874014581</v>
      </c>
      <c r="E60" s="643">
        <f>'Rencana Pompa'!$F$6</f>
        <v>6480</v>
      </c>
      <c r="F60" s="724">
        <f t="shared" si="1"/>
        <v>-1914132.314954292</v>
      </c>
      <c r="G60" s="997"/>
    </row>
    <row r="61" spans="1:16" x14ac:dyDescent="0.3">
      <c r="A61" s="470">
        <v>363</v>
      </c>
      <c r="B61" s="722">
        <v>45288</v>
      </c>
      <c r="C61" s="723">
        <f t="shared" si="0"/>
        <v>-1914132.314954292</v>
      </c>
      <c r="D61" s="643">
        <f>'Rencana Pompa'!$E$6</f>
        <v>-27559.817874014581</v>
      </c>
      <c r="E61" s="643">
        <f>'Rencana Pompa'!$F$6</f>
        <v>6480</v>
      </c>
      <c r="F61" s="724">
        <f t="shared" si="1"/>
        <v>-1948172.1328283066</v>
      </c>
      <c r="G61" s="997"/>
    </row>
    <row r="62" spans="1:16" x14ac:dyDescent="0.3">
      <c r="A62" s="470">
        <v>364</v>
      </c>
      <c r="B62" s="722">
        <v>45289</v>
      </c>
      <c r="C62" s="723">
        <f t="shared" si="0"/>
        <v>-1948172.1328283066</v>
      </c>
      <c r="D62" s="643">
        <f>'Rencana Pompa'!$E$6</f>
        <v>-27559.817874014581</v>
      </c>
      <c r="E62" s="643">
        <f>'Rencana Pompa'!$F$6</f>
        <v>6480</v>
      </c>
      <c r="F62" s="724">
        <f t="shared" si="1"/>
        <v>-1982211.9507023212</v>
      </c>
      <c r="G62" s="997"/>
    </row>
    <row r="63" spans="1:16" x14ac:dyDescent="0.3">
      <c r="A63" s="470">
        <v>365</v>
      </c>
      <c r="B63" s="722">
        <v>45290</v>
      </c>
      <c r="C63" s="723">
        <f t="shared" si="0"/>
        <v>-1982211.9507023212</v>
      </c>
      <c r="D63" s="643">
        <f>'Rencana Pompa'!$E$6</f>
        <v>-27559.817874014581</v>
      </c>
      <c r="E63" s="643">
        <f>'Rencana Pompa'!$F$6</f>
        <v>6480</v>
      </c>
      <c r="F63" s="724">
        <f t="shared" si="1"/>
        <v>-2016251.7685763359</v>
      </c>
      <c r="G63" s="997"/>
    </row>
    <row r="64" spans="1:16" x14ac:dyDescent="0.3">
      <c r="A64" s="725">
        <v>366</v>
      </c>
      <c r="B64" s="722">
        <v>45291</v>
      </c>
      <c r="C64" s="727">
        <f>F63</f>
        <v>-2016251.7685763359</v>
      </c>
      <c r="D64" s="643">
        <f>'Rencana Pompa'!$E$6</f>
        <v>-27559.817874014581</v>
      </c>
      <c r="E64" s="643">
        <f>'Rencana Pompa'!$F$6</f>
        <v>6480</v>
      </c>
      <c r="F64" s="724">
        <f t="shared" si="1"/>
        <v>-2050291.5864503505</v>
      </c>
      <c r="G64" s="997"/>
      <c r="H64" s="354">
        <f>SUM(G4:G63)</f>
        <v>61</v>
      </c>
      <c r="I64" s="728">
        <f>H64/A63</f>
        <v>0.16712328767123288</v>
      </c>
      <c r="J64" s="726"/>
      <c r="K64" s="726"/>
      <c r="L64" s="726"/>
      <c r="M64" s="726"/>
      <c r="N64" s="726"/>
      <c r="O64" s="726"/>
      <c r="P64" s="726"/>
    </row>
    <row r="65" spans="1:9" x14ac:dyDescent="0.3">
      <c r="A65" s="470">
        <v>367</v>
      </c>
      <c r="B65" s="722">
        <v>45292</v>
      </c>
      <c r="C65" s="733">
        <f t="shared" ref="C65" si="2">F64</f>
        <v>-2050291.5864503505</v>
      </c>
      <c r="D65" s="734">
        <f>'Rencana Pompa'!$E$6</f>
        <v>-27559.817874014581</v>
      </c>
      <c r="E65" s="734">
        <f>'Rencana Pompa'!$F$6</f>
        <v>6480</v>
      </c>
      <c r="F65" s="735">
        <f t="shared" ref="F65" si="3">C65+D65-E65</f>
        <v>-2084331.4043243651</v>
      </c>
    </row>
    <row r="66" spans="1:9" x14ac:dyDescent="0.3">
      <c r="A66" s="470">
        <v>368</v>
      </c>
      <c r="B66" s="722">
        <v>45293</v>
      </c>
      <c r="C66" s="733">
        <f t="shared" ref="C66:C67" si="4">F65</f>
        <v>-2084331.4043243651</v>
      </c>
      <c r="D66" s="734">
        <f>'Rencana Pompa'!$E$6</f>
        <v>-27559.817874014581</v>
      </c>
      <c r="E66" s="734">
        <f>'Rencana Pompa'!$F$6</f>
        <v>6480</v>
      </c>
      <c r="F66" s="735">
        <f t="shared" ref="F66:F67" si="5">C66+D66-E66</f>
        <v>-2118371.2221983797</v>
      </c>
    </row>
    <row r="67" spans="1:9" x14ac:dyDescent="0.3">
      <c r="A67" s="470">
        <v>369</v>
      </c>
      <c r="B67" s="722">
        <v>45294</v>
      </c>
      <c r="C67" s="733">
        <f t="shared" si="4"/>
        <v>-2118371.2221983797</v>
      </c>
      <c r="D67" s="734">
        <f>'Rencana Pompa'!$E$6</f>
        <v>-27559.817874014581</v>
      </c>
      <c r="E67" s="734">
        <f>'Rencana Pompa'!$F$6</f>
        <v>6480</v>
      </c>
      <c r="F67" s="735">
        <f t="shared" si="5"/>
        <v>-2152411.0400723941</v>
      </c>
    </row>
    <row r="68" spans="1:9" x14ac:dyDescent="0.3">
      <c r="A68" s="470">
        <v>370</v>
      </c>
      <c r="B68" s="722">
        <v>45295</v>
      </c>
      <c r="C68" s="733">
        <f t="shared" ref="C68:C78" si="6">F67</f>
        <v>-2152411.0400723941</v>
      </c>
      <c r="D68" s="734">
        <f>'Rencana Pompa'!$E$6</f>
        <v>-27559.817874014581</v>
      </c>
      <c r="E68" s="734">
        <f>'Rencana Pompa'!$F$6</f>
        <v>6480</v>
      </c>
      <c r="F68" s="735">
        <f t="shared" ref="F68:F78" si="7">C68+D68-E68</f>
        <v>-2186450.8579464084</v>
      </c>
      <c r="H68" s="354">
        <f>H64*20</f>
        <v>1220</v>
      </c>
      <c r="I68" s="354" t="s">
        <v>4758</v>
      </c>
    </row>
    <row r="69" spans="1:9" x14ac:dyDescent="0.3">
      <c r="A69" s="470">
        <v>371</v>
      </c>
      <c r="B69" s="722">
        <v>45296</v>
      </c>
      <c r="C69" s="733">
        <f t="shared" si="6"/>
        <v>-2186450.8579464084</v>
      </c>
      <c r="D69" s="734">
        <f>'Rencana Pompa'!$E$6</f>
        <v>-27559.817874014581</v>
      </c>
      <c r="E69" s="734">
        <f>'Rencana Pompa'!$F$6</f>
        <v>6480</v>
      </c>
      <c r="F69" s="735">
        <f t="shared" si="7"/>
        <v>-2220490.6758204228</v>
      </c>
    </row>
    <row r="70" spans="1:9" x14ac:dyDescent="0.3">
      <c r="A70" s="470">
        <v>372</v>
      </c>
      <c r="B70" s="722">
        <v>45297</v>
      </c>
      <c r="C70" s="733">
        <f t="shared" si="6"/>
        <v>-2220490.6758204228</v>
      </c>
      <c r="D70" s="734">
        <f>'Rencana Pompa'!$E$6</f>
        <v>-27559.817874014581</v>
      </c>
      <c r="E70" s="734">
        <f>'Rencana Pompa'!$F$6</f>
        <v>6480</v>
      </c>
      <c r="F70" s="735">
        <f t="shared" si="7"/>
        <v>-2254530.4936944372</v>
      </c>
    </row>
    <row r="71" spans="1:9" x14ac:dyDescent="0.3">
      <c r="A71" s="470">
        <v>373</v>
      </c>
      <c r="B71" s="722">
        <v>45298</v>
      </c>
      <c r="C71" s="733">
        <f t="shared" si="6"/>
        <v>-2254530.4936944372</v>
      </c>
      <c r="D71" s="734">
        <f>'Rencana Pompa'!$E$6</f>
        <v>-27559.817874014581</v>
      </c>
      <c r="E71" s="734">
        <f>'Rencana Pompa'!$F$6</f>
        <v>6480</v>
      </c>
      <c r="F71" s="735">
        <f t="shared" si="7"/>
        <v>-2288570.3115684516</v>
      </c>
    </row>
    <row r="72" spans="1:9" x14ac:dyDescent="0.3">
      <c r="A72" s="470">
        <v>374</v>
      </c>
      <c r="B72" s="722">
        <v>45299</v>
      </c>
      <c r="C72" s="733">
        <f t="shared" si="6"/>
        <v>-2288570.3115684516</v>
      </c>
      <c r="D72" s="734">
        <f>'Rencana Pompa'!$E$6</f>
        <v>-27559.817874014581</v>
      </c>
      <c r="E72" s="734">
        <f>'Rencana Pompa'!$F$6</f>
        <v>6480</v>
      </c>
      <c r="F72" s="735">
        <f t="shared" si="7"/>
        <v>-2322610.129442466</v>
      </c>
    </row>
    <row r="73" spans="1:9" x14ac:dyDescent="0.3">
      <c r="A73" s="470">
        <v>375</v>
      </c>
      <c r="B73" s="722">
        <v>45300</v>
      </c>
      <c r="C73" s="733">
        <f t="shared" si="6"/>
        <v>-2322610.129442466</v>
      </c>
      <c r="D73" s="734">
        <f>'Rencana Pompa'!$E$6</f>
        <v>-27559.817874014581</v>
      </c>
      <c r="E73" s="734">
        <f>'Rencana Pompa'!$F$6</f>
        <v>6480</v>
      </c>
      <c r="F73" s="735">
        <f t="shared" si="7"/>
        <v>-2356649.9473164803</v>
      </c>
    </row>
    <row r="74" spans="1:9" x14ac:dyDescent="0.3">
      <c r="A74" s="470">
        <v>376</v>
      </c>
      <c r="B74" s="722">
        <v>45301</v>
      </c>
      <c r="C74" s="733">
        <f t="shared" si="6"/>
        <v>-2356649.9473164803</v>
      </c>
      <c r="D74" s="734">
        <f>'Rencana Pompa'!$E$6</f>
        <v>-27559.817874014581</v>
      </c>
      <c r="E74" s="734">
        <f>'Rencana Pompa'!$F$6</f>
        <v>6480</v>
      </c>
      <c r="F74" s="735">
        <f t="shared" si="7"/>
        <v>-2390689.7651904947</v>
      </c>
    </row>
    <row r="75" spans="1:9" x14ac:dyDescent="0.3">
      <c r="A75" s="470">
        <v>377</v>
      </c>
      <c r="B75" s="722">
        <v>45302</v>
      </c>
      <c r="C75" s="733">
        <f t="shared" si="6"/>
        <v>-2390689.7651904947</v>
      </c>
      <c r="D75" s="734">
        <f>'Rencana Pompa'!$E$6</f>
        <v>-27559.817874014581</v>
      </c>
      <c r="E75" s="734">
        <f>'Rencana Pompa'!$F$6</f>
        <v>6480</v>
      </c>
      <c r="F75" s="735">
        <f t="shared" si="7"/>
        <v>-2424729.5830645091</v>
      </c>
    </row>
    <row r="76" spans="1:9" x14ac:dyDescent="0.3">
      <c r="A76" s="470">
        <v>378</v>
      </c>
      <c r="B76" s="722">
        <v>45303</v>
      </c>
      <c r="C76" s="733">
        <f t="shared" si="6"/>
        <v>-2424729.5830645091</v>
      </c>
      <c r="D76" s="734">
        <f>'Rencana Pompa'!$E$6</f>
        <v>-27559.817874014581</v>
      </c>
      <c r="E76" s="734">
        <f>'Rencana Pompa'!$F$6</f>
        <v>6480</v>
      </c>
      <c r="F76" s="735">
        <f t="shared" si="7"/>
        <v>-2458769.4009385235</v>
      </c>
    </row>
    <row r="77" spans="1:9" x14ac:dyDescent="0.3">
      <c r="A77" s="470">
        <v>379</v>
      </c>
      <c r="B77" s="722">
        <v>45304</v>
      </c>
      <c r="C77" s="733">
        <f t="shared" si="6"/>
        <v>-2458769.4009385235</v>
      </c>
      <c r="D77" s="734">
        <f>'Rencana Pompa'!$E$6</f>
        <v>-27559.817874014581</v>
      </c>
      <c r="E77" s="734">
        <f>'Rencana Pompa'!$F$6</f>
        <v>6480</v>
      </c>
      <c r="F77" s="735">
        <f t="shared" si="7"/>
        <v>-2492809.2188125378</v>
      </c>
    </row>
    <row r="78" spans="1:9" x14ac:dyDescent="0.3">
      <c r="A78" s="470">
        <v>380</v>
      </c>
      <c r="B78" s="722">
        <v>45305</v>
      </c>
      <c r="C78" s="733">
        <f t="shared" si="6"/>
        <v>-2492809.2188125378</v>
      </c>
      <c r="D78" s="734">
        <f>'Rencana Pompa'!$E$6</f>
        <v>-27559.817874014581</v>
      </c>
      <c r="E78" s="734">
        <f>'Rencana Pompa'!$F$6</f>
        <v>6480</v>
      </c>
      <c r="F78" s="735">
        <f t="shared" si="7"/>
        <v>-2526849.0366865522</v>
      </c>
    </row>
    <row r="79" spans="1:9" x14ac:dyDescent="0.3">
      <c r="A79" s="470">
        <v>381</v>
      </c>
      <c r="B79" s="722">
        <v>45306</v>
      </c>
      <c r="C79" s="733">
        <f t="shared" ref="C79:C101" si="8">F78</f>
        <v>-2526849.0366865522</v>
      </c>
      <c r="D79" s="734">
        <f>'Rencana Pompa'!$E$6</f>
        <v>-27559.817874014581</v>
      </c>
      <c r="E79" s="734">
        <f>'Rencana Pompa'!$F$6</f>
        <v>6480</v>
      </c>
      <c r="F79" s="735">
        <f t="shared" ref="F79:F101" si="9">C79+D79-E79</f>
        <v>-2560888.8545605666</v>
      </c>
    </row>
    <row r="80" spans="1:9" x14ac:dyDescent="0.3">
      <c r="A80" s="470">
        <v>382</v>
      </c>
      <c r="B80" s="722">
        <v>45307</v>
      </c>
      <c r="C80" s="733">
        <f t="shared" si="8"/>
        <v>-2560888.8545605666</v>
      </c>
      <c r="D80" s="734">
        <f>'Rencana Pompa'!$E$6</f>
        <v>-27559.817874014581</v>
      </c>
      <c r="E80" s="734">
        <f>'Rencana Pompa'!$F$6</f>
        <v>6480</v>
      </c>
      <c r="F80" s="735">
        <f t="shared" si="9"/>
        <v>-2594928.672434581</v>
      </c>
    </row>
    <row r="81" spans="1:6" x14ac:dyDescent="0.3">
      <c r="A81" s="470">
        <v>383</v>
      </c>
      <c r="B81" s="722">
        <v>45308</v>
      </c>
      <c r="C81" s="733">
        <f t="shared" si="8"/>
        <v>-2594928.672434581</v>
      </c>
      <c r="D81" s="734">
        <f>'Rencana Pompa'!$E$6</f>
        <v>-27559.817874014581</v>
      </c>
      <c r="E81" s="734">
        <f>'Rencana Pompa'!$F$6</f>
        <v>6480</v>
      </c>
      <c r="F81" s="735">
        <f t="shared" si="9"/>
        <v>-2628968.4903085954</v>
      </c>
    </row>
    <row r="82" spans="1:6" x14ac:dyDescent="0.3">
      <c r="A82" s="470">
        <v>384</v>
      </c>
      <c r="B82" s="722">
        <v>45309</v>
      </c>
      <c r="C82" s="733">
        <f t="shared" si="8"/>
        <v>-2628968.4903085954</v>
      </c>
      <c r="D82" s="734">
        <f>'Rencana Pompa'!$E$6</f>
        <v>-27559.817874014581</v>
      </c>
      <c r="E82" s="734">
        <f>'Rencana Pompa'!$F$6</f>
        <v>6480</v>
      </c>
      <c r="F82" s="735">
        <f t="shared" si="9"/>
        <v>-2663008.3081826097</v>
      </c>
    </row>
    <row r="83" spans="1:6" x14ac:dyDescent="0.3">
      <c r="A83" s="470">
        <v>385</v>
      </c>
      <c r="B83" s="722">
        <v>45310</v>
      </c>
      <c r="C83" s="733">
        <f t="shared" si="8"/>
        <v>-2663008.3081826097</v>
      </c>
      <c r="D83" s="734">
        <f>'Rencana Pompa'!$E$6</f>
        <v>-27559.817874014581</v>
      </c>
      <c r="E83" s="734">
        <f>'Rencana Pompa'!$F$6</f>
        <v>6480</v>
      </c>
      <c r="F83" s="735">
        <f t="shared" si="9"/>
        <v>-2697048.1260566241</v>
      </c>
    </row>
    <row r="84" spans="1:6" x14ac:dyDescent="0.3">
      <c r="A84" s="470">
        <v>386</v>
      </c>
      <c r="B84" s="722">
        <v>45311</v>
      </c>
      <c r="C84" s="733">
        <f t="shared" si="8"/>
        <v>-2697048.1260566241</v>
      </c>
      <c r="D84" s="734">
        <f>'Rencana Pompa'!$E$6</f>
        <v>-27559.817874014581</v>
      </c>
      <c r="E84" s="734">
        <f>'Rencana Pompa'!$F$6</f>
        <v>6480</v>
      </c>
      <c r="F84" s="735">
        <f t="shared" si="9"/>
        <v>-2731087.9439306385</v>
      </c>
    </row>
    <row r="85" spans="1:6" x14ac:dyDescent="0.3">
      <c r="A85" s="470">
        <v>387</v>
      </c>
      <c r="B85" s="722">
        <v>45312</v>
      </c>
      <c r="C85" s="733">
        <f t="shared" si="8"/>
        <v>-2731087.9439306385</v>
      </c>
      <c r="D85" s="734">
        <f>'Rencana Pompa'!$E$6</f>
        <v>-27559.817874014581</v>
      </c>
      <c r="E85" s="734">
        <f>'Rencana Pompa'!$F$6</f>
        <v>6480</v>
      </c>
      <c r="F85" s="735">
        <f t="shared" si="9"/>
        <v>-2765127.7618046529</v>
      </c>
    </row>
    <row r="86" spans="1:6" x14ac:dyDescent="0.3">
      <c r="A86" s="470">
        <v>388</v>
      </c>
      <c r="B86" s="722">
        <v>45313</v>
      </c>
      <c r="C86" s="733">
        <f t="shared" si="8"/>
        <v>-2765127.7618046529</v>
      </c>
      <c r="D86" s="734">
        <f>'Rencana Pompa'!$E$6</f>
        <v>-27559.817874014581</v>
      </c>
      <c r="E86" s="734">
        <f>'Rencana Pompa'!$F$6</f>
        <v>6480</v>
      </c>
      <c r="F86" s="735">
        <f t="shared" si="9"/>
        <v>-2799167.5796786672</v>
      </c>
    </row>
    <row r="87" spans="1:6" x14ac:dyDescent="0.3">
      <c r="A87" s="470">
        <v>389</v>
      </c>
      <c r="B87" s="722">
        <v>45314</v>
      </c>
      <c r="C87" s="733">
        <f t="shared" si="8"/>
        <v>-2799167.5796786672</v>
      </c>
      <c r="D87" s="734">
        <f>'Rencana Pompa'!$E$6</f>
        <v>-27559.817874014581</v>
      </c>
      <c r="E87" s="734">
        <f>'Rencana Pompa'!$F$6</f>
        <v>6480</v>
      </c>
      <c r="F87" s="735">
        <f t="shared" si="9"/>
        <v>-2833207.3975526816</v>
      </c>
    </row>
    <row r="88" spans="1:6" x14ac:dyDescent="0.3">
      <c r="A88" s="470">
        <v>390</v>
      </c>
      <c r="B88" s="722">
        <v>45315</v>
      </c>
      <c r="C88" s="733">
        <f t="shared" si="8"/>
        <v>-2833207.3975526816</v>
      </c>
      <c r="D88" s="734">
        <f>'Rencana Pompa'!$E$6</f>
        <v>-27559.817874014581</v>
      </c>
      <c r="E88" s="734">
        <f>'Rencana Pompa'!$F$6</f>
        <v>6480</v>
      </c>
      <c r="F88" s="735">
        <f t="shared" si="9"/>
        <v>-2867247.215426696</v>
      </c>
    </row>
    <row r="89" spans="1:6" x14ac:dyDescent="0.3">
      <c r="A89" s="470">
        <v>391</v>
      </c>
      <c r="B89" s="722">
        <v>45316</v>
      </c>
      <c r="C89" s="733">
        <f t="shared" si="8"/>
        <v>-2867247.215426696</v>
      </c>
      <c r="D89" s="734">
        <f>'Rencana Pompa'!$E$6</f>
        <v>-27559.817874014581</v>
      </c>
      <c r="E89" s="734">
        <f>'Rencana Pompa'!$F$6</f>
        <v>6480</v>
      </c>
      <c r="F89" s="735">
        <f t="shared" si="9"/>
        <v>-2901287.0333007104</v>
      </c>
    </row>
    <row r="90" spans="1:6" x14ac:dyDescent="0.3">
      <c r="A90" s="470">
        <v>392</v>
      </c>
      <c r="B90" s="722">
        <v>45317</v>
      </c>
      <c r="C90" s="733">
        <f t="shared" si="8"/>
        <v>-2901287.0333007104</v>
      </c>
      <c r="D90" s="734">
        <f>'Rencana Pompa'!$E$6</f>
        <v>-27559.817874014581</v>
      </c>
      <c r="E90" s="734">
        <f>'Rencana Pompa'!$F$6</f>
        <v>6480</v>
      </c>
      <c r="F90" s="735">
        <f t="shared" si="9"/>
        <v>-2935326.8511747248</v>
      </c>
    </row>
    <row r="91" spans="1:6" x14ac:dyDescent="0.3">
      <c r="A91" s="470">
        <v>393</v>
      </c>
      <c r="B91" s="722">
        <v>45318</v>
      </c>
      <c r="C91" s="733">
        <f t="shared" si="8"/>
        <v>-2935326.8511747248</v>
      </c>
      <c r="D91" s="734">
        <f>'Rencana Pompa'!$E$6</f>
        <v>-27559.817874014581</v>
      </c>
      <c r="E91" s="734">
        <f>'Rencana Pompa'!$F$6</f>
        <v>6480</v>
      </c>
      <c r="F91" s="735">
        <f t="shared" si="9"/>
        <v>-2969366.6690487391</v>
      </c>
    </row>
    <row r="92" spans="1:6" x14ac:dyDescent="0.3">
      <c r="A92" s="470">
        <v>394</v>
      </c>
      <c r="B92" s="722">
        <v>45319</v>
      </c>
      <c r="C92" s="733">
        <f t="shared" si="8"/>
        <v>-2969366.6690487391</v>
      </c>
      <c r="D92" s="734">
        <f>'Rencana Pompa'!$E$6</f>
        <v>-27559.817874014581</v>
      </c>
      <c r="E92" s="734">
        <f>'Rencana Pompa'!$F$6</f>
        <v>6480</v>
      </c>
      <c r="F92" s="735">
        <f t="shared" si="9"/>
        <v>-3003406.4869227535</v>
      </c>
    </row>
    <row r="93" spans="1:6" x14ac:dyDescent="0.3">
      <c r="A93" s="470">
        <v>395</v>
      </c>
      <c r="B93" s="722">
        <v>45320</v>
      </c>
      <c r="C93" s="733">
        <f t="shared" si="8"/>
        <v>-3003406.4869227535</v>
      </c>
      <c r="D93" s="734">
        <f>'Rencana Pompa'!$E$6</f>
        <v>-27559.817874014581</v>
      </c>
      <c r="E93" s="734">
        <f>'Rencana Pompa'!$F$6</f>
        <v>6480</v>
      </c>
      <c r="F93" s="735">
        <f t="shared" si="9"/>
        <v>-3037446.3047967679</v>
      </c>
    </row>
    <row r="94" spans="1:6" x14ac:dyDescent="0.3">
      <c r="A94" s="470">
        <v>396</v>
      </c>
      <c r="B94" s="722">
        <v>45321</v>
      </c>
      <c r="C94" s="733">
        <f t="shared" si="8"/>
        <v>-3037446.3047967679</v>
      </c>
      <c r="D94" s="734">
        <f>'Rencana Pompa'!$E$6</f>
        <v>-27559.817874014581</v>
      </c>
      <c r="E94" s="734">
        <f>'Rencana Pompa'!$F$6</f>
        <v>6480</v>
      </c>
      <c r="F94" s="735">
        <f t="shared" si="9"/>
        <v>-3071486.1226707823</v>
      </c>
    </row>
    <row r="95" spans="1:6" x14ac:dyDescent="0.3">
      <c r="A95" s="470">
        <v>397</v>
      </c>
      <c r="B95" s="722">
        <v>45322</v>
      </c>
      <c r="C95" s="733">
        <f t="shared" si="8"/>
        <v>-3071486.1226707823</v>
      </c>
      <c r="D95" s="734">
        <f>'Rencana Pompa'!$E$6</f>
        <v>-27559.817874014581</v>
      </c>
      <c r="E95" s="734">
        <f>'Rencana Pompa'!$F$6</f>
        <v>6480</v>
      </c>
      <c r="F95" s="735">
        <f t="shared" si="9"/>
        <v>-3105525.9405447966</v>
      </c>
    </row>
    <row r="96" spans="1:6" x14ac:dyDescent="0.3">
      <c r="A96" s="470">
        <v>398</v>
      </c>
      <c r="B96" s="722">
        <v>45323</v>
      </c>
      <c r="C96" s="733">
        <f t="shared" si="8"/>
        <v>-3105525.9405447966</v>
      </c>
      <c r="D96" s="734">
        <f>'Rencana Pompa'!$E$6</f>
        <v>-27559.817874014581</v>
      </c>
      <c r="E96" s="734">
        <f>'Rencana Pompa'!$F$6</f>
        <v>6480</v>
      </c>
      <c r="F96" s="735">
        <f t="shared" si="9"/>
        <v>-3139565.758418811</v>
      </c>
    </row>
    <row r="97" spans="1:6" x14ac:dyDescent="0.3">
      <c r="A97" s="470">
        <v>399</v>
      </c>
      <c r="B97" s="722">
        <v>45324</v>
      </c>
      <c r="C97" s="733">
        <f t="shared" si="8"/>
        <v>-3139565.758418811</v>
      </c>
      <c r="D97" s="734">
        <f>'Rencana Pompa'!$E$6</f>
        <v>-27559.817874014581</v>
      </c>
      <c r="E97" s="734">
        <f>'Rencana Pompa'!$F$6</f>
        <v>6480</v>
      </c>
      <c r="F97" s="735">
        <f t="shared" si="9"/>
        <v>-3173605.5762928254</v>
      </c>
    </row>
    <row r="98" spans="1:6" x14ac:dyDescent="0.3">
      <c r="A98" s="470">
        <v>400</v>
      </c>
      <c r="B98" s="722">
        <v>45325</v>
      </c>
      <c r="C98" s="733">
        <f t="shared" si="8"/>
        <v>-3173605.5762928254</v>
      </c>
      <c r="D98" s="734">
        <f>'Rencana Pompa'!$E$6</f>
        <v>-27559.817874014581</v>
      </c>
      <c r="E98" s="734">
        <f>'Rencana Pompa'!$F$6</f>
        <v>6480</v>
      </c>
      <c r="F98" s="735">
        <f t="shared" si="9"/>
        <v>-3207645.3941668398</v>
      </c>
    </row>
    <row r="99" spans="1:6" x14ac:dyDescent="0.3">
      <c r="A99" s="470">
        <v>401</v>
      </c>
      <c r="B99" s="722">
        <v>45326</v>
      </c>
      <c r="C99" s="733">
        <f t="shared" si="8"/>
        <v>-3207645.3941668398</v>
      </c>
      <c r="D99" s="734">
        <f>'Rencana Pompa'!$E$6</f>
        <v>-27559.817874014581</v>
      </c>
      <c r="E99" s="734">
        <f>'Rencana Pompa'!$F$6</f>
        <v>6480</v>
      </c>
      <c r="F99" s="735">
        <f t="shared" si="9"/>
        <v>-3241685.2120408542</v>
      </c>
    </row>
    <row r="100" spans="1:6" x14ac:dyDescent="0.3">
      <c r="A100" s="470">
        <v>402</v>
      </c>
      <c r="B100" s="722">
        <v>45327</v>
      </c>
      <c r="C100" s="733">
        <f t="shared" si="8"/>
        <v>-3241685.2120408542</v>
      </c>
      <c r="D100" s="734">
        <f>'Rencana Pompa'!$E$6</f>
        <v>-27559.817874014581</v>
      </c>
      <c r="E100" s="734">
        <f>'Rencana Pompa'!$F$6</f>
        <v>6480</v>
      </c>
      <c r="F100" s="735">
        <f t="shared" si="9"/>
        <v>-3275725.0299148685</v>
      </c>
    </row>
    <row r="101" spans="1:6" x14ac:dyDescent="0.3">
      <c r="A101" s="470">
        <v>403</v>
      </c>
      <c r="B101" s="722">
        <v>45328</v>
      </c>
      <c r="C101" s="733">
        <f t="shared" si="8"/>
        <v>-3275725.0299148685</v>
      </c>
      <c r="D101" s="734">
        <f>'Rencana Pompa'!$E$6</f>
        <v>-27559.817874014581</v>
      </c>
      <c r="E101" s="734">
        <f>'Rencana Pompa'!$F$6</f>
        <v>6480</v>
      </c>
      <c r="F101" s="735">
        <f t="shared" si="9"/>
        <v>-3309764.8477888829</v>
      </c>
    </row>
    <row r="102" spans="1:6" x14ac:dyDescent="0.3">
      <c r="A102" s="470">
        <v>404</v>
      </c>
      <c r="B102" s="722">
        <v>45329</v>
      </c>
      <c r="C102" s="733">
        <f t="shared" ref="C102:C105" si="10">F101</f>
        <v>-3309764.8477888829</v>
      </c>
      <c r="D102" s="734">
        <f>'Rencana Pompa'!$E$6</f>
        <v>-27559.817874014581</v>
      </c>
      <c r="E102" s="734">
        <f>'Rencana Pompa'!$F$6</f>
        <v>6480</v>
      </c>
      <c r="F102" s="735">
        <f t="shared" ref="F102:F105" si="11">C102+D102-E102</f>
        <v>-3343804.6656628973</v>
      </c>
    </row>
    <row r="103" spans="1:6" x14ac:dyDescent="0.3">
      <c r="A103" s="470">
        <v>405</v>
      </c>
      <c r="B103" s="722">
        <v>45330</v>
      </c>
      <c r="C103" s="733">
        <f t="shared" si="10"/>
        <v>-3343804.6656628973</v>
      </c>
      <c r="D103" s="734">
        <f>'Rencana Pompa'!$E$6</f>
        <v>-27559.817874014581</v>
      </c>
      <c r="E103" s="734">
        <f>'Rencana Pompa'!$F$6</f>
        <v>6480</v>
      </c>
      <c r="F103" s="735">
        <f t="shared" si="11"/>
        <v>-3377844.4835369117</v>
      </c>
    </row>
    <row r="104" spans="1:6" x14ac:dyDescent="0.3">
      <c r="A104" s="470">
        <v>406</v>
      </c>
      <c r="B104" s="722">
        <v>45331</v>
      </c>
      <c r="C104" s="733">
        <f t="shared" si="10"/>
        <v>-3377844.4835369117</v>
      </c>
      <c r="D104" s="734">
        <f>'Rencana Pompa'!$E$6</f>
        <v>-27559.817874014581</v>
      </c>
      <c r="E104" s="734">
        <f>'Rencana Pompa'!$F$6</f>
        <v>6480</v>
      </c>
      <c r="F104" s="735">
        <f t="shared" si="11"/>
        <v>-3411884.301410926</v>
      </c>
    </row>
    <row r="105" spans="1:6" x14ac:dyDescent="0.3">
      <c r="A105" s="470">
        <v>407</v>
      </c>
      <c r="B105" s="722">
        <v>45332</v>
      </c>
      <c r="C105" s="733">
        <f t="shared" si="10"/>
        <v>-3411884.301410926</v>
      </c>
      <c r="D105" s="734">
        <f>'Rencana Pompa'!$E$6</f>
        <v>-27559.817874014581</v>
      </c>
      <c r="E105" s="734">
        <f>'Rencana Pompa'!$F$6</f>
        <v>6480</v>
      </c>
      <c r="F105" s="735">
        <f t="shared" si="11"/>
        <v>-3445924.1192849404</v>
      </c>
    </row>
    <row r="106" spans="1:6" x14ac:dyDescent="0.3">
      <c r="A106" s="470">
        <v>408</v>
      </c>
      <c r="B106" s="722">
        <v>45333</v>
      </c>
      <c r="C106" s="733">
        <f t="shared" ref="C106:C145" si="12">F105</f>
        <v>-3445924.1192849404</v>
      </c>
      <c r="D106" s="734">
        <f>'Rencana Pompa'!$E$6</f>
        <v>-27559.817874014581</v>
      </c>
      <c r="E106" s="734">
        <f>'Rencana Pompa'!$F$6</f>
        <v>6480</v>
      </c>
      <c r="F106" s="735">
        <f t="shared" ref="F106:F145" si="13">C106+D106-E106</f>
        <v>-3479963.9371589548</v>
      </c>
    </row>
    <row r="107" spans="1:6" x14ac:dyDescent="0.3">
      <c r="A107" s="470">
        <v>409</v>
      </c>
      <c r="B107" s="722">
        <v>45334</v>
      </c>
      <c r="C107" s="733">
        <f t="shared" si="12"/>
        <v>-3479963.9371589548</v>
      </c>
      <c r="D107" s="734">
        <f>'Rencana Pompa'!$E$6</f>
        <v>-27559.817874014581</v>
      </c>
      <c r="E107" s="734">
        <f>'Rencana Pompa'!$F$6</f>
        <v>6480</v>
      </c>
      <c r="F107" s="735">
        <f t="shared" si="13"/>
        <v>-3514003.7550329692</v>
      </c>
    </row>
    <row r="108" spans="1:6" x14ac:dyDescent="0.3">
      <c r="A108" s="470">
        <v>410</v>
      </c>
      <c r="B108" s="722">
        <v>45335</v>
      </c>
      <c r="C108" s="733">
        <f t="shared" si="12"/>
        <v>-3514003.7550329692</v>
      </c>
      <c r="D108" s="734">
        <f>'Rencana Pompa'!$E$6</f>
        <v>-27559.817874014581</v>
      </c>
      <c r="E108" s="734">
        <f>'Rencana Pompa'!$F$6</f>
        <v>6480</v>
      </c>
      <c r="F108" s="735">
        <f t="shared" si="13"/>
        <v>-3548043.5729069836</v>
      </c>
    </row>
    <row r="109" spans="1:6" x14ac:dyDescent="0.3">
      <c r="A109" s="470">
        <v>411</v>
      </c>
      <c r="B109" s="722">
        <v>45336</v>
      </c>
      <c r="C109" s="733">
        <f t="shared" si="12"/>
        <v>-3548043.5729069836</v>
      </c>
      <c r="D109" s="734">
        <f>'Rencana Pompa'!$E$6</f>
        <v>-27559.817874014581</v>
      </c>
      <c r="E109" s="734">
        <f>'Rencana Pompa'!$F$6</f>
        <v>6480</v>
      </c>
      <c r="F109" s="735">
        <f t="shared" si="13"/>
        <v>-3582083.3907809979</v>
      </c>
    </row>
    <row r="110" spans="1:6" x14ac:dyDescent="0.3">
      <c r="A110" s="470">
        <v>412</v>
      </c>
      <c r="B110" s="722">
        <v>45337</v>
      </c>
      <c r="C110" s="733">
        <f t="shared" si="12"/>
        <v>-3582083.3907809979</v>
      </c>
      <c r="D110" s="734">
        <f>'Rencana Pompa'!$E$6</f>
        <v>-27559.817874014581</v>
      </c>
      <c r="E110" s="734">
        <f>'Rencana Pompa'!$F$6</f>
        <v>6480</v>
      </c>
      <c r="F110" s="735">
        <f t="shared" si="13"/>
        <v>-3616123.2086550123</v>
      </c>
    </row>
    <row r="111" spans="1:6" x14ac:dyDescent="0.3">
      <c r="A111" s="470">
        <v>413</v>
      </c>
      <c r="B111" s="722">
        <v>45338</v>
      </c>
      <c r="C111" s="733">
        <f t="shared" si="12"/>
        <v>-3616123.2086550123</v>
      </c>
      <c r="D111" s="734">
        <f>'Rencana Pompa'!$E$6</f>
        <v>-27559.817874014581</v>
      </c>
      <c r="E111" s="734">
        <f>'Rencana Pompa'!$F$6</f>
        <v>6480</v>
      </c>
      <c r="F111" s="735">
        <f t="shared" si="13"/>
        <v>-3650163.0265290267</v>
      </c>
    </row>
    <row r="112" spans="1:6" x14ac:dyDescent="0.3">
      <c r="A112" s="470">
        <v>414</v>
      </c>
      <c r="B112" s="722">
        <v>45339</v>
      </c>
      <c r="C112" s="733">
        <f t="shared" si="12"/>
        <v>-3650163.0265290267</v>
      </c>
      <c r="D112" s="734">
        <f>'Rencana Pompa'!$E$6</f>
        <v>-27559.817874014581</v>
      </c>
      <c r="E112" s="734">
        <f>'Rencana Pompa'!$F$6</f>
        <v>6480</v>
      </c>
      <c r="F112" s="735">
        <f t="shared" si="13"/>
        <v>-3684202.8444030411</v>
      </c>
    </row>
    <row r="113" spans="1:6" x14ac:dyDescent="0.3">
      <c r="A113" s="470">
        <v>415</v>
      </c>
      <c r="B113" s="722">
        <v>45340</v>
      </c>
      <c r="C113" s="733">
        <f t="shared" si="12"/>
        <v>-3684202.8444030411</v>
      </c>
      <c r="D113" s="734">
        <f>'Rencana Pompa'!$E$6</f>
        <v>-27559.817874014581</v>
      </c>
      <c r="E113" s="734">
        <f>'Rencana Pompa'!$F$6</f>
        <v>6480</v>
      </c>
      <c r="F113" s="735">
        <f t="shared" si="13"/>
        <v>-3718242.6622770554</v>
      </c>
    </row>
    <row r="114" spans="1:6" x14ac:dyDescent="0.3">
      <c r="A114" s="470">
        <v>416</v>
      </c>
      <c r="B114" s="722">
        <v>45341</v>
      </c>
      <c r="C114" s="733">
        <f t="shared" si="12"/>
        <v>-3718242.6622770554</v>
      </c>
      <c r="D114" s="734">
        <f>'Rencana Pompa'!$E$6</f>
        <v>-27559.817874014581</v>
      </c>
      <c r="E114" s="734">
        <f>'Rencana Pompa'!$F$6</f>
        <v>6480</v>
      </c>
      <c r="F114" s="735">
        <f t="shared" si="13"/>
        <v>-3752282.4801510698</v>
      </c>
    </row>
    <row r="115" spans="1:6" x14ac:dyDescent="0.3">
      <c r="A115" s="470">
        <v>417</v>
      </c>
      <c r="B115" s="722">
        <v>45342</v>
      </c>
      <c r="C115" s="733">
        <f t="shared" si="12"/>
        <v>-3752282.4801510698</v>
      </c>
      <c r="D115" s="734">
        <f>'Rencana Pompa'!$E$6</f>
        <v>-27559.817874014581</v>
      </c>
      <c r="E115" s="734">
        <f>'Rencana Pompa'!$F$6</f>
        <v>6480</v>
      </c>
      <c r="F115" s="735">
        <f t="shared" si="13"/>
        <v>-3786322.2980250842</v>
      </c>
    </row>
    <row r="116" spans="1:6" x14ac:dyDescent="0.3">
      <c r="A116" s="470">
        <v>418</v>
      </c>
      <c r="B116" s="722">
        <v>45343</v>
      </c>
      <c r="C116" s="733">
        <f t="shared" si="12"/>
        <v>-3786322.2980250842</v>
      </c>
      <c r="D116" s="734">
        <f>'Rencana Pompa'!$E$6</f>
        <v>-27559.817874014581</v>
      </c>
      <c r="E116" s="734">
        <f>'Rencana Pompa'!$F$6</f>
        <v>6480</v>
      </c>
      <c r="F116" s="735">
        <f t="shared" si="13"/>
        <v>-3820362.1158990986</v>
      </c>
    </row>
    <row r="117" spans="1:6" x14ac:dyDescent="0.3">
      <c r="A117" s="470">
        <v>419</v>
      </c>
      <c r="B117" s="722">
        <v>45344</v>
      </c>
      <c r="C117" s="733">
        <f t="shared" si="12"/>
        <v>-3820362.1158990986</v>
      </c>
      <c r="D117" s="734">
        <f>'Rencana Pompa'!$E$6</f>
        <v>-27559.817874014581</v>
      </c>
      <c r="E117" s="734">
        <f>'Rencana Pompa'!$F$6</f>
        <v>6480</v>
      </c>
      <c r="F117" s="735">
        <f t="shared" si="13"/>
        <v>-3854401.9337731129</v>
      </c>
    </row>
    <row r="118" spans="1:6" x14ac:dyDescent="0.3">
      <c r="A118" s="470">
        <v>420</v>
      </c>
      <c r="B118" s="722">
        <v>45345</v>
      </c>
      <c r="C118" s="733">
        <f t="shared" si="12"/>
        <v>-3854401.9337731129</v>
      </c>
      <c r="D118" s="734">
        <f>'Rencana Pompa'!$E$6</f>
        <v>-27559.817874014581</v>
      </c>
      <c r="E118" s="734">
        <f>'Rencana Pompa'!$F$6</f>
        <v>6480</v>
      </c>
      <c r="F118" s="735">
        <f t="shared" si="13"/>
        <v>-3888441.7516471273</v>
      </c>
    </row>
    <row r="119" spans="1:6" x14ac:dyDescent="0.3">
      <c r="A119" s="470">
        <v>421</v>
      </c>
      <c r="B119" s="722">
        <v>45346</v>
      </c>
      <c r="C119" s="733">
        <f t="shared" si="12"/>
        <v>-3888441.7516471273</v>
      </c>
      <c r="D119" s="734">
        <f>'Rencana Pompa'!$E$6</f>
        <v>-27559.817874014581</v>
      </c>
      <c r="E119" s="734">
        <f>'Rencana Pompa'!$F$6</f>
        <v>6480</v>
      </c>
      <c r="F119" s="735">
        <f t="shared" si="13"/>
        <v>-3922481.5695211417</v>
      </c>
    </row>
    <row r="120" spans="1:6" x14ac:dyDescent="0.3">
      <c r="A120" s="470">
        <v>422</v>
      </c>
      <c r="B120" s="722">
        <v>45347</v>
      </c>
      <c r="C120" s="733">
        <f t="shared" si="12"/>
        <v>-3922481.5695211417</v>
      </c>
      <c r="D120" s="734">
        <f>'Rencana Pompa'!$E$6</f>
        <v>-27559.817874014581</v>
      </c>
      <c r="E120" s="734">
        <f>'Rencana Pompa'!$F$6</f>
        <v>6480</v>
      </c>
      <c r="F120" s="735">
        <f t="shared" si="13"/>
        <v>-3956521.3873951561</v>
      </c>
    </row>
    <row r="121" spans="1:6" x14ac:dyDescent="0.3">
      <c r="A121" s="470">
        <v>423</v>
      </c>
      <c r="B121" s="722">
        <v>45348</v>
      </c>
      <c r="C121" s="733">
        <f t="shared" si="12"/>
        <v>-3956521.3873951561</v>
      </c>
      <c r="D121" s="734">
        <f>'Rencana Pompa'!$E$6</f>
        <v>-27559.817874014581</v>
      </c>
      <c r="E121" s="734">
        <f>'Rencana Pompa'!$F$6</f>
        <v>6480</v>
      </c>
      <c r="F121" s="735">
        <f t="shared" si="13"/>
        <v>-3990561.2052691705</v>
      </c>
    </row>
    <row r="122" spans="1:6" x14ac:dyDescent="0.3">
      <c r="A122" s="470">
        <v>424</v>
      </c>
      <c r="B122" s="722">
        <v>45349</v>
      </c>
      <c r="C122" s="733">
        <f t="shared" si="12"/>
        <v>-3990561.2052691705</v>
      </c>
      <c r="D122" s="734">
        <f>'Rencana Pompa'!$E$6</f>
        <v>-27559.817874014581</v>
      </c>
      <c r="E122" s="734">
        <f>'Rencana Pompa'!$F$6</f>
        <v>6480</v>
      </c>
      <c r="F122" s="735">
        <f t="shared" si="13"/>
        <v>-4024601.0231431848</v>
      </c>
    </row>
    <row r="123" spans="1:6" x14ac:dyDescent="0.3">
      <c r="A123" s="470">
        <v>425</v>
      </c>
      <c r="B123" s="722">
        <v>45350</v>
      </c>
      <c r="C123" s="733">
        <f t="shared" si="12"/>
        <v>-4024601.0231431848</v>
      </c>
      <c r="D123" s="734">
        <f>'Rencana Pompa'!$E$6</f>
        <v>-27559.817874014581</v>
      </c>
      <c r="E123" s="734">
        <f>'Rencana Pompa'!$F$6</f>
        <v>6480</v>
      </c>
      <c r="F123" s="735">
        <f t="shared" si="13"/>
        <v>-4058640.8410171992</v>
      </c>
    </row>
    <row r="124" spans="1:6" x14ac:dyDescent="0.3">
      <c r="A124" s="470">
        <v>426</v>
      </c>
      <c r="B124" s="722">
        <v>45351</v>
      </c>
      <c r="C124" s="733">
        <f t="shared" si="12"/>
        <v>-4058640.8410171992</v>
      </c>
      <c r="D124" s="734">
        <f>'Rencana Pompa'!$E$6</f>
        <v>-27559.817874014581</v>
      </c>
      <c r="E124" s="734">
        <f>'Rencana Pompa'!$F$6</f>
        <v>6480</v>
      </c>
      <c r="F124" s="735">
        <f t="shared" si="13"/>
        <v>-4092680.6588912136</v>
      </c>
    </row>
    <row r="125" spans="1:6" x14ac:dyDescent="0.3">
      <c r="A125" s="470">
        <v>427</v>
      </c>
      <c r="B125" s="722">
        <v>45352</v>
      </c>
      <c r="C125" s="733">
        <f t="shared" si="12"/>
        <v>-4092680.6588912136</v>
      </c>
      <c r="D125" s="734">
        <f>'Rencana Pompa'!$E$6</f>
        <v>-27559.817874014581</v>
      </c>
      <c r="E125" s="734">
        <f>'Rencana Pompa'!$F$6</f>
        <v>6480</v>
      </c>
      <c r="F125" s="735">
        <f t="shared" si="13"/>
        <v>-4126720.476765228</v>
      </c>
    </row>
    <row r="126" spans="1:6" x14ac:dyDescent="0.3">
      <c r="A126" s="470">
        <v>428</v>
      </c>
      <c r="B126" s="722">
        <v>45353</v>
      </c>
      <c r="C126" s="733">
        <f t="shared" si="12"/>
        <v>-4126720.476765228</v>
      </c>
      <c r="D126" s="734">
        <f>'Rencana Pompa'!$E$6</f>
        <v>-27559.817874014581</v>
      </c>
      <c r="E126" s="734">
        <f>'Rencana Pompa'!$F$6</f>
        <v>6480</v>
      </c>
      <c r="F126" s="735">
        <f t="shared" si="13"/>
        <v>-4160760.2946392423</v>
      </c>
    </row>
    <row r="127" spans="1:6" x14ac:dyDescent="0.3">
      <c r="A127" s="470">
        <v>429</v>
      </c>
      <c r="B127" s="722">
        <v>45354</v>
      </c>
      <c r="C127" s="733">
        <f t="shared" si="12"/>
        <v>-4160760.2946392423</v>
      </c>
      <c r="D127" s="734">
        <f>'Rencana Pompa'!$E$6</f>
        <v>-27559.817874014581</v>
      </c>
      <c r="E127" s="734">
        <f>'Rencana Pompa'!$F$6</f>
        <v>6480</v>
      </c>
      <c r="F127" s="735">
        <f t="shared" si="13"/>
        <v>-4194800.1125132572</v>
      </c>
    </row>
    <row r="128" spans="1:6" x14ac:dyDescent="0.3">
      <c r="A128" s="470">
        <v>430</v>
      </c>
      <c r="B128" s="722">
        <v>45355</v>
      </c>
      <c r="C128" s="733">
        <f t="shared" si="12"/>
        <v>-4194800.1125132572</v>
      </c>
      <c r="D128" s="734">
        <f>'Rencana Pompa'!$E$6</f>
        <v>-27559.817874014581</v>
      </c>
      <c r="E128" s="734">
        <f>'Rencana Pompa'!$F$6</f>
        <v>6480</v>
      </c>
      <c r="F128" s="735">
        <f t="shared" si="13"/>
        <v>-4228839.9303872716</v>
      </c>
    </row>
    <row r="129" spans="1:6" x14ac:dyDescent="0.3">
      <c r="A129" s="470">
        <v>431</v>
      </c>
      <c r="B129" s="722">
        <v>45356</v>
      </c>
      <c r="C129" s="733">
        <f t="shared" si="12"/>
        <v>-4228839.9303872716</v>
      </c>
      <c r="D129" s="734">
        <f>'Rencana Pompa'!$E$6</f>
        <v>-27559.817874014581</v>
      </c>
      <c r="E129" s="734">
        <f>'Rencana Pompa'!$F$6</f>
        <v>6480</v>
      </c>
      <c r="F129" s="735">
        <f t="shared" si="13"/>
        <v>-4262879.7482612859</v>
      </c>
    </row>
    <row r="130" spans="1:6" x14ac:dyDescent="0.3">
      <c r="A130" s="470">
        <v>432</v>
      </c>
      <c r="B130" s="722">
        <v>45357</v>
      </c>
      <c r="C130" s="733">
        <f t="shared" si="12"/>
        <v>-4262879.7482612859</v>
      </c>
      <c r="D130" s="734">
        <f>'Rencana Pompa'!$E$6</f>
        <v>-27559.817874014581</v>
      </c>
      <c r="E130" s="734">
        <f>'Rencana Pompa'!$F$6</f>
        <v>6480</v>
      </c>
      <c r="F130" s="735">
        <f t="shared" si="13"/>
        <v>-4296919.5661353003</v>
      </c>
    </row>
    <row r="131" spans="1:6" x14ac:dyDescent="0.3">
      <c r="A131" s="470">
        <v>433</v>
      </c>
      <c r="B131" s="722">
        <v>45358</v>
      </c>
      <c r="C131" s="733">
        <f t="shared" si="12"/>
        <v>-4296919.5661353003</v>
      </c>
      <c r="D131" s="734">
        <f>'Rencana Pompa'!$E$6</f>
        <v>-27559.817874014581</v>
      </c>
      <c r="E131" s="734">
        <f>'Rencana Pompa'!$F$6</f>
        <v>6480</v>
      </c>
      <c r="F131" s="735">
        <f t="shared" si="13"/>
        <v>-4330959.3840093147</v>
      </c>
    </row>
    <row r="132" spans="1:6" x14ac:dyDescent="0.3">
      <c r="A132" s="470">
        <v>434</v>
      </c>
      <c r="B132" s="722">
        <v>45359</v>
      </c>
      <c r="C132" s="733">
        <f t="shared" si="12"/>
        <v>-4330959.3840093147</v>
      </c>
      <c r="D132" s="734">
        <f>'Rencana Pompa'!$E$6</f>
        <v>-27559.817874014581</v>
      </c>
      <c r="E132" s="734">
        <f>'Rencana Pompa'!$F$6</f>
        <v>6480</v>
      </c>
      <c r="F132" s="735">
        <f t="shared" si="13"/>
        <v>-4364999.2018833291</v>
      </c>
    </row>
    <row r="133" spans="1:6" x14ac:dyDescent="0.3">
      <c r="A133" s="470">
        <v>435</v>
      </c>
      <c r="B133" s="722">
        <v>45360</v>
      </c>
      <c r="C133" s="733">
        <f t="shared" si="12"/>
        <v>-4364999.2018833291</v>
      </c>
      <c r="D133" s="734">
        <f>'Rencana Pompa'!$E$6</f>
        <v>-27559.817874014581</v>
      </c>
      <c r="E133" s="734">
        <f>'Rencana Pompa'!$F$6</f>
        <v>6480</v>
      </c>
      <c r="F133" s="735">
        <f t="shared" si="13"/>
        <v>-4399039.0197573435</v>
      </c>
    </row>
    <row r="134" spans="1:6" x14ac:dyDescent="0.3">
      <c r="A134" s="470">
        <v>436</v>
      </c>
      <c r="B134" s="722">
        <v>45361</v>
      </c>
      <c r="C134" s="733">
        <f t="shared" si="12"/>
        <v>-4399039.0197573435</v>
      </c>
      <c r="D134" s="734">
        <f>'Rencana Pompa'!$E$6</f>
        <v>-27559.817874014581</v>
      </c>
      <c r="E134" s="734">
        <f>'Rencana Pompa'!$F$6</f>
        <v>6480</v>
      </c>
      <c r="F134" s="735">
        <f t="shared" si="13"/>
        <v>-4433078.8376313578</v>
      </c>
    </row>
    <row r="135" spans="1:6" x14ac:dyDescent="0.3">
      <c r="A135" s="470">
        <v>437</v>
      </c>
      <c r="B135" s="722">
        <v>45362</v>
      </c>
      <c r="C135" s="733">
        <f t="shared" si="12"/>
        <v>-4433078.8376313578</v>
      </c>
      <c r="D135" s="734">
        <f>'Rencana Pompa'!$E$6</f>
        <v>-27559.817874014581</v>
      </c>
      <c r="E135" s="734">
        <f>'Rencana Pompa'!$F$6</f>
        <v>6480</v>
      </c>
      <c r="F135" s="735">
        <f t="shared" si="13"/>
        <v>-4467118.6555053722</v>
      </c>
    </row>
    <row r="136" spans="1:6" x14ac:dyDescent="0.3">
      <c r="A136" s="470">
        <v>438</v>
      </c>
      <c r="B136" s="722">
        <v>45363</v>
      </c>
      <c r="C136" s="733">
        <f t="shared" si="12"/>
        <v>-4467118.6555053722</v>
      </c>
      <c r="D136" s="734">
        <f>'Rencana Pompa'!$E$6</f>
        <v>-27559.817874014581</v>
      </c>
      <c r="E136" s="734">
        <f>'Rencana Pompa'!$F$6</f>
        <v>6480</v>
      </c>
      <c r="F136" s="735">
        <f t="shared" si="13"/>
        <v>-4501158.4733793866</v>
      </c>
    </row>
    <row r="137" spans="1:6" x14ac:dyDescent="0.3">
      <c r="A137" s="470">
        <v>439</v>
      </c>
      <c r="B137" s="722">
        <v>45364</v>
      </c>
      <c r="C137" s="733">
        <f t="shared" si="12"/>
        <v>-4501158.4733793866</v>
      </c>
      <c r="D137" s="734">
        <f>'Rencana Pompa'!$E$6</f>
        <v>-27559.817874014581</v>
      </c>
      <c r="E137" s="734">
        <f>'Rencana Pompa'!$F$6</f>
        <v>6480</v>
      </c>
      <c r="F137" s="735">
        <f t="shared" si="13"/>
        <v>-4535198.291253401</v>
      </c>
    </row>
    <row r="138" spans="1:6" x14ac:dyDescent="0.3">
      <c r="A138" s="470">
        <v>440</v>
      </c>
      <c r="B138" s="722">
        <v>45365</v>
      </c>
      <c r="C138" s="733">
        <f t="shared" si="12"/>
        <v>-4535198.291253401</v>
      </c>
      <c r="D138" s="734">
        <f>'Rencana Pompa'!$E$6</f>
        <v>-27559.817874014581</v>
      </c>
      <c r="E138" s="734">
        <f>'Rencana Pompa'!$F$6</f>
        <v>6480</v>
      </c>
      <c r="F138" s="735">
        <f t="shared" si="13"/>
        <v>-4569238.1091274153</v>
      </c>
    </row>
    <row r="139" spans="1:6" x14ac:dyDescent="0.3">
      <c r="A139" s="470">
        <v>441</v>
      </c>
      <c r="B139" s="722">
        <v>45366</v>
      </c>
      <c r="C139" s="733">
        <f t="shared" si="12"/>
        <v>-4569238.1091274153</v>
      </c>
      <c r="D139" s="734">
        <f>'Rencana Pompa'!$E$6</f>
        <v>-27559.817874014581</v>
      </c>
      <c r="E139" s="734">
        <f>'Rencana Pompa'!$F$6</f>
        <v>6480</v>
      </c>
      <c r="F139" s="735">
        <f t="shared" si="13"/>
        <v>-4603277.9270014297</v>
      </c>
    </row>
    <row r="140" spans="1:6" x14ac:dyDescent="0.3">
      <c r="A140" s="470">
        <v>442</v>
      </c>
      <c r="B140" s="722">
        <v>45367</v>
      </c>
      <c r="C140" s="733">
        <f t="shared" si="12"/>
        <v>-4603277.9270014297</v>
      </c>
      <c r="D140" s="734">
        <f>'Rencana Pompa'!$E$6</f>
        <v>-27559.817874014581</v>
      </c>
      <c r="E140" s="734">
        <f>'Rencana Pompa'!$F$6</f>
        <v>6480</v>
      </c>
      <c r="F140" s="735">
        <f t="shared" si="13"/>
        <v>-4637317.7448754441</v>
      </c>
    </row>
    <row r="141" spans="1:6" x14ac:dyDescent="0.3">
      <c r="A141" s="470">
        <v>443</v>
      </c>
      <c r="B141" s="722">
        <v>45368</v>
      </c>
      <c r="C141" s="733">
        <f t="shared" si="12"/>
        <v>-4637317.7448754441</v>
      </c>
      <c r="D141" s="734">
        <f>'Rencana Pompa'!$E$6</f>
        <v>-27559.817874014581</v>
      </c>
      <c r="E141" s="734">
        <f>'Rencana Pompa'!$F$6</f>
        <v>6480</v>
      </c>
      <c r="F141" s="735">
        <f t="shared" si="13"/>
        <v>-4671357.5627494585</v>
      </c>
    </row>
    <row r="142" spans="1:6" x14ac:dyDescent="0.3">
      <c r="A142" s="470">
        <v>444</v>
      </c>
      <c r="B142" s="722">
        <v>45369</v>
      </c>
      <c r="C142" s="733">
        <f t="shared" si="12"/>
        <v>-4671357.5627494585</v>
      </c>
      <c r="D142" s="734">
        <f>'Rencana Pompa'!$E$6</f>
        <v>-27559.817874014581</v>
      </c>
      <c r="E142" s="734">
        <f>'Rencana Pompa'!$F$6</f>
        <v>6480</v>
      </c>
      <c r="F142" s="735">
        <f t="shared" si="13"/>
        <v>-4705397.3806234729</v>
      </c>
    </row>
    <row r="143" spans="1:6" x14ac:dyDescent="0.3">
      <c r="A143" s="470">
        <v>445</v>
      </c>
      <c r="B143" s="722">
        <v>45370</v>
      </c>
      <c r="C143" s="733">
        <f t="shared" si="12"/>
        <v>-4705397.3806234729</v>
      </c>
      <c r="D143" s="734">
        <f>'Rencana Pompa'!$E$6</f>
        <v>-27559.817874014581</v>
      </c>
      <c r="E143" s="734">
        <f>'Rencana Pompa'!$F$6</f>
        <v>6480</v>
      </c>
      <c r="F143" s="735">
        <f t="shared" si="13"/>
        <v>-4739437.1984974872</v>
      </c>
    </row>
    <row r="144" spans="1:6" x14ac:dyDescent="0.3">
      <c r="A144" s="470">
        <v>446</v>
      </c>
      <c r="B144" s="722">
        <v>45371</v>
      </c>
      <c r="C144" s="733">
        <f t="shared" si="12"/>
        <v>-4739437.1984974872</v>
      </c>
      <c r="D144" s="734">
        <f>'Rencana Pompa'!$E$6</f>
        <v>-27559.817874014581</v>
      </c>
      <c r="E144" s="734">
        <f>'Rencana Pompa'!$F$6</f>
        <v>6480</v>
      </c>
      <c r="F144" s="735">
        <f t="shared" si="13"/>
        <v>-4773477.0163715016</v>
      </c>
    </row>
    <row r="145" spans="1:6" x14ac:dyDescent="0.3">
      <c r="A145" s="470">
        <v>447</v>
      </c>
      <c r="B145" s="722">
        <v>45372</v>
      </c>
      <c r="C145" s="733">
        <f t="shared" si="12"/>
        <v>-4773477.0163715016</v>
      </c>
      <c r="D145" s="734">
        <f>'Rencana Pompa'!$E$6</f>
        <v>-27559.817874014581</v>
      </c>
      <c r="E145" s="734">
        <f>'Rencana Pompa'!$F$6</f>
        <v>6480</v>
      </c>
      <c r="F145" s="735">
        <f t="shared" si="13"/>
        <v>-4807516.834245516</v>
      </c>
    </row>
    <row r="146" spans="1:6" x14ac:dyDescent="0.3">
      <c r="A146" s="470">
        <v>448</v>
      </c>
      <c r="B146" s="722">
        <v>45373</v>
      </c>
      <c r="C146" s="733">
        <f t="shared" ref="C146:C209" si="14">F145</f>
        <v>-4807516.834245516</v>
      </c>
      <c r="D146" s="734">
        <f>'Rencana Pompa'!$E$6</f>
        <v>-27559.817874014581</v>
      </c>
      <c r="E146" s="734">
        <f>'Rencana Pompa'!$F$6</f>
        <v>6480</v>
      </c>
      <c r="F146" s="735">
        <f t="shared" ref="F146:F209" si="15">C146+D146-E146</f>
        <v>-4841556.6521195304</v>
      </c>
    </row>
    <row r="147" spans="1:6" x14ac:dyDescent="0.3">
      <c r="A147" s="470">
        <v>449</v>
      </c>
      <c r="B147" s="722">
        <v>45374</v>
      </c>
      <c r="C147" s="733">
        <f t="shared" si="14"/>
        <v>-4841556.6521195304</v>
      </c>
      <c r="D147" s="734">
        <f>'Rencana Pompa'!$E$6</f>
        <v>-27559.817874014581</v>
      </c>
      <c r="E147" s="734">
        <f>'Rencana Pompa'!$F$6</f>
        <v>6480</v>
      </c>
      <c r="F147" s="735">
        <f t="shared" si="15"/>
        <v>-4875596.4699935447</v>
      </c>
    </row>
    <row r="148" spans="1:6" x14ac:dyDescent="0.3">
      <c r="A148" s="470">
        <v>450</v>
      </c>
      <c r="B148" s="722">
        <v>45375</v>
      </c>
      <c r="C148" s="733">
        <f t="shared" si="14"/>
        <v>-4875596.4699935447</v>
      </c>
      <c r="D148" s="734">
        <f>'Rencana Pompa'!$E$6</f>
        <v>-27559.817874014581</v>
      </c>
      <c r="E148" s="734">
        <f>'Rencana Pompa'!$F$6</f>
        <v>6480</v>
      </c>
      <c r="F148" s="735">
        <f t="shared" si="15"/>
        <v>-4909636.2878675591</v>
      </c>
    </row>
    <row r="149" spans="1:6" x14ac:dyDescent="0.3">
      <c r="A149" s="470">
        <v>451</v>
      </c>
      <c r="B149" s="722">
        <v>45376</v>
      </c>
      <c r="C149" s="733">
        <f t="shared" si="14"/>
        <v>-4909636.2878675591</v>
      </c>
      <c r="D149" s="734">
        <f>'Rencana Pompa'!$E$6</f>
        <v>-27559.817874014581</v>
      </c>
      <c r="E149" s="734">
        <f>'Rencana Pompa'!$F$6</f>
        <v>6480</v>
      </c>
      <c r="F149" s="735">
        <f t="shared" si="15"/>
        <v>-4943676.1057415735</v>
      </c>
    </row>
    <row r="150" spans="1:6" x14ac:dyDescent="0.3">
      <c r="A150" s="470">
        <v>452</v>
      </c>
      <c r="B150" s="722">
        <v>45377</v>
      </c>
      <c r="C150" s="733">
        <f t="shared" si="14"/>
        <v>-4943676.1057415735</v>
      </c>
      <c r="D150" s="734">
        <f>'Rencana Pompa'!$E$6</f>
        <v>-27559.817874014581</v>
      </c>
      <c r="E150" s="734">
        <f>'Rencana Pompa'!$F$6</f>
        <v>6480</v>
      </c>
      <c r="F150" s="735">
        <f t="shared" si="15"/>
        <v>-4977715.9236155879</v>
      </c>
    </row>
    <row r="151" spans="1:6" x14ac:dyDescent="0.3">
      <c r="A151" s="470">
        <v>453</v>
      </c>
      <c r="B151" s="722">
        <v>45378</v>
      </c>
      <c r="C151" s="733">
        <f t="shared" si="14"/>
        <v>-4977715.9236155879</v>
      </c>
      <c r="D151" s="734">
        <f>'Rencana Pompa'!$E$6</f>
        <v>-27559.817874014581</v>
      </c>
      <c r="E151" s="734">
        <f>'Rencana Pompa'!$F$6</f>
        <v>6480</v>
      </c>
      <c r="F151" s="735">
        <f t="shared" si="15"/>
        <v>-5011755.7414896023</v>
      </c>
    </row>
    <row r="152" spans="1:6" x14ac:dyDescent="0.3">
      <c r="A152" s="470">
        <v>454</v>
      </c>
      <c r="B152" s="722">
        <v>45379</v>
      </c>
      <c r="C152" s="733">
        <f t="shared" si="14"/>
        <v>-5011755.7414896023</v>
      </c>
      <c r="D152" s="734">
        <f>'Rencana Pompa'!$E$6</f>
        <v>-27559.817874014581</v>
      </c>
      <c r="E152" s="734">
        <f>'Rencana Pompa'!$F$6</f>
        <v>6480</v>
      </c>
      <c r="F152" s="735">
        <f t="shared" si="15"/>
        <v>-5045795.5593636166</v>
      </c>
    </row>
    <row r="153" spans="1:6" x14ac:dyDescent="0.3">
      <c r="A153" s="470">
        <v>455</v>
      </c>
      <c r="B153" s="722">
        <v>45380</v>
      </c>
      <c r="C153" s="733">
        <f t="shared" si="14"/>
        <v>-5045795.5593636166</v>
      </c>
      <c r="D153" s="734">
        <f>'Rencana Pompa'!$E$6</f>
        <v>-27559.817874014581</v>
      </c>
      <c r="E153" s="734">
        <f>'Rencana Pompa'!$F$6</f>
        <v>6480</v>
      </c>
      <c r="F153" s="735">
        <f t="shared" si="15"/>
        <v>-5079835.377237631</v>
      </c>
    </row>
    <row r="154" spans="1:6" x14ac:dyDescent="0.3">
      <c r="A154" s="470">
        <v>456</v>
      </c>
      <c r="B154" s="722">
        <v>45381</v>
      </c>
      <c r="C154" s="733">
        <f t="shared" si="14"/>
        <v>-5079835.377237631</v>
      </c>
      <c r="D154" s="734">
        <f>'Rencana Pompa'!$E$6</f>
        <v>-27559.817874014581</v>
      </c>
      <c r="E154" s="734">
        <f>'Rencana Pompa'!$F$6</f>
        <v>6480</v>
      </c>
      <c r="F154" s="735">
        <f t="shared" si="15"/>
        <v>-5113875.1951116454</v>
      </c>
    </row>
    <row r="155" spans="1:6" x14ac:dyDescent="0.3">
      <c r="A155" s="470">
        <v>457</v>
      </c>
      <c r="B155" s="722">
        <v>45382</v>
      </c>
      <c r="C155" s="733">
        <f t="shared" si="14"/>
        <v>-5113875.1951116454</v>
      </c>
      <c r="D155" s="734">
        <f>'Rencana Pompa'!$E$6</f>
        <v>-27559.817874014581</v>
      </c>
      <c r="E155" s="734">
        <f>'Rencana Pompa'!$F$6</f>
        <v>6480</v>
      </c>
      <c r="F155" s="735">
        <f t="shared" si="15"/>
        <v>-5147915.0129856598</v>
      </c>
    </row>
    <row r="156" spans="1:6" x14ac:dyDescent="0.3">
      <c r="A156" s="470">
        <v>458</v>
      </c>
      <c r="B156" s="722">
        <v>45383</v>
      </c>
      <c r="C156" s="733">
        <f t="shared" si="14"/>
        <v>-5147915.0129856598</v>
      </c>
      <c r="D156" s="734">
        <f>'Rencana Pompa'!$E$6</f>
        <v>-27559.817874014581</v>
      </c>
      <c r="E156" s="734">
        <f>'Rencana Pompa'!$F$6</f>
        <v>6480</v>
      </c>
      <c r="F156" s="735">
        <f t="shared" si="15"/>
        <v>-5181954.8308596741</v>
      </c>
    </row>
    <row r="157" spans="1:6" x14ac:dyDescent="0.3">
      <c r="A157" s="470">
        <v>459</v>
      </c>
      <c r="B157" s="722">
        <v>45384</v>
      </c>
      <c r="C157" s="733">
        <f t="shared" si="14"/>
        <v>-5181954.8308596741</v>
      </c>
      <c r="D157" s="734">
        <f>'Rencana Pompa'!$E$6</f>
        <v>-27559.817874014581</v>
      </c>
      <c r="E157" s="734">
        <f>'Rencana Pompa'!$F$6</f>
        <v>6480</v>
      </c>
      <c r="F157" s="735">
        <f t="shared" si="15"/>
        <v>-5215994.6487336885</v>
      </c>
    </row>
    <row r="158" spans="1:6" x14ac:dyDescent="0.3">
      <c r="A158" s="470">
        <v>460</v>
      </c>
      <c r="B158" s="722">
        <v>45385</v>
      </c>
      <c r="C158" s="733">
        <f t="shared" si="14"/>
        <v>-5215994.6487336885</v>
      </c>
      <c r="D158" s="734">
        <f>'Rencana Pompa'!$E$6</f>
        <v>-27559.817874014581</v>
      </c>
      <c r="E158" s="734">
        <f>'Rencana Pompa'!$F$6</f>
        <v>6480</v>
      </c>
      <c r="F158" s="735">
        <f t="shared" si="15"/>
        <v>-5250034.4666077029</v>
      </c>
    </row>
    <row r="159" spans="1:6" x14ac:dyDescent="0.3">
      <c r="A159" s="470">
        <v>461</v>
      </c>
      <c r="B159" s="722">
        <v>45386</v>
      </c>
      <c r="C159" s="733">
        <f t="shared" si="14"/>
        <v>-5250034.4666077029</v>
      </c>
      <c r="D159" s="734">
        <f>'Rencana Pompa'!$E$6</f>
        <v>-27559.817874014581</v>
      </c>
      <c r="E159" s="734">
        <f>'Rencana Pompa'!$F$6</f>
        <v>6480</v>
      </c>
      <c r="F159" s="735">
        <f t="shared" si="15"/>
        <v>-5284074.2844817173</v>
      </c>
    </row>
    <row r="160" spans="1:6" x14ac:dyDescent="0.3">
      <c r="A160" s="470">
        <v>462</v>
      </c>
      <c r="B160" s="722">
        <v>45387</v>
      </c>
      <c r="C160" s="733">
        <f t="shared" si="14"/>
        <v>-5284074.2844817173</v>
      </c>
      <c r="D160" s="734">
        <f>'Rencana Pompa'!$E$6</f>
        <v>-27559.817874014581</v>
      </c>
      <c r="E160" s="734">
        <f>'Rencana Pompa'!$F$6</f>
        <v>6480</v>
      </c>
      <c r="F160" s="735">
        <f t="shared" si="15"/>
        <v>-5318114.1023557317</v>
      </c>
    </row>
    <row r="161" spans="1:6" x14ac:dyDescent="0.3">
      <c r="A161" s="470">
        <v>463</v>
      </c>
      <c r="B161" s="722">
        <v>45388</v>
      </c>
      <c r="C161" s="733">
        <f t="shared" si="14"/>
        <v>-5318114.1023557317</v>
      </c>
      <c r="D161" s="734">
        <f>'Rencana Pompa'!$E$6</f>
        <v>-27559.817874014581</v>
      </c>
      <c r="E161" s="734">
        <f>'Rencana Pompa'!$F$6</f>
        <v>6480</v>
      </c>
      <c r="F161" s="735">
        <f t="shared" si="15"/>
        <v>-5352153.920229746</v>
      </c>
    </row>
    <row r="162" spans="1:6" x14ac:dyDescent="0.3">
      <c r="A162" s="470">
        <v>464</v>
      </c>
      <c r="B162" s="722">
        <v>45389</v>
      </c>
      <c r="C162" s="733">
        <f t="shared" si="14"/>
        <v>-5352153.920229746</v>
      </c>
      <c r="D162" s="734">
        <f>'Rencana Pompa'!$E$6</f>
        <v>-27559.817874014581</v>
      </c>
      <c r="E162" s="734">
        <f>'Rencana Pompa'!$F$6</f>
        <v>6480</v>
      </c>
      <c r="F162" s="735">
        <f t="shared" si="15"/>
        <v>-5386193.7381037604</v>
      </c>
    </row>
    <row r="163" spans="1:6" x14ac:dyDescent="0.3">
      <c r="A163" s="470">
        <v>465</v>
      </c>
      <c r="B163" s="722">
        <v>45390</v>
      </c>
      <c r="C163" s="733">
        <f t="shared" si="14"/>
        <v>-5386193.7381037604</v>
      </c>
      <c r="D163" s="734">
        <f>'Rencana Pompa'!$E$6</f>
        <v>-27559.817874014581</v>
      </c>
      <c r="E163" s="734">
        <f>'Rencana Pompa'!$F$6</f>
        <v>6480</v>
      </c>
      <c r="F163" s="735">
        <f t="shared" si="15"/>
        <v>-5420233.5559777748</v>
      </c>
    </row>
    <row r="164" spans="1:6" x14ac:dyDescent="0.3">
      <c r="A164" s="470">
        <v>466</v>
      </c>
      <c r="B164" s="722">
        <v>45391</v>
      </c>
      <c r="C164" s="733">
        <f t="shared" si="14"/>
        <v>-5420233.5559777748</v>
      </c>
      <c r="D164" s="734">
        <f>'Rencana Pompa'!$E$6</f>
        <v>-27559.817874014581</v>
      </c>
      <c r="E164" s="734">
        <f>'Rencana Pompa'!$F$6</f>
        <v>6480</v>
      </c>
      <c r="F164" s="735">
        <f t="shared" si="15"/>
        <v>-5454273.3738517892</v>
      </c>
    </row>
    <row r="165" spans="1:6" x14ac:dyDescent="0.3">
      <c r="A165" s="470">
        <v>467</v>
      </c>
      <c r="B165" s="722">
        <v>45392</v>
      </c>
      <c r="C165" s="733">
        <f t="shared" si="14"/>
        <v>-5454273.3738517892</v>
      </c>
      <c r="D165" s="734">
        <f>'Rencana Pompa'!$E$6</f>
        <v>-27559.817874014581</v>
      </c>
      <c r="E165" s="734">
        <f>'Rencana Pompa'!$F$6</f>
        <v>6480</v>
      </c>
      <c r="F165" s="735">
        <f t="shared" si="15"/>
        <v>-5488313.1917258035</v>
      </c>
    </row>
    <row r="166" spans="1:6" x14ac:dyDescent="0.3">
      <c r="A166" s="470">
        <v>468</v>
      </c>
      <c r="B166" s="722">
        <v>45393</v>
      </c>
      <c r="C166" s="733">
        <f t="shared" si="14"/>
        <v>-5488313.1917258035</v>
      </c>
      <c r="D166" s="734">
        <f>'Rencana Pompa'!$E$6</f>
        <v>-27559.817874014581</v>
      </c>
      <c r="E166" s="734">
        <f>'Rencana Pompa'!$F$6</f>
        <v>6480</v>
      </c>
      <c r="F166" s="735">
        <f t="shared" si="15"/>
        <v>-5522353.0095998179</v>
      </c>
    </row>
    <row r="167" spans="1:6" x14ac:dyDescent="0.3">
      <c r="A167" s="470">
        <v>469</v>
      </c>
      <c r="B167" s="722">
        <v>45394</v>
      </c>
      <c r="C167" s="733">
        <f t="shared" si="14"/>
        <v>-5522353.0095998179</v>
      </c>
      <c r="D167" s="734">
        <f>'Rencana Pompa'!$E$6</f>
        <v>-27559.817874014581</v>
      </c>
      <c r="E167" s="734">
        <f>'Rencana Pompa'!$F$6</f>
        <v>6480</v>
      </c>
      <c r="F167" s="735">
        <f t="shared" si="15"/>
        <v>-5556392.8274738323</v>
      </c>
    </row>
    <row r="168" spans="1:6" x14ac:dyDescent="0.3">
      <c r="A168" s="470">
        <v>470</v>
      </c>
      <c r="B168" s="722">
        <v>45395</v>
      </c>
      <c r="C168" s="733">
        <f t="shared" si="14"/>
        <v>-5556392.8274738323</v>
      </c>
      <c r="D168" s="734">
        <f>'Rencana Pompa'!$E$6</f>
        <v>-27559.817874014581</v>
      </c>
      <c r="E168" s="734">
        <f>'Rencana Pompa'!$F$6</f>
        <v>6480</v>
      </c>
      <c r="F168" s="735">
        <f t="shared" si="15"/>
        <v>-5590432.6453478467</v>
      </c>
    </row>
    <row r="169" spans="1:6" x14ac:dyDescent="0.3">
      <c r="A169" s="470">
        <v>471</v>
      </c>
      <c r="B169" s="722">
        <v>45396</v>
      </c>
      <c r="C169" s="733">
        <f t="shared" si="14"/>
        <v>-5590432.6453478467</v>
      </c>
      <c r="D169" s="734">
        <f>'Rencana Pompa'!$E$6</f>
        <v>-27559.817874014581</v>
      </c>
      <c r="E169" s="734">
        <f>'Rencana Pompa'!$F$6</f>
        <v>6480</v>
      </c>
      <c r="F169" s="735">
        <f t="shared" si="15"/>
        <v>-5624472.463221861</v>
      </c>
    </row>
    <row r="170" spans="1:6" x14ac:dyDescent="0.3">
      <c r="A170" s="470">
        <v>472</v>
      </c>
      <c r="B170" s="722">
        <v>45397</v>
      </c>
      <c r="C170" s="733">
        <f t="shared" si="14"/>
        <v>-5624472.463221861</v>
      </c>
      <c r="D170" s="734">
        <f>'Rencana Pompa'!$E$6</f>
        <v>-27559.817874014581</v>
      </c>
      <c r="E170" s="734">
        <f>'Rencana Pompa'!$F$6</f>
        <v>6480</v>
      </c>
      <c r="F170" s="735">
        <f t="shared" si="15"/>
        <v>-5658512.2810958754</v>
      </c>
    </row>
    <row r="171" spans="1:6" x14ac:dyDescent="0.3">
      <c r="A171" s="470">
        <v>473</v>
      </c>
      <c r="B171" s="722">
        <v>45398</v>
      </c>
      <c r="C171" s="733">
        <f t="shared" si="14"/>
        <v>-5658512.2810958754</v>
      </c>
      <c r="D171" s="734">
        <f>'Rencana Pompa'!$E$6</f>
        <v>-27559.817874014581</v>
      </c>
      <c r="E171" s="734">
        <f>'Rencana Pompa'!$F$6</f>
        <v>6480</v>
      </c>
      <c r="F171" s="735">
        <f t="shared" si="15"/>
        <v>-5692552.0989698898</v>
      </c>
    </row>
    <row r="172" spans="1:6" x14ac:dyDescent="0.3">
      <c r="A172" s="470">
        <v>474</v>
      </c>
      <c r="B172" s="722">
        <v>45399</v>
      </c>
      <c r="C172" s="733">
        <f t="shared" si="14"/>
        <v>-5692552.0989698898</v>
      </c>
      <c r="D172" s="734">
        <f>'Rencana Pompa'!$E$6</f>
        <v>-27559.817874014581</v>
      </c>
      <c r="E172" s="734">
        <f>'Rencana Pompa'!$F$6</f>
        <v>6480</v>
      </c>
      <c r="F172" s="735">
        <f t="shared" si="15"/>
        <v>-5726591.9168439042</v>
      </c>
    </row>
    <row r="173" spans="1:6" x14ac:dyDescent="0.3">
      <c r="A173" s="470">
        <v>475</v>
      </c>
      <c r="B173" s="722">
        <v>45400</v>
      </c>
      <c r="C173" s="733">
        <f t="shared" si="14"/>
        <v>-5726591.9168439042</v>
      </c>
      <c r="D173" s="734">
        <f>'Rencana Pompa'!$E$6</f>
        <v>-27559.817874014581</v>
      </c>
      <c r="E173" s="734">
        <f>'Rencana Pompa'!$F$6</f>
        <v>6480</v>
      </c>
      <c r="F173" s="735">
        <f t="shared" si="15"/>
        <v>-5760631.7347179186</v>
      </c>
    </row>
    <row r="174" spans="1:6" x14ac:dyDescent="0.3">
      <c r="A174" s="470">
        <v>476</v>
      </c>
      <c r="B174" s="722">
        <v>45401</v>
      </c>
      <c r="C174" s="733">
        <f t="shared" si="14"/>
        <v>-5760631.7347179186</v>
      </c>
      <c r="D174" s="734">
        <f>'Rencana Pompa'!$E$6</f>
        <v>-27559.817874014581</v>
      </c>
      <c r="E174" s="734">
        <f>'Rencana Pompa'!$F$6</f>
        <v>6480</v>
      </c>
      <c r="F174" s="735">
        <f t="shared" si="15"/>
        <v>-5794671.5525919329</v>
      </c>
    </row>
    <row r="175" spans="1:6" x14ac:dyDescent="0.3">
      <c r="A175" s="470">
        <v>477</v>
      </c>
      <c r="B175" s="722">
        <v>45402</v>
      </c>
      <c r="C175" s="733">
        <f t="shared" si="14"/>
        <v>-5794671.5525919329</v>
      </c>
      <c r="D175" s="734">
        <f>'Rencana Pompa'!$E$6</f>
        <v>-27559.817874014581</v>
      </c>
      <c r="E175" s="734">
        <f>'Rencana Pompa'!$F$6</f>
        <v>6480</v>
      </c>
      <c r="F175" s="735">
        <f t="shared" si="15"/>
        <v>-5828711.3704659473</v>
      </c>
    </row>
    <row r="176" spans="1:6" x14ac:dyDescent="0.3">
      <c r="A176" s="470">
        <v>478</v>
      </c>
      <c r="B176" s="722">
        <v>45403</v>
      </c>
      <c r="C176" s="733">
        <f t="shared" si="14"/>
        <v>-5828711.3704659473</v>
      </c>
      <c r="D176" s="734">
        <f>'Rencana Pompa'!$E$6</f>
        <v>-27559.817874014581</v>
      </c>
      <c r="E176" s="734">
        <f>'Rencana Pompa'!$F$6</f>
        <v>6480</v>
      </c>
      <c r="F176" s="735">
        <f t="shared" si="15"/>
        <v>-5862751.1883399617</v>
      </c>
    </row>
    <row r="177" spans="1:6" x14ac:dyDescent="0.3">
      <c r="A177" s="470">
        <v>479</v>
      </c>
      <c r="B177" s="722">
        <v>45404</v>
      </c>
      <c r="C177" s="733">
        <f t="shared" si="14"/>
        <v>-5862751.1883399617</v>
      </c>
      <c r="D177" s="734">
        <f>'Rencana Pompa'!$E$6</f>
        <v>-27559.817874014581</v>
      </c>
      <c r="E177" s="734">
        <f>'Rencana Pompa'!$F$6</f>
        <v>6480</v>
      </c>
      <c r="F177" s="735">
        <f t="shared" si="15"/>
        <v>-5896791.0062139761</v>
      </c>
    </row>
    <row r="178" spans="1:6" x14ac:dyDescent="0.3">
      <c r="A178" s="470">
        <v>480</v>
      </c>
      <c r="B178" s="722">
        <v>45405</v>
      </c>
      <c r="C178" s="733">
        <f t="shared" si="14"/>
        <v>-5896791.0062139761</v>
      </c>
      <c r="D178" s="734">
        <f>'Rencana Pompa'!$E$6</f>
        <v>-27559.817874014581</v>
      </c>
      <c r="E178" s="734">
        <f>'Rencana Pompa'!$F$6</f>
        <v>6480</v>
      </c>
      <c r="F178" s="735">
        <f t="shared" si="15"/>
        <v>-5930830.8240879904</v>
      </c>
    </row>
    <row r="179" spans="1:6" x14ac:dyDescent="0.3">
      <c r="A179" s="470">
        <v>481</v>
      </c>
      <c r="B179" s="722">
        <v>45406</v>
      </c>
      <c r="C179" s="733">
        <f t="shared" si="14"/>
        <v>-5930830.8240879904</v>
      </c>
      <c r="D179" s="734">
        <f>'Rencana Pompa'!$E$6</f>
        <v>-27559.817874014581</v>
      </c>
      <c r="E179" s="734">
        <f>'Rencana Pompa'!$F$6</f>
        <v>6480</v>
      </c>
      <c r="F179" s="735">
        <f t="shared" si="15"/>
        <v>-5964870.6419620048</v>
      </c>
    </row>
    <row r="180" spans="1:6" x14ac:dyDescent="0.3">
      <c r="A180" s="470">
        <v>482</v>
      </c>
      <c r="B180" s="722">
        <v>45407</v>
      </c>
      <c r="C180" s="733">
        <f t="shared" si="14"/>
        <v>-5964870.6419620048</v>
      </c>
      <c r="D180" s="734">
        <f>'Rencana Pompa'!$E$6</f>
        <v>-27559.817874014581</v>
      </c>
      <c r="E180" s="734">
        <f>'Rencana Pompa'!$F$6</f>
        <v>6480</v>
      </c>
      <c r="F180" s="735">
        <f t="shared" si="15"/>
        <v>-5998910.4598360192</v>
      </c>
    </row>
    <row r="181" spans="1:6" x14ac:dyDescent="0.3">
      <c r="A181" s="470">
        <v>483</v>
      </c>
      <c r="B181" s="722">
        <v>45408</v>
      </c>
      <c r="C181" s="733">
        <f t="shared" si="14"/>
        <v>-5998910.4598360192</v>
      </c>
      <c r="D181" s="734">
        <f>'Rencana Pompa'!$E$6</f>
        <v>-27559.817874014581</v>
      </c>
      <c r="E181" s="734">
        <f>'Rencana Pompa'!$F$6</f>
        <v>6480</v>
      </c>
      <c r="F181" s="735">
        <f t="shared" si="15"/>
        <v>-6032950.2777100336</v>
      </c>
    </row>
    <row r="182" spans="1:6" x14ac:dyDescent="0.3">
      <c r="A182" s="470">
        <v>484</v>
      </c>
      <c r="B182" s="722">
        <v>45409</v>
      </c>
      <c r="C182" s="733">
        <f t="shared" si="14"/>
        <v>-6032950.2777100336</v>
      </c>
      <c r="D182" s="734">
        <f>'Rencana Pompa'!$E$6</f>
        <v>-27559.817874014581</v>
      </c>
      <c r="E182" s="734">
        <f>'Rencana Pompa'!$F$6</f>
        <v>6480</v>
      </c>
      <c r="F182" s="735">
        <f t="shared" si="15"/>
        <v>-6066990.095584048</v>
      </c>
    </row>
    <row r="183" spans="1:6" x14ac:dyDescent="0.3">
      <c r="A183" s="470">
        <v>485</v>
      </c>
      <c r="B183" s="722">
        <v>45410</v>
      </c>
      <c r="C183" s="733">
        <f t="shared" si="14"/>
        <v>-6066990.095584048</v>
      </c>
      <c r="D183" s="734">
        <f>'Rencana Pompa'!$E$6</f>
        <v>-27559.817874014581</v>
      </c>
      <c r="E183" s="734">
        <f>'Rencana Pompa'!$F$6</f>
        <v>6480</v>
      </c>
      <c r="F183" s="735">
        <f t="shared" si="15"/>
        <v>-6101029.9134580623</v>
      </c>
    </row>
    <row r="184" spans="1:6" x14ac:dyDescent="0.3">
      <c r="A184" s="470">
        <v>486</v>
      </c>
      <c r="B184" s="722">
        <v>45411</v>
      </c>
      <c r="C184" s="733">
        <f t="shared" si="14"/>
        <v>-6101029.9134580623</v>
      </c>
      <c r="D184" s="734">
        <f>'Rencana Pompa'!$E$6</f>
        <v>-27559.817874014581</v>
      </c>
      <c r="E184" s="734">
        <f>'Rencana Pompa'!$F$6</f>
        <v>6480</v>
      </c>
      <c r="F184" s="735">
        <f t="shared" si="15"/>
        <v>-6135069.7313320767</v>
      </c>
    </row>
    <row r="185" spans="1:6" x14ac:dyDescent="0.3">
      <c r="A185" s="470">
        <v>487</v>
      </c>
      <c r="B185" s="722">
        <v>45412</v>
      </c>
      <c r="C185" s="733">
        <f t="shared" si="14"/>
        <v>-6135069.7313320767</v>
      </c>
      <c r="D185" s="734">
        <f>'Rencana Pompa'!$E$6</f>
        <v>-27559.817874014581</v>
      </c>
      <c r="E185" s="734">
        <f>'Rencana Pompa'!$F$6</f>
        <v>6480</v>
      </c>
      <c r="F185" s="735">
        <f t="shared" si="15"/>
        <v>-6169109.5492060911</v>
      </c>
    </row>
    <row r="186" spans="1:6" x14ac:dyDescent="0.3">
      <c r="A186" s="470">
        <v>488</v>
      </c>
      <c r="B186" s="722">
        <v>45413</v>
      </c>
      <c r="C186" s="733">
        <f t="shared" si="14"/>
        <v>-6169109.5492060911</v>
      </c>
      <c r="D186" s="734">
        <f>'Rencana Pompa'!$E$6</f>
        <v>-27559.817874014581</v>
      </c>
      <c r="E186" s="734">
        <f>'Rencana Pompa'!$F$6</f>
        <v>6480</v>
      </c>
      <c r="F186" s="735">
        <f t="shared" si="15"/>
        <v>-6203149.3670801055</v>
      </c>
    </row>
    <row r="187" spans="1:6" x14ac:dyDescent="0.3">
      <c r="A187" s="470">
        <v>489</v>
      </c>
      <c r="B187" s="722">
        <v>45414</v>
      </c>
      <c r="C187" s="733">
        <f t="shared" si="14"/>
        <v>-6203149.3670801055</v>
      </c>
      <c r="D187" s="734">
        <f>'Rencana Pompa'!$E$6</f>
        <v>-27559.817874014581</v>
      </c>
      <c r="E187" s="734">
        <f>'Rencana Pompa'!$F$6</f>
        <v>6480</v>
      </c>
      <c r="F187" s="735">
        <f t="shared" si="15"/>
        <v>-6237189.1849541198</v>
      </c>
    </row>
    <row r="188" spans="1:6" x14ac:dyDescent="0.3">
      <c r="A188" s="470">
        <v>490</v>
      </c>
      <c r="B188" s="722">
        <v>45415</v>
      </c>
      <c r="C188" s="733">
        <f t="shared" si="14"/>
        <v>-6237189.1849541198</v>
      </c>
      <c r="D188" s="734">
        <f>'Rencana Pompa'!$E$6</f>
        <v>-27559.817874014581</v>
      </c>
      <c r="E188" s="734">
        <f>'Rencana Pompa'!$F$6</f>
        <v>6480</v>
      </c>
      <c r="F188" s="735">
        <f t="shared" si="15"/>
        <v>-6271229.0028281342</v>
      </c>
    </row>
    <row r="189" spans="1:6" x14ac:dyDescent="0.3">
      <c r="A189" s="470">
        <v>491</v>
      </c>
      <c r="B189" s="722">
        <v>45416</v>
      </c>
      <c r="C189" s="733">
        <f t="shared" si="14"/>
        <v>-6271229.0028281342</v>
      </c>
      <c r="D189" s="734">
        <f>'Rencana Pompa'!$E$6</f>
        <v>-27559.817874014581</v>
      </c>
      <c r="E189" s="734">
        <f>'Rencana Pompa'!$F$6</f>
        <v>6480</v>
      </c>
      <c r="F189" s="735">
        <f t="shared" si="15"/>
        <v>-6305268.8207021486</v>
      </c>
    </row>
    <row r="190" spans="1:6" x14ac:dyDescent="0.3">
      <c r="A190" s="470">
        <v>492</v>
      </c>
      <c r="B190" s="722">
        <v>45417</v>
      </c>
      <c r="C190" s="733">
        <f t="shared" si="14"/>
        <v>-6305268.8207021486</v>
      </c>
      <c r="D190" s="734">
        <f>'Rencana Pompa'!$E$6</f>
        <v>-27559.817874014581</v>
      </c>
      <c r="E190" s="734">
        <f>'Rencana Pompa'!$F$6</f>
        <v>6480</v>
      </c>
      <c r="F190" s="735">
        <f t="shared" si="15"/>
        <v>-6339308.638576163</v>
      </c>
    </row>
    <row r="191" spans="1:6" x14ac:dyDescent="0.3">
      <c r="A191" s="470">
        <v>493</v>
      </c>
      <c r="B191" s="722">
        <v>45418</v>
      </c>
      <c r="C191" s="733">
        <f t="shared" si="14"/>
        <v>-6339308.638576163</v>
      </c>
      <c r="D191" s="734">
        <f>'Rencana Pompa'!$E$6</f>
        <v>-27559.817874014581</v>
      </c>
      <c r="E191" s="734">
        <f>'Rencana Pompa'!$F$6</f>
        <v>6480</v>
      </c>
      <c r="F191" s="735">
        <f t="shared" si="15"/>
        <v>-6373348.4564501774</v>
      </c>
    </row>
    <row r="192" spans="1:6" x14ac:dyDescent="0.3">
      <c r="A192" s="470">
        <v>494</v>
      </c>
      <c r="B192" s="722">
        <v>45419</v>
      </c>
      <c r="C192" s="733">
        <f t="shared" si="14"/>
        <v>-6373348.4564501774</v>
      </c>
      <c r="D192" s="734">
        <f>'Rencana Pompa'!$E$6</f>
        <v>-27559.817874014581</v>
      </c>
      <c r="E192" s="734">
        <f>'Rencana Pompa'!$F$6</f>
        <v>6480</v>
      </c>
      <c r="F192" s="735">
        <f t="shared" si="15"/>
        <v>-6407388.2743241917</v>
      </c>
    </row>
    <row r="193" spans="1:6" x14ac:dyDescent="0.3">
      <c r="A193" s="470">
        <v>495</v>
      </c>
      <c r="B193" s="722">
        <v>45420</v>
      </c>
      <c r="C193" s="733">
        <f t="shared" si="14"/>
        <v>-6407388.2743241917</v>
      </c>
      <c r="D193" s="734">
        <f>'Rencana Pompa'!$E$6</f>
        <v>-27559.817874014581</v>
      </c>
      <c r="E193" s="734">
        <f>'Rencana Pompa'!$F$6</f>
        <v>6480</v>
      </c>
      <c r="F193" s="735">
        <f t="shared" si="15"/>
        <v>-6441428.0921982061</v>
      </c>
    </row>
    <row r="194" spans="1:6" x14ac:dyDescent="0.3">
      <c r="A194" s="470">
        <v>496</v>
      </c>
      <c r="B194" s="722">
        <v>45421</v>
      </c>
      <c r="C194" s="733">
        <f t="shared" si="14"/>
        <v>-6441428.0921982061</v>
      </c>
      <c r="D194" s="734">
        <f>'Rencana Pompa'!$E$6</f>
        <v>-27559.817874014581</v>
      </c>
      <c r="E194" s="734">
        <f>'Rencana Pompa'!$F$6</f>
        <v>6480</v>
      </c>
      <c r="F194" s="735">
        <f t="shared" si="15"/>
        <v>-6475467.9100722205</v>
      </c>
    </row>
    <row r="195" spans="1:6" x14ac:dyDescent="0.3">
      <c r="A195" s="470">
        <v>497</v>
      </c>
      <c r="B195" s="722">
        <v>45422</v>
      </c>
      <c r="C195" s="733">
        <f t="shared" si="14"/>
        <v>-6475467.9100722205</v>
      </c>
      <c r="D195" s="734">
        <f>'Rencana Pompa'!$E$6</f>
        <v>-27559.817874014581</v>
      </c>
      <c r="E195" s="734">
        <f>'Rencana Pompa'!$F$6</f>
        <v>6480</v>
      </c>
      <c r="F195" s="735">
        <f t="shared" si="15"/>
        <v>-6509507.7279462349</v>
      </c>
    </row>
    <row r="196" spans="1:6" x14ac:dyDescent="0.3">
      <c r="A196" s="470">
        <v>498</v>
      </c>
      <c r="B196" s="722">
        <v>45423</v>
      </c>
      <c r="C196" s="733">
        <f t="shared" si="14"/>
        <v>-6509507.7279462349</v>
      </c>
      <c r="D196" s="734">
        <f>'Rencana Pompa'!$E$6</f>
        <v>-27559.817874014581</v>
      </c>
      <c r="E196" s="734">
        <f>'Rencana Pompa'!$F$6</f>
        <v>6480</v>
      </c>
      <c r="F196" s="735">
        <f t="shared" si="15"/>
        <v>-6543547.5458202492</v>
      </c>
    </row>
    <row r="197" spans="1:6" x14ac:dyDescent="0.3">
      <c r="A197" s="470">
        <v>499</v>
      </c>
      <c r="B197" s="722">
        <v>45424</v>
      </c>
      <c r="C197" s="733">
        <f t="shared" si="14"/>
        <v>-6543547.5458202492</v>
      </c>
      <c r="D197" s="734">
        <f>'Rencana Pompa'!$E$6</f>
        <v>-27559.817874014581</v>
      </c>
      <c r="E197" s="734">
        <f>'Rencana Pompa'!$F$6</f>
        <v>6480</v>
      </c>
      <c r="F197" s="735">
        <f t="shared" si="15"/>
        <v>-6577587.3636942636</v>
      </c>
    </row>
    <row r="198" spans="1:6" x14ac:dyDescent="0.3">
      <c r="A198" s="470">
        <v>500</v>
      </c>
      <c r="B198" s="722">
        <v>45425</v>
      </c>
      <c r="C198" s="733">
        <f t="shared" si="14"/>
        <v>-6577587.3636942636</v>
      </c>
      <c r="D198" s="734">
        <f>'Rencana Pompa'!$E$6</f>
        <v>-27559.817874014581</v>
      </c>
      <c r="E198" s="734">
        <f>'Rencana Pompa'!$F$6</f>
        <v>6480</v>
      </c>
      <c r="F198" s="735">
        <f t="shared" si="15"/>
        <v>-6611627.181568278</v>
      </c>
    </row>
    <row r="199" spans="1:6" x14ac:dyDescent="0.3">
      <c r="A199" s="470">
        <v>501</v>
      </c>
      <c r="B199" s="722">
        <v>45426</v>
      </c>
      <c r="C199" s="733">
        <f t="shared" si="14"/>
        <v>-6611627.181568278</v>
      </c>
      <c r="D199" s="734">
        <f>'Rencana Pompa'!$E$6</f>
        <v>-27559.817874014581</v>
      </c>
      <c r="E199" s="734">
        <f>'Rencana Pompa'!$F$6</f>
        <v>6480</v>
      </c>
      <c r="F199" s="735">
        <f t="shared" si="15"/>
        <v>-6645666.9994422924</v>
      </c>
    </row>
    <row r="200" spans="1:6" x14ac:dyDescent="0.3">
      <c r="A200" s="470">
        <v>502</v>
      </c>
      <c r="B200" s="722">
        <v>45427</v>
      </c>
      <c r="C200" s="733">
        <f t="shared" si="14"/>
        <v>-6645666.9994422924</v>
      </c>
      <c r="D200" s="734">
        <f>'Rencana Pompa'!$E$6</f>
        <v>-27559.817874014581</v>
      </c>
      <c r="E200" s="734">
        <f>'Rencana Pompa'!$F$6</f>
        <v>6480</v>
      </c>
      <c r="F200" s="735">
        <f t="shared" si="15"/>
        <v>-6679706.8173163068</v>
      </c>
    </row>
    <row r="201" spans="1:6" x14ac:dyDescent="0.3">
      <c r="A201" s="470">
        <v>503</v>
      </c>
      <c r="B201" s="722">
        <v>45428</v>
      </c>
      <c r="C201" s="733">
        <f t="shared" si="14"/>
        <v>-6679706.8173163068</v>
      </c>
      <c r="D201" s="734">
        <f>'Rencana Pompa'!$E$6</f>
        <v>-27559.817874014581</v>
      </c>
      <c r="E201" s="734">
        <f>'Rencana Pompa'!$F$6</f>
        <v>6480</v>
      </c>
      <c r="F201" s="735">
        <f t="shared" si="15"/>
        <v>-6713746.6351903211</v>
      </c>
    </row>
    <row r="202" spans="1:6" x14ac:dyDescent="0.3">
      <c r="A202" s="470">
        <v>504</v>
      </c>
      <c r="B202" s="722">
        <v>45429</v>
      </c>
      <c r="C202" s="733">
        <f t="shared" si="14"/>
        <v>-6713746.6351903211</v>
      </c>
      <c r="D202" s="734">
        <f>'Rencana Pompa'!$E$6</f>
        <v>-27559.817874014581</v>
      </c>
      <c r="E202" s="734">
        <f>'Rencana Pompa'!$F$6</f>
        <v>6480</v>
      </c>
      <c r="F202" s="735">
        <f t="shared" si="15"/>
        <v>-6747786.4530643355</v>
      </c>
    </row>
    <row r="203" spans="1:6" x14ac:dyDescent="0.3">
      <c r="A203" s="470">
        <v>505</v>
      </c>
      <c r="B203" s="722">
        <v>45430</v>
      </c>
      <c r="C203" s="733">
        <f t="shared" si="14"/>
        <v>-6747786.4530643355</v>
      </c>
      <c r="D203" s="734">
        <f>'Rencana Pompa'!$E$6</f>
        <v>-27559.817874014581</v>
      </c>
      <c r="E203" s="734">
        <f>'Rencana Pompa'!$F$6</f>
        <v>6480</v>
      </c>
      <c r="F203" s="735">
        <f t="shared" si="15"/>
        <v>-6781826.2709383499</v>
      </c>
    </row>
    <row r="204" spans="1:6" x14ac:dyDescent="0.3">
      <c r="A204" s="470">
        <v>506</v>
      </c>
      <c r="B204" s="722">
        <v>45431</v>
      </c>
      <c r="C204" s="733">
        <f t="shared" si="14"/>
        <v>-6781826.2709383499</v>
      </c>
      <c r="D204" s="734">
        <f>'Rencana Pompa'!$E$6</f>
        <v>-27559.817874014581</v>
      </c>
      <c r="E204" s="734">
        <f>'Rencana Pompa'!$F$6</f>
        <v>6480</v>
      </c>
      <c r="F204" s="735">
        <f t="shared" si="15"/>
        <v>-6815866.0888123643</v>
      </c>
    </row>
    <row r="205" spans="1:6" x14ac:dyDescent="0.3">
      <c r="A205" s="470">
        <v>507</v>
      </c>
      <c r="B205" s="722">
        <v>45432</v>
      </c>
      <c r="C205" s="733">
        <f t="shared" si="14"/>
        <v>-6815866.0888123643</v>
      </c>
      <c r="D205" s="734">
        <f>'Rencana Pompa'!$E$6</f>
        <v>-27559.817874014581</v>
      </c>
      <c r="E205" s="734">
        <f>'Rencana Pompa'!$F$6</f>
        <v>6480</v>
      </c>
      <c r="F205" s="735">
        <f t="shared" si="15"/>
        <v>-6849905.9066863786</v>
      </c>
    </row>
    <row r="206" spans="1:6" x14ac:dyDescent="0.3">
      <c r="A206" s="470">
        <v>508</v>
      </c>
      <c r="B206" s="722">
        <v>45433</v>
      </c>
      <c r="C206" s="733">
        <f t="shared" si="14"/>
        <v>-6849905.9066863786</v>
      </c>
      <c r="D206" s="734">
        <f>'Rencana Pompa'!$E$6</f>
        <v>-27559.817874014581</v>
      </c>
      <c r="E206" s="734">
        <f>'Rencana Pompa'!$F$6</f>
        <v>6480</v>
      </c>
      <c r="F206" s="735">
        <f t="shared" si="15"/>
        <v>-6883945.724560393</v>
      </c>
    </row>
    <row r="207" spans="1:6" x14ac:dyDescent="0.3">
      <c r="A207" s="470">
        <v>509</v>
      </c>
      <c r="B207" s="722">
        <v>45434</v>
      </c>
      <c r="C207" s="733">
        <f t="shared" si="14"/>
        <v>-6883945.724560393</v>
      </c>
      <c r="D207" s="734">
        <f>'Rencana Pompa'!$E$6</f>
        <v>-27559.817874014581</v>
      </c>
      <c r="E207" s="734">
        <f>'Rencana Pompa'!$F$6</f>
        <v>6480</v>
      </c>
      <c r="F207" s="735">
        <f t="shared" si="15"/>
        <v>-6917985.5424344074</v>
      </c>
    </row>
    <row r="208" spans="1:6" x14ac:dyDescent="0.3">
      <c r="A208" s="470">
        <v>510</v>
      </c>
      <c r="B208" s="722">
        <v>45435</v>
      </c>
      <c r="C208" s="733">
        <f t="shared" si="14"/>
        <v>-6917985.5424344074</v>
      </c>
      <c r="D208" s="734">
        <f>'Rencana Pompa'!$E$6</f>
        <v>-27559.817874014581</v>
      </c>
      <c r="E208" s="734">
        <f>'Rencana Pompa'!$F$6</f>
        <v>6480</v>
      </c>
      <c r="F208" s="735">
        <f t="shared" si="15"/>
        <v>-6952025.3603084218</v>
      </c>
    </row>
    <row r="209" spans="1:6" x14ac:dyDescent="0.3">
      <c r="A209" s="470">
        <v>511</v>
      </c>
      <c r="B209" s="722">
        <v>45436</v>
      </c>
      <c r="C209" s="733">
        <f t="shared" si="14"/>
        <v>-6952025.3603084218</v>
      </c>
      <c r="D209" s="734">
        <f>'Rencana Pompa'!$E$6</f>
        <v>-27559.817874014581</v>
      </c>
      <c r="E209" s="734">
        <f>'Rencana Pompa'!$F$6</f>
        <v>6480</v>
      </c>
      <c r="F209" s="735">
        <f t="shared" si="15"/>
        <v>-6986065.1781824362</v>
      </c>
    </row>
    <row r="210" spans="1:6" x14ac:dyDescent="0.3">
      <c r="A210" s="470">
        <v>512</v>
      </c>
      <c r="B210" s="722">
        <v>45437</v>
      </c>
      <c r="C210" s="733">
        <f t="shared" ref="C210:C273" si="16">F209</f>
        <v>-6986065.1781824362</v>
      </c>
      <c r="D210" s="734">
        <f>'Rencana Pompa'!$E$6</f>
        <v>-27559.817874014581</v>
      </c>
      <c r="E210" s="734">
        <f>'Rencana Pompa'!$F$6</f>
        <v>6480</v>
      </c>
      <c r="F210" s="735">
        <f t="shared" ref="F210:F273" si="17">C210+D210-E210</f>
        <v>-7020104.9960564505</v>
      </c>
    </row>
    <row r="211" spans="1:6" x14ac:dyDescent="0.3">
      <c r="A211" s="470">
        <v>513</v>
      </c>
      <c r="B211" s="722">
        <v>45438</v>
      </c>
      <c r="C211" s="733">
        <f t="shared" si="16"/>
        <v>-7020104.9960564505</v>
      </c>
      <c r="D211" s="734">
        <f>'Rencana Pompa'!$E$6</f>
        <v>-27559.817874014581</v>
      </c>
      <c r="E211" s="734">
        <f>'Rencana Pompa'!$F$6</f>
        <v>6480</v>
      </c>
      <c r="F211" s="735">
        <f t="shared" si="17"/>
        <v>-7054144.8139304649</v>
      </c>
    </row>
    <row r="212" spans="1:6" x14ac:dyDescent="0.3">
      <c r="A212" s="470">
        <v>514</v>
      </c>
      <c r="B212" s="722">
        <v>45439</v>
      </c>
      <c r="C212" s="733">
        <f t="shared" si="16"/>
        <v>-7054144.8139304649</v>
      </c>
      <c r="D212" s="734">
        <f>'Rencana Pompa'!$E$6</f>
        <v>-27559.817874014581</v>
      </c>
      <c r="E212" s="734">
        <f>'Rencana Pompa'!$F$6</f>
        <v>6480</v>
      </c>
      <c r="F212" s="735">
        <f t="shared" si="17"/>
        <v>-7088184.6318044793</v>
      </c>
    </row>
    <row r="213" spans="1:6" x14ac:dyDescent="0.3">
      <c r="A213" s="470">
        <v>515</v>
      </c>
      <c r="B213" s="722">
        <v>45440</v>
      </c>
      <c r="C213" s="733">
        <f t="shared" si="16"/>
        <v>-7088184.6318044793</v>
      </c>
      <c r="D213" s="734">
        <f>'Rencana Pompa'!$E$6</f>
        <v>-27559.817874014581</v>
      </c>
      <c r="E213" s="734">
        <f>'Rencana Pompa'!$F$6</f>
        <v>6480</v>
      </c>
      <c r="F213" s="735">
        <f t="shared" si="17"/>
        <v>-7122224.4496784937</v>
      </c>
    </row>
    <row r="214" spans="1:6" x14ac:dyDescent="0.3">
      <c r="A214" s="470">
        <v>516</v>
      </c>
      <c r="B214" s="722">
        <v>45441</v>
      </c>
      <c r="C214" s="733">
        <f t="shared" si="16"/>
        <v>-7122224.4496784937</v>
      </c>
      <c r="D214" s="734">
        <f>'Rencana Pompa'!$E$6</f>
        <v>-27559.817874014581</v>
      </c>
      <c r="E214" s="734">
        <f>'Rencana Pompa'!$F$6</f>
        <v>6480</v>
      </c>
      <c r="F214" s="735">
        <f t="shared" si="17"/>
        <v>-7156264.267552508</v>
      </c>
    </row>
    <row r="215" spans="1:6" x14ac:dyDescent="0.3">
      <c r="A215" s="470">
        <v>517</v>
      </c>
      <c r="B215" s="722">
        <v>45442</v>
      </c>
      <c r="C215" s="733">
        <f t="shared" si="16"/>
        <v>-7156264.267552508</v>
      </c>
      <c r="D215" s="734">
        <f>'Rencana Pompa'!$E$6</f>
        <v>-27559.817874014581</v>
      </c>
      <c r="E215" s="734">
        <f>'Rencana Pompa'!$F$6</f>
        <v>6480</v>
      </c>
      <c r="F215" s="735">
        <f t="shared" si="17"/>
        <v>-7190304.0854265224</v>
      </c>
    </row>
    <row r="216" spans="1:6" x14ac:dyDescent="0.3">
      <c r="A216" s="470">
        <v>518</v>
      </c>
      <c r="B216" s="722">
        <v>45443</v>
      </c>
      <c r="C216" s="733">
        <f t="shared" si="16"/>
        <v>-7190304.0854265224</v>
      </c>
      <c r="D216" s="734">
        <f>'Rencana Pompa'!$E$6</f>
        <v>-27559.817874014581</v>
      </c>
      <c r="E216" s="734">
        <f>'Rencana Pompa'!$F$6</f>
        <v>6480</v>
      </c>
      <c r="F216" s="735">
        <f t="shared" si="17"/>
        <v>-7224343.9033005368</v>
      </c>
    </row>
    <row r="217" spans="1:6" x14ac:dyDescent="0.3">
      <c r="A217" s="470">
        <v>519</v>
      </c>
      <c r="B217" s="722">
        <v>45444</v>
      </c>
      <c r="C217" s="733">
        <f t="shared" si="16"/>
        <v>-7224343.9033005368</v>
      </c>
      <c r="D217" s="734">
        <f>'Rencana Pompa'!$E$6</f>
        <v>-27559.817874014581</v>
      </c>
      <c r="E217" s="734">
        <f>'Rencana Pompa'!$F$6</f>
        <v>6480</v>
      </c>
      <c r="F217" s="735">
        <f t="shared" si="17"/>
        <v>-7258383.7211745512</v>
      </c>
    </row>
    <row r="218" spans="1:6" x14ac:dyDescent="0.3">
      <c r="A218" s="470">
        <v>520</v>
      </c>
      <c r="B218" s="722">
        <v>45445</v>
      </c>
      <c r="C218" s="733">
        <f t="shared" si="16"/>
        <v>-7258383.7211745512</v>
      </c>
      <c r="D218" s="734">
        <f>'Rencana Pompa'!$E$6</f>
        <v>-27559.817874014581</v>
      </c>
      <c r="E218" s="734">
        <f>'Rencana Pompa'!$F$6</f>
        <v>6480</v>
      </c>
      <c r="F218" s="735">
        <f t="shared" si="17"/>
        <v>-7292423.5390485656</v>
      </c>
    </row>
    <row r="219" spans="1:6" x14ac:dyDescent="0.3">
      <c r="A219" s="470">
        <v>521</v>
      </c>
      <c r="B219" s="722">
        <v>45446</v>
      </c>
      <c r="C219" s="733">
        <f t="shared" si="16"/>
        <v>-7292423.5390485656</v>
      </c>
      <c r="D219" s="734">
        <f>'Rencana Pompa'!$E$6</f>
        <v>-27559.817874014581</v>
      </c>
      <c r="E219" s="734">
        <f>'Rencana Pompa'!$F$6</f>
        <v>6480</v>
      </c>
      <c r="F219" s="735">
        <f t="shared" si="17"/>
        <v>-7326463.3569225799</v>
      </c>
    </row>
    <row r="220" spans="1:6" x14ac:dyDescent="0.3">
      <c r="A220" s="470">
        <v>522</v>
      </c>
      <c r="B220" s="722">
        <v>45447</v>
      </c>
      <c r="C220" s="733">
        <f t="shared" si="16"/>
        <v>-7326463.3569225799</v>
      </c>
      <c r="D220" s="734">
        <f>'Rencana Pompa'!$E$6</f>
        <v>-27559.817874014581</v>
      </c>
      <c r="E220" s="734">
        <f>'Rencana Pompa'!$F$6</f>
        <v>6480</v>
      </c>
      <c r="F220" s="735">
        <f t="shared" si="17"/>
        <v>-7360503.1747965943</v>
      </c>
    </row>
    <row r="221" spans="1:6" x14ac:dyDescent="0.3">
      <c r="A221" s="470">
        <v>523</v>
      </c>
      <c r="B221" s="722">
        <v>45448</v>
      </c>
      <c r="C221" s="733">
        <f t="shared" si="16"/>
        <v>-7360503.1747965943</v>
      </c>
      <c r="D221" s="734">
        <f>'Rencana Pompa'!$E$6</f>
        <v>-27559.817874014581</v>
      </c>
      <c r="E221" s="734">
        <f>'Rencana Pompa'!$F$6</f>
        <v>6480</v>
      </c>
      <c r="F221" s="735">
        <f t="shared" si="17"/>
        <v>-7394542.9926706087</v>
      </c>
    </row>
    <row r="222" spans="1:6" x14ac:dyDescent="0.3">
      <c r="A222" s="470">
        <v>524</v>
      </c>
      <c r="B222" s="722">
        <v>45449</v>
      </c>
      <c r="C222" s="733">
        <f t="shared" si="16"/>
        <v>-7394542.9926706087</v>
      </c>
      <c r="D222" s="734">
        <f>'Rencana Pompa'!$E$6</f>
        <v>-27559.817874014581</v>
      </c>
      <c r="E222" s="734">
        <f>'Rencana Pompa'!$F$6</f>
        <v>6480</v>
      </c>
      <c r="F222" s="735">
        <f t="shared" si="17"/>
        <v>-7428582.8105446231</v>
      </c>
    </row>
    <row r="223" spans="1:6" x14ac:dyDescent="0.3">
      <c r="A223" s="470">
        <v>525</v>
      </c>
      <c r="B223" s="722">
        <v>45450</v>
      </c>
      <c r="C223" s="733">
        <f t="shared" si="16"/>
        <v>-7428582.8105446231</v>
      </c>
      <c r="D223" s="734">
        <f>'Rencana Pompa'!$E$6</f>
        <v>-27559.817874014581</v>
      </c>
      <c r="E223" s="734">
        <f>'Rencana Pompa'!$F$6</f>
        <v>6480</v>
      </c>
      <c r="F223" s="735">
        <f t="shared" si="17"/>
        <v>-7462622.6284186374</v>
      </c>
    </row>
    <row r="224" spans="1:6" x14ac:dyDescent="0.3">
      <c r="A224" s="470">
        <v>526</v>
      </c>
      <c r="B224" s="722">
        <v>45451</v>
      </c>
      <c r="C224" s="733">
        <f t="shared" si="16"/>
        <v>-7462622.6284186374</v>
      </c>
      <c r="D224" s="734">
        <f>'Rencana Pompa'!$E$6</f>
        <v>-27559.817874014581</v>
      </c>
      <c r="E224" s="734">
        <f>'Rencana Pompa'!$F$6</f>
        <v>6480</v>
      </c>
      <c r="F224" s="735">
        <f t="shared" si="17"/>
        <v>-7496662.4462926518</v>
      </c>
    </row>
    <row r="225" spans="1:6" x14ac:dyDescent="0.3">
      <c r="A225" s="470">
        <v>527</v>
      </c>
      <c r="B225" s="722">
        <v>45452</v>
      </c>
      <c r="C225" s="733">
        <f t="shared" si="16"/>
        <v>-7496662.4462926518</v>
      </c>
      <c r="D225" s="734">
        <f>'Rencana Pompa'!$E$6</f>
        <v>-27559.817874014581</v>
      </c>
      <c r="E225" s="734">
        <f>'Rencana Pompa'!$F$6</f>
        <v>6480</v>
      </c>
      <c r="F225" s="735">
        <f t="shared" si="17"/>
        <v>-7530702.2641666662</v>
      </c>
    </row>
    <row r="226" spans="1:6" x14ac:dyDescent="0.3">
      <c r="A226" s="470">
        <v>528</v>
      </c>
      <c r="B226" s="722">
        <v>45453</v>
      </c>
      <c r="C226" s="733">
        <f t="shared" si="16"/>
        <v>-7530702.2641666662</v>
      </c>
      <c r="D226" s="734">
        <f>'Rencana Pompa'!$E$6</f>
        <v>-27559.817874014581</v>
      </c>
      <c r="E226" s="734">
        <f>'Rencana Pompa'!$F$6</f>
        <v>6480</v>
      </c>
      <c r="F226" s="735">
        <f t="shared" si="17"/>
        <v>-7564742.0820406806</v>
      </c>
    </row>
    <row r="227" spans="1:6" x14ac:dyDescent="0.3">
      <c r="A227" s="470">
        <v>529</v>
      </c>
      <c r="B227" s="722">
        <v>45454</v>
      </c>
      <c r="C227" s="733">
        <f t="shared" si="16"/>
        <v>-7564742.0820406806</v>
      </c>
      <c r="D227" s="734">
        <f>'Rencana Pompa'!$E$6</f>
        <v>-27559.817874014581</v>
      </c>
      <c r="E227" s="734">
        <f>'Rencana Pompa'!$F$6</f>
        <v>6480</v>
      </c>
      <c r="F227" s="735">
        <f t="shared" si="17"/>
        <v>-7598781.8999146949</v>
      </c>
    </row>
    <row r="228" spans="1:6" x14ac:dyDescent="0.3">
      <c r="A228" s="470">
        <v>530</v>
      </c>
      <c r="B228" s="722">
        <v>45455</v>
      </c>
      <c r="C228" s="733">
        <f t="shared" si="16"/>
        <v>-7598781.8999146949</v>
      </c>
      <c r="D228" s="734">
        <f>'Rencana Pompa'!$E$6</f>
        <v>-27559.817874014581</v>
      </c>
      <c r="E228" s="734">
        <f>'Rencana Pompa'!$F$6</f>
        <v>6480</v>
      </c>
      <c r="F228" s="735">
        <f t="shared" si="17"/>
        <v>-7632821.7177887093</v>
      </c>
    </row>
    <row r="229" spans="1:6" x14ac:dyDescent="0.3">
      <c r="A229" s="470">
        <v>531</v>
      </c>
      <c r="B229" s="722">
        <v>45456</v>
      </c>
      <c r="C229" s="733">
        <f t="shared" si="16"/>
        <v>-7632821.7177887093</v>
      </c>
      <c r="D229" s="734">
        <f>'Rencana Pompa'!$E$6</f>
        <v>-27559.817874014581</v>
      </c>
      <c r="E229" s="734">
        <f>'Rencana Pompa'!$F$6</f>
        <v>6480</v>
      </c>
      <c r="F229" s="735">
        <f t="shared" si="17"/>
        <v>-7666861.5356627237</v>
      </c>
    </row>
    <row r="230" spans="1:6" x14ac:dyDescent="0.3">
      <c r="A230" s="470">
        <v>532</v>
      </c>
      <c r="B230" s="722">
        <v>45457</v>
      </c>
      <c r="C230" s="733">
        <f t="shared" si="16"/>
        <v>-7666861.5356627237</v>
      </c>
      <c r="D230" s="734">
        <f>'Rencana Pompa'!$E$6</f>
        <v>-27559.817874014581</v>
      </c>
      <c r="E230" s="734">
        <f>'Rencana Pompa'!$F$6</f>
        <v>6480</v>
      </c>
      <c r="F230" s="735">
        <f t="shared" si="17"/>
        <v>-7700901.3535367381</v>
      </c>
    </row>
    <row r="231" spans="1:6" x14ac:dyDescent="0.3">
      <c r="A231" s="470">
        <v>533</v>
      </c>
      <c r="B231" s="722">
        <v>45458</v>
      </c>
      <c r="C231" s="733">
        <f t="shared" si="16"/>
        <v>-7700901.3535367381</v>
      </c>
      <c r="D231" s="734">
        <f>'Rencana Pompa'!$E$6</f>
        <v>-27559.817874014581</v>
      </c>
      <c r="E231" s="734">
        <f>'Rencana Pompa'!$F$6</f>
        <v>6480</v>
      </c>
      <c r="F231" s="735">
        <f t="shared" si="17"/>
        <v>-7734941.1714107525</v>
      </c>
    </row>
    <row r="232" spans="1:6" x14ac:dyDescent="0.3">
      <c r="A232" s="470">
        <v>534</v>
      </c>
      <c r="B232" s="722">
        <v>45459</v>
      </c>
      <c r="C232" s="733">
        <f t="shared" si="16"/>
        <v>-7734941.1714107525</v>
      </c>
      <c r="D232" s="734">
        <f>'Rencana Pompa'!$E$6</f>
        <v>-27559.817874014581</v>
      </c>
      <c r="E232" s="734">
        <f>'Rencana Pompa'!$F$6</f>
        <v>6480</v>
      </c>
      <c r="F232" s="735">
        <f t="shared" si="17"/>
        <v>-7768980.9892847668</v>
      </c>
    </row>
    <row r="233" spans="1:6" x14ac:dyDescent="0.3">
      <c r="A233" s="470">
        <v>535</v>
      </c>
      <c r="B233" s="722">
        <v>45460</v>
      </c>
      <c r="C233" s="733">
        <f t="shared" si="16"/>
        <v>-7768980.9892847668</v>
      </c>
      <c r="D233" s="734">
        <f>'Rencana Pompa'!$E$6</f>
        <v>-27559.817874014581</v>
      </c>
      <c r="E233" s="734">
        <f>'Rencana Pompa'!$F$6</f>
        <v>6480</v>
      </c>
      <c r="F233" s="735">
        <f t="shared" si="17"/>
        <v>-7803020.8071587812</v>
      </c>
    </row>
    <row r="234" spans="1:6" x14ac:dyDescent="0.3">
      <c r="A234" s="470">
        <v>536</v>
      </c>
      <c r="B234" s="722">
        <v>45461</v>
      </c>
      <c r="C234" s="733">
        <f t="shared" si="16"/>
        <v>-7803020.8071587812</v>
      </c>
      <c r="D234" s="734">
        <f>'Rencana Pompa'!$E$6</f>
        <v>-27559.817874014581</v>
      </c>
      <c r="E234" s="734">
        <f>'Rencana Pompa'!$F$6</f>
        <v>6480</v>
      </c>
      <c r="F234" s="735">
        <f t="shared" si="17"/>
        <v>-7837060.6250327956</v>
      </c>
    </row>
    <row r="235" spans="1:6" x14ac:dyDescent="0.3">
      <c r="A235" s="470">
        <v>537</v>
      </c>
      <c r="B235" s="722">
        <v>45462</v>
      </c>
      <c r="C235" s="733">
        <f t="shared" si="16"/>
        <v>-7837060.6250327956</v>
      </c>
      <c r="D235" s="734">
        <f>'Rencana Pompa'!$E$6</f>
        <v>-27559.817874014581</v>
      </c>
      <c r="E235" s="734">
        <f>'Rencana Pompa'!$F$6</f>
        <v>6480</v>
      </c>
      <c r="F235" s="735">
        <f t="shared" si="17"/>
        <v>-7871100.44290681</v>
      </c>
    </row>
    <row r="236" spans="1:6" x14ac:dyDescent="0.3">
      <c r="A236" s="470">
        <v>538</v>
      </c>
      <c r="B236" s="722">
        <v>45463</v>
      </c>
      <c r="C236" s="733">
        <f t="shared" si="16"/>
        <v>-7871100.44290681</v>
      </c>
      <c r="D236" s="734">
        <f>'Rencana Pompa'!$E$6</f>
        <v>-27559.817874014581</v>
      </c>
      <c r="E236" s="734">
        <f>'Rencana Pompa'!$F$6</f>
        <v>6480</v>
      </c>
      <c r="F236" s="735">
        <f t="shared" si="17"/>
        <v>-7905140.2607808243</v>
      </c>
    </row>
    <row r="237" spans="1:6" x14ac:dyDescent="0.3">
      <c r="A237" s="470">
        <v>539</v>
      </c>
      <c r="B237" s="722">
        <v>45464</v>
      </c>
      <c r="C237" s="733">
        <f t="shared" si="16"/>
        <v>-7905140.2607808243</v>
      </c>
      <c r="D237" s="734">
        <f>'Rencana Pompa'!$E$6</f>
        <v>-27559.817874014581</v>
      </c>
      <c r="E237" s="734">
        <f>'Rencana Pompa'!$F$6</f>
        <v>6480</v>
      </c>
      <c r="F237" s="735">
        <f t="shared" si="17"/>
        <v>-7939180.0786548387</v>
      </c>
    </row>
    <row r="238" spans="1:6" x14ac:dyDescent="0.3">
      <c r="A238" s="470">
        <v>540</v>
      </c>
      <c r="B238" s="722">
        <v>45465</v>
      </c>
      <c r="C238" s="733">
        <f t="shared" si="16"/>
        <v>-7939180.0786548387</v>
      </c>
      <c r="D238" s="734">
        <f>'Rencana Pompa'!$E$6</f>
        <v>-27559.817874014581</v>
      </c>
      <c r="E238" s="734">
        <f>'Rencana Pompa'!$F$6</f>
        <v>6480</v>
      </c>
      <c r="F238" s="735">
        <f t="shared" si="17"/>
        <v>-7973219.8965288531</v>
      </c>
    </row>
    <row r="239" spans="1:6" x14ac:dyDescent="0.3">
      <c r="A239" s="470">
        <v>541</v>
      </c>
      <c r="B239" s="722">
        <v>45466</v>
      </c>
      <c r="C239" s="733">
        <f t="shared" si="16"/>
        <v>-7973219.8965288531</v>
      </c>
      <c r="D239" s="734">
        <f>'Rencana Pompa'!$E$6</f>
        <v>-27559.817874014581</v>
      </c>
      <c r="E239" s="734">
        <f>'Rencana Pompa'!$F$6</f>
        <v>6480</v>
      </c>
      <c r="F239" s="735">
        <f t="shared" si="17"/>
        <v>-8007259.7144028675</v>
      </c>
    </row>
    <row r="240" spans="1:6" x14ac:dyDescent="0.3">
      <c r="A240" s="470">
        <v>542</v>
      </c>
      <c r="B240" s="722">
        <v>45467</v>
      </c>
      <c r="C240" s="733">
        <f t="shared" si="16"/>
        <v>-8007259.7144028675</v>
      </c>
      <c r="D240" s="734">
        <f>'Rencana Pompa'!$E$6</f>
        <v>-27559.817874014581</v>
      </c>
      <c r="E240" s="734">
        <f>'Rencana Pompa'!$F$6</f>
        <v>6480</v>
      </c>
      <c r="F240" s="735">
        <f t="shared" si="17"/>
        <v>-8041299.5322768819</v>
      </c>
    </row>
    <row r="241" spans="1:6" x14ac:dyDescent="0.3">
      <c r="A241" s="470">
        <v>543</v>
      </c>
      <c r="B241" s="722">
        <v>45468</v>
      </c>
      <c r="C241" s="733">
        <f t="shared" si="16"/>
        <v>-8041299.5322768819</v>
      </c>
      <c r="D241" s="734">
        <f>'Rencana Pompa'!$E$6</f>
        <v>-27559.817874014581</v>
      </c>
      <c r="E241" s="734">
        <f>'Rencana Pompa'!$F$6</f>
        <v>6480</v>
      </c>
      <c r="F241" s="735">
        <f t="shared" si="17"/>
        <v>-8075339.3501508962</v>
      </c>
    </row>
    <row r="242" spans="1:6" x14ac:dyDescent="0.3">
      <c r="A242" s="470">
        <v>544</v>
      </c>
      <c r="B242" s="722">
        <v>45469</v>
      </c>
      <c r="C242" s="733">
        <f t="shared" si="16"/>
        <v>-8075339.3501508962</v>
      </c>
      <c r="D242" s="734">
        <f>'Rencana Pompa'!$E$6</f>
        <v>-27559.817874014581</v>
      </c>
      <c r="E242" s="734">
        <f>'Rencana Pompa'!$F$6</f>
        <v>6480</v>
      </c>
      <c r="F242" s="735">
        <f t="shared" si="17"/>
        <v>-8109379.1680249106</v>
      </c>
    </row>
    <row r="243" spans="1:6" x14ac:dyDescent="0.3">
      <c r="A243" s="470">
        <v>545</v>
      </c>
      <c r="B243" s="722">
        <v>45470</v>
      </c>
      <c r="C243" s="733">
        <f t="shared" si="16"/>
        <v>-8109379.1680249106</v>
      </c>
      <c r="D243" s="734">
        <f>'Rencana Pompa'!$E$6</f>
        <v>-27559.817874014581</v>
      </c>
      <c r="E243" s="734">
        <f>'Rencana Pompa'!$F$6</f>
        <v>6480</v>
      </c>
      <c r="F243" s="735">
        <f t="shared" si="17"/>
        <v>-8143418.985898925</v>
      </c>
    </row>
    <row r="244" spans="1:6" x14ac:dyDescent="0.3">
      <c r="A244" s="470">
        <v>546</v>
      </c>
      <c r="B244" s="722">
        <v>45471</v>
      </c>
      <c r="C244" s="733">
        <f t="shared" si="16"/>
        <v>-8143418.985898925</v>
      </c>
      <c r="D244" s="734">
        <f>'Rencana Pompa'!$E$6</f>
        <v>-27559.817874014581</v>
      </c>
      <c r="E244" s="734">
        <f>'Rencana Pompa'!$F$6</f>
        <v>6480</v>
      </c>
      <c r="F244" s="735">
        <f t="shared" si="17"/>
        <v>-8177458.8037729394</v>
      </c>
    </row>
    <row r="245" spans="1:6" x14ac:dyDescent="0.3">
      <c r="A245" s="470">
        <v>547</v>
      </c>
      <c r="B245" s="722">
        <v>45472</v>
      </c>
      <c r="C245" s="733">
        <f t="shared" si="16"/>
        <v>-8177458.8037729394</v>
      </c>
      <c r="D245" s="734">
        <f>'Rencana Pompa'!$E$6</f>
        <v>-27559.817874014581</v>
      </c>
      <c r="E245" s="734">
        <f>'Rencana Pompa'!$F$6</f>
        <v>6480</v>
      </c>
      <c r="F245" s="735">
        <f t="shared" si="17"/>
        <v>-8211498.6216469537</v>
      </c>
    </row>
    <row r="246" spans="1:6" x14ac:dyDescent="0.3">
      <c r="A246" s="470">
        <v>548</v>
      </c>
      <c r="B246" s="722">
        <v>45473</v>
      </c>
      <c r="C246" s="733">
        <f t="shared" si="16"/>
        <v>-8211498.6216469537</v>
      </c>
      <c r="D246" s="734">
        <f>'Rencana Pompa'!$E$6</f>
        <v>-27559.817874014581</v>
      </c>
      <c r="E246" s="734">
        <f>'Rencana Pompa'!$F$6</f>
        <v>6480</v>
      </c>
      <c r="F246" s="735">
        <f t="shared" si="17"/>
        <v>-8245538.4395209681</v>
      </c>
    </row>
    <row r="247" spans="1:6" x14ac:dyDescent="0.3">
      <c r="A247" s="470">
        <v>549</v>
      </c>
      <c r="B247" s="722">
        <v>45474</v>
      </c>
      <c r="C247" s="733">
        <f t="shared" si="16"/>
        <v>-8245538.4395209681</v>
      </c>
      <c r="D247" s="734">
        <f>'Rencana Pompa'!$E$6</f>
        <v>-27559.817874014581</v>
      </c>
      <c r="E247" s="734">
        <f>'Rencana Pompa'!$F$6</f>
        <v>6480</v>
      </c>
      <c r="F247" s="735">
        <f t="shared" si="17"/>
        <v>-8279578.2573949825</v>
      </c>
    </row>
    <row r="248" spans="1:6" x14ac:dyDescent="0.3">
      <c r="A248" s="470">
        <v>550</v>
      </c>
      <c r="B248" s="722">
        <v>45475</v>
      </c>
      <c r="C248" s="733">
        <f t="shared" si="16"/>
        <v>-8279578.2573949825</v>
      </c>
      <c r="D248" s="734">
        <f>'Rencana Pompa'!$E$6</f>
        <v>-27559.817874014581</v>
      </c>
      <c r="E248" s="734">
        <f>'Rencana Pompa'!$F$6</f>
        <v>6480</v>
      </c>
      <c r="F248" s="735">
        <f t="shared" si="17"/>
        <v>-8313618.0752689969</v>
      </c>
    </row>
    <row r="249" spans="1:6" x14ac:dyDescent="0.3">
      <c r="A249" s="470">
        <v>551</v>
      </c>
      <c r="B249" s="722">
        <v>45476</v>
      </c>
      <c r="C249" s="733">
        <f t="shared" si="16"/>
        <v>-8313618.0752689969</v>
      </c>
      <c r="D249" s="734">
        <f>'Rencana Pompa'!$E$6</f>
        <v>-27559.817874014581</v>
      </c>
      <c r="E249" s="734">
        <f>'Rencana Pompa'!$F$6</f>
        <v>6480</v>
      </c>
      <c r="F249" s="735">
        <f t="shared" si="17"/>
        <v>-8347657.8931430113</v>
      </c>
    </row>
    <row r="250" spans="1:6" x14ac:dyDescent="0.3">
      <c r="A250" s="470">
        <v>552</v>
      </c>
      <c r="B250" s="722">
        <v>45477</v>
      </c>
      <c r="C250" s="733">
        <f t="shared" si="16"/>
        <v>-8347657.8931430113</v>
      </c>
      <c r="D250" s="734">
        <f>'Rencana Pompa'!$E$6</f>
        <v>-27559.817874014581</v>
      </c>
      <c r="E250" s="734">
        <f>'Rencana Pompa'!$F$6</f>
        <v>6480</v>
      </c>
      <c r="F250" s="735">
        <f t="shared" si="17"/>
        <v>-8381697.7110170256</v>
      </c>
    </row>
    <row r="251" spans="1:6" x14ac:dyDescent="0.3">
      <c r="A251" s="470">
        <v>553</v>
      </c>
      <c r="B251" s="722">
        <v>45478</v>
      </c>
      <c r="C251" s="733">
        <f t="shared" si="16"/>
        <v>-8381697.7110170256</v>
      </c>
      <c r="D251" s="734">
        <f>'Rencana Pompa'!$E$6</f>
        <v>-27559.817874014581</v>
      </c>
      <c r="E251" s="734">
        <f>'Rencana Pompa'!$F$6</f>
        <v>6480</v>
      </c>
      <c r="F251" s="735">
        <f t="shared" si="17"/>
        <v>-8415737.52889104</v>
      </c>
    </row>
    <row r="252" spans="1:6" x14ac:dyDescent="0.3">
      <c r="A252" s="470">
        <v>554</v>
      </c>
      <c r="B252" s="722">
        <v>45479</v>
      </c>
      <c r="C252" s="733">
        <f t="shared" si="16"/>
        <v>-8415737.52889104</v>
      </c>
      <c r="D252" s="734">
        <f>'Rencana Pompa'!$E$6</f>
        <v>-27559.817874014581</v>
      </c>
      <c r="E252" s="734">
        <f>'Rencana Pompa'!$F$6</f>
        <v>6480</v>
      </c>
      <c r="F252" s="735">
        <f t="shared" si="17"/>
        <v>-8449777.3467650544</v>
      </c>
    </row>
    <row r="253" spans="1:6" x14ac:dyDescent="0.3">
      <c r="A253" s="470">
        <v>555</v>
      </c>
      <c r="B253" s="722">
        <v>45480</v>
      </c>
      <c r="C253" s="733">
        <f t="shared" si="16"/>
        <v>-8449777.3467650544</v>
      </c>
      <c r="D253" s="734">
        <f>'Rencana Pompa'!$E$6</f>
        <v>-27559.817874014581</v>
      </c>
      <c r="E253" s="734">
        <f>'Rencana Pompa'!$F$6</f>
        <v>6480</v>
      </c>
      <c r="F253" s="735">
        <f t="shared" si="17"/>
        <v>-8483817.1646390688</v>
      </c>
    </row>
    <row r="254" spans="1:6" x14ac:dyDescent="0.3">
      <c r="A254" s="470">
        <v>556</v>
      </c>
      <c r="B254" s="722">
        <v>45481</v>
      </c>
      <c r="C254" s="733">
        <f t="shared" si="16"/>
        <v>-8483817.1646390688</v>
      </c>
      <c r="D254" s="734">
        <f>'Rencana Pompa'!$E$6</f>
        <v>-27559.817874014581</v>
      </c>
      <c r="E254" s="734">
        <f>'Rencana Pompa'!$F$6</f>
        <v>6480</v>
      </c>
      <c r="F254" s="735">
        <f t="shared" si="17"/>
        <v>-8517856.9825130831</v>
      </c>
    </row>
    <row r="255" spans="1:6" x14ac:dyDescent="0.3">
      <c r="A255" s="470">
        <v>557</v>
      </c>
      <c r="B255" s="722">
        <v>45482</v>
      </c>
      <c r="C255" s="733">
        <f t="shared" si="16"/>
        <v>-8517856.9825130831</v>
      </c>
      <c r="D255" s="734">
        <f>'Rencana Pompa'!$E$6</f>
        <v>-27559.817874014581</v>
      </c>
      <c r="E255" s="734">
        <f>'Rencana Pompa'!$F$6</f>
        <v>6480</v>
      </c>
      <c r="F255" s="735">
        <f t="shared" si="17"/>
        <v>-8551896.8003870975</v>
      </c>
    </row>
    <row r="256" spans="1:6" x14ac:dyDescent="0.3">
      <c r="A256" s="470">
        <v>558</v>
      </c>
      <c r="B256" s="722">
        <v>45483</v>
      </c>
      <c r="C256" s="733">
        <f t="shared" si="16"/>
        <v>-8551896.8003870975</v>
      </c>
      <c r="D256" s="734">
        <f>'Rencana Pompa'!$E$6</f>
        <v>-27559.817874014581</v>
      </c>
      <c r="E256" s="734">
        <f>'Rencana Pompa'!$F$6</f>
        <v>6480</v>
      </c>
      <c r="F256" s="735">
        <f t="shared" si="17"/>
        <v>-8585936.6182611119</v>
      </c>
    </row>
    <row r="257" spans="1:6" x14ac:dyDescent="0.3">
      <c r="A257" s="470">
        <v>559</v>
      </c>
      <c r="B257" s="722">
        <v>45484</v>
      </c>
      <c r="C257" s="733">
        <f t="shared" si="16"/>
        <v>-8585936.6182611119</v>
      </c>
      <c r="D257" s="734">
        <f>'Rencana Pompa'!$E$6</f>
        <v>-27559.817874014581</v>
      </c>
      <c r="E257" s="734">
        <f>'Rencana Pompa'!$F$6</f>
        <v>6480</v>
      </c>
      <c r="F257" s="735">
        <f t="shared" si="17"/>
        <v>-8619976.4361351263</v>
      </c>
    </row>
    <row r="258" spans="1:6" x14ac:dyDescent="0.3">
      <c r="A258" s="470">
        <v>560</v>
      </c>
      <c r="B258" s="722">
        <v>45485</v>
      </c>
      <c r="C258" s="733">
        <f t="shared" si="16"/>
        <v>-8619976.4361351263</v>
      </c>
      <c r="D258" s="734">
        <f>'Rencana Pompa'!$E$6</f>
        <v>-27559.817874014581</v>
      </c>
      <c r="E258" s="734">
        <f>'Rencana Pompa'!$F$6</f>
        <v>6480</v>
      </c>
      <c r="F258" s="735">
        <f t="shared" si="17"/>
        <v>-8654016.2540091407</v>
      </c>
    </row>
    <row r="259" spans="1:6" x14ac:dyDescent="0.3">
      <c r="A259" s="470">
        <v>561</v>
      </c>
      <c r="B259" s="722">
        <v>45486</v>
      </c>
      <c r="C259" s="733">
        <f t="shared" si="16"/>
        <v>-8654016.2540091407</v>
      </c>
      <c r="D259" s="734">
        <f>'Rencana Pompa'!$E$6</f>
        <v>-27559.817874014581</v>
      </c>
      <c r="E259" s="734">
        <f>'Rencana Pompa'!$F$6</f>
        <v>6480</v>
      </c>
      <c r="F259" s="735">
        <f t="shared" si="17"/>
        <v>-8688056.071883155</v>
      </c>
    </row>
    <row r="260" spans="1:6" x14ac:dyDescent="0.3">
      <c r="A260" s="470">
        <v>562</v>
      </c>
      <c r="B260" s="722">
        <v>45487</v>
      </c>
      <c r="C260" s="733">
        <f t="shared" si="16"/>
        <v>-8688056.071883155</v>
      </c>
      <c r="D260" s="734">
        <f>'Rencana Pompa'!$E$6</f>
        <v>-27559.817874014581</v>
      </c>
      <c r="E260" s="734">
        <f>'Rencana Pompa'!$F$6</f>
        <v>6480</v>
      </c>
      <c r="F260" s="735">
        <f t="shared" si="17"/>
        <v>-8722095.8897571694</v>
      </c>
    </row>
    <row r="261" spans="1:6" x14ac:dyDescent="0.3">
      <c r="A261" s="470">
        <v>563</v>
      </c>
      <c r="B261" s="722">
        <v>45488</v>
      </c>
      <c r="C261" s="733">
        <f t="shared" si="16"/>
        <v>-8722095.8897571694</v>
      </c>
      <c r="D261" s="734">
        <f>'Rencana Pompa'!$E$6</f>
        <v>-27559.817874014581</v>
      </c>
      <c r="E261" s="734">
        <f>'Rencana Pompa'!$F$6</f>
        <v>6480</v>
      </c>
      <c r="F261" s="735">
        <f t="shared" si="17"/>
        <v>-8756135.7076311838</v>
      </c>
    </row>
    <row r="262" spans="1:6" x14ac:dyDescent="0.3">
      <c r="A262" s="470">
        <v>564</v>
      </c>
      <c r="B262" s="722">
        <v>45489</v>
      </c>
      <c r="C262" s="733">
        <f t="shared" si="16"/>
        <v>-8756135.7076311838</v>
      </c>
      <c r="D262" s="734">
        <f>'Rencana Pompa'!$E$6</f>
        <v>-27559.817874014581</v>
      </c>
      <c r="E262" s="734">
        <f>'Rencana Pompa'!$F$6</f>
        <v>6480</v>
      </c>
      <c r="F262" s="735">
        <f t="shared" si="17"/>
        <v>-8790175.5255051982</v>
      </c>
    </row>
    <row r="263" spans="1:6" x14ac:dyDescent="0.3">
      <c r="A263" s="470">
        <v>565</v>
      </c>
      <c r="B263" s="722">
        <v>45490</v>
      </c>
      <c r="C263" s="733">
        <f t="shared" si="16"/>
        <v>-8790175.5255051982</v>
      </c>
      <c r="D263" s="734">
        <f>'Rencana Pompa'!$E$6</f>
        <v>-27559.817874014581</v>
      </c>
      <c r="E263" s="734">
        <f>'Rencana Pompa'!$F$6</f>
        <v>6480</v>
      </c>
      <c r="F263" s="735">
        <f t="shared" si="17"/>
        <v>-8824215.3433792125</v>
      </c>
    </row>
    <row r="264" spans="1:6" x14ac:dyDescent="0.3">
      <c r="A264" s="470">
        <v>566</v>
      </c>
      <c r="B264" s="722">
        <v>45491</v>
      </c>
      <c r="C264" s="733">
        <f t="shared" si="16"/>
        <v>-8824215.3433792125</v>
      </c>
      <c r="D264" s="734">
        <f>'Rencana Pompa'!$E$6</f>
        <v>-27559.817874014581</v>
      </c>
      <c r="E264" s="734">
        <f>'Rencana Pompa'!$F$6</f>
        <v>6480</v>
      </c>
      <c r="F264" s="735">
        <f t="shared" si="17"/>
        <v>-8858255.1612532269</v>
      </c>
    </row>
    <row r="265" spans="1:6" x14ac:dyDescent="0.3">
      <c r="A265" s="470">
        <v>567</v>
      </c>
      <c r="B265" s="722">
        <v>45492</v>
      </c>
      <c r="C265" s="733">
        <f t="shared" si="16"/>
        <v>-8858255.1612532269</v>
      </c>
      <c r="D265" s="734">
        <f>'Rencana Pompa'!$E$6</f>
        <v>-27559.817874014581</v>
      </c>
      <c r="E265" s="734">
        <f>'Rencana Pompa'!$F$6</f>
        <v>6480</v>
      </c>
      <c r="F265" s="735">
        <f t="shared" si="17"/>
        <v>-8892294.9791272413</v>
      </c>
    </row>
    <row r="266" spans="1:6" x14ac:dyDescent="0.3">
      <c r="A266" s="470">
        <v>568</v>
      </c>
      <c r="B266" s="722">
        <v>45493</v>
      </c>
      <c r="C266" s="733">
        <f t="shared" si="16"/>
        <v>-8892294.9791272413</v>
      </c>
      <c r="D266" s="734">
        <f>'Rencana Pompa'!$E$6</f>
        <v>-27559.817874014581</v>
      </c>
      <c r="E266" s="734">
        <f>'Rencana Pompa'!$F$6</f>
        <v>6480</v>
      </c>
      <c r="F266" s="735">
        <f t="shared" si="17"/>
        <v>-8926334.7970012557</v>
      </c>
    </row>
    <row r="267" spans="1:6" x14ac:dyDescent="0.3">
      <c r="A267" s="470">
        <v>569</v>
      </c>
      <c r="B267" s="722">
        <v>45494</v>
      </c>
      <c r="C267" s="733">
        <f t="shared" si="16"/>
        <v>-8926334.7970012557</v>
      </c>
      <c r="D267" s="734">
        <f>'Rencana Pompa'!$E$6</f>
        <v>-27559.817874014581</v>
      </c>
      <c r="E267" s="734">
        <f>'Rencana Pompa'!$F$6</f>
        <v>6480</v>
      </c>
      <c r="F267" s="735">
        <f t="shared" si="17"/>
        <v>-8960374.6148752701</v>
      </c>
    </row>
    <row r="268" spans="1:6" x14ac:dyDescent="0.3">
      <c r="A268" s="470">
        <v>570</v>
      </c>
      <c r="B268" s="722">
        <v>45495</v>
      </c>
      <c r="C268" s="733">
        <f t="shared" si="16"/>
        <v>-8960374.6148752701</v>
      </c>
      <c r="D268" s="734">
        <f>'Rencana Pompa'!$E$6</f>
        <v>-27559.817874014581</v>
      </c>
      <c r="E268" s="734">
        <f>'Rencana Pompa'!$F$6</f>
        <v>6480</v>
      </c>
      <c r="F268" s="735">
        <f t="shared" si="17"/>
        <v>-8994414.4327492844</v>
      </c>
    </row>
    <row r="269" spans="1:6" x14ac:dyDescent="0.3">
      <c r="A269" s="470">
        <v>571</v>
      </c>
      <c r="B269" s="722">
        <v>45496</v>
      </c>
      <c r="C269" s="733">
        <f t="shared" si="16"/>
        <v>-8994414.4327492844</v>
      </c>
      <c r="D269" s="734">
        <f>'Rencana Pompa'!$E$6</f>
        <v>-27559.817874014581</v>
      </c>
      <c r="E269" s="734">
        <f>'Rencana Pompa'!$F$6</f>
        <v>6480</v>
      </c>
      <c r="F269" s="735">
        <f t="shared" si="17"/>
        <v>-9028454.2506232988</v>
      </c>
    </row>
    <row r="270" spans="1:6" x14ac:dyDescent="0.3">
      <c r="A270" s="470">
        <v>572</v>
      </c>
      <c r="B270" s="722">
        <v>45497</v>
      </c>
      <c r="C270" s="733">
        <f t="shared" si="16"/>
        <v>-9028454.2506232988</v>
      </c>
      <c r="D270" s="734">
        <f>'Rencana Pompa'!$E$6</f>
        <v>-27559.817874014581</v>
      </c>
      <c r="E270" s="734">
        <f>'Rencana Pompa'!$F$6</f>
        <v>6480</v>
      </c>
      <c r="F270" s="735">
        <f t="shared" si="17"/>
        <v>-9062494.0684973132</v>
      </c>
    </row>
    <row r="271" spans="1:6" x14ac:dyDescent="0.3">
      <c r="A271" s="470">
        <v>573</v>
      </c>
      <c r="B271" s="722">
        <v>45498</v>
      </c>
      <c r="C271" s="733">
        <f t="shared" si="16"/>
        <v>-9062494.0684973132</v>
      </c>
      <c r="D271" s="734">
        <f>'Rencana Pompa'!$E$6</f>
        <v>-27559.817874014581</v>
      </c>
      <c r="E271" s="734">
        <f>'Rencana Pompa'!$F$6</f>
        <v>6480</v>
      </c>
      <c r="F271" s="735">
        <f t="shared" si="17"/>
        <v>-9096533.8863713276</v>
      </c>
    </row>
    <row r="272" spans="1:6" x14ac:dyDescent="0.3">
      <c r="A272" s="470">
        <v>574</v>
      </c>
      <c r="B272" s="722">
        <v>45499</v>
      </c>
      <c r="C272" s="733">
        <f t="shared" si="16"/>
        <v>-9096533.8863713276</v>
      </c>
      <c r="D272" s="734">
        <f>'Rencana Pompa'!$E$6</f>
        <v>-27559.817874014581</v>
      </c>
      <c r="E272" s="734">
        <f>'Rencana Pompa'!$F$6</f>
        <v>6480</v>
      </c>
      <c r="F272" s="735">
        <f t="shared" si="17"/>
        <v>-9130573.7042453419</v>
      </c>
    </row>
    <row r="273" spans="1:6" x14ac:dyDescent="0.3">
      <c r="A273" s="470">
        <v>575</v>
      </c>
      <c r="B273" s="722">
        <v>45500</v>
      </c>
      <c r="C273" s="733">
        <f t="shared" si="16"/>
        <v>-9130573.7042453419</v>
      </c>
      <c r="D273" s="734">
        <f>'Rencana Pompa'!$E$6</f>
        <v>-27559.817874014581</v>
      </c>
      <c r="E273" s="734">
        <f>'Rencana Pompa'!$F$6</f>
        <v>6480</v>
      </c>
      <c r="F273" s="735">
        <f t="shared" si="17"/>
        <v>-9164613.5221193563</v>
      </c>
    </row>
    <row r="274" spans="1:6" x14ac:dyDescent="0.3">
      <c r="A274" s="470">
        <v>576</v>
      </c>
      <c r="B274" s="722">
        <v>45501</v>
      </c>
      <c r="C274" s="733">
        <f t="shared" ref="C274:C337" si="18">F273</f>
        <v>-9164613.5221193563</v>
      </c>
      <c r="D274" s="734">
        <f>'Rencana Pompa'!$E$6</f>
        <v>-27559.817874014581</v>
      </c>
      <c r="E274" s="734">
        <f>'Rencana Pompa'!$F$6</f>
        <v>6480</v>
      </c>
      <c r="F274" s="735">
        <f t="shared" ref="F274:F337" si="19">C274+D274-E274</f>
        <v>-9198653.3399933707</v>
      </c>
    </row>
    <row r="275" spans="1:6" x14ac:dyDescent="0.3">
      <c r="A275" s="470">
        <v>577</v>
      </c>
      <c r="B275" s="722">
        <v>45502</v>
      </c>
      <c r="C275" s="733">
        <f t="shared" si="18"/>
        <v>-9198653.3399933707</v>
      </c>
      <c r="D275" s="734">
        <f>'Rencana Pompa'!$E$6</f>
        <v>-27559.817874014581</v>
      </c>
      <c r="E275" s="734">
        <f>'Rencana Pompa'!$F$6</f>
        <v>6480</v>
      </c>
      <c r="F275" s="735">
        <f t="shared" si="19"/>
        <v>-9232693.1578673851</v>
      </c>
    </row>
    <row r="276" spans="1:6" x14ac:dyDescent="0.3">
      <c r="A276" s="470">
        <v>578</v>
      </c>
      <c r="B276" s="722">
        <v>45503</v>
      </c>
      <c r="C276" s="733">
        <f t="shared" si="18"/>
        <v>-9232693.1578673851</v>
      </c>
      <c r="D276" s="734">
        <f>'Rencana Pompa'!$E$6</f>
        <v>-27559.817874014581</v>
      </c>
      <c r="E276" s="734">
        <f>'Rencana Pompa'!$F$6</f>
        <v>6480</v>
      </c>
      <c r="F276" s="735">
        <f t="shared" si="19"/>
        <v>-9266732.9757413995</v>
      </c>
    </row>
    <row r="277" spans="1:6" x14ac:dyDescent="0.3">
      <c r="A277" s="470">
        <v>579</v>
      </c>
      <c r="B277" s="722">
        <v>45504</v>
      </c>
      <c r="C277" s="733">
        <f t="shared" si="18"/>
        <v>-9266732.9757413995</v>
      </c>
      <c r="D277" s="734">
        <f>'Rencana Pompa'!$E$6</f>
        <v>-27559.817874014581</v>
      </c>
      <c r="E277" s="734">
        <f>'Rencana Pompa'!$F$6</f>
        <v>6480</v>
      </c>
      <c r="F277" s="735">
        <f t="shared" si="19"/>
        <v>-9300772.7936154138</v>
      </c>
    </row>
    <row r="278" spans="1:6" x14ac:dyDescent="0.3">
      <c r="A278" s="470">
        <v>580</v>
      </c>
      <c r="B278" s="722">
        <v>45505</v>
      </c>
      <c r="C278" s="733">
        <f t="shared" si="18"/>
        <v>-9300772.7936154138</v>
      </c>
      <c r="D278" s="734">
        <f>'Rencana Pompa'!$E$6</f>
        <v>-27559.817874014581</v>
      </c>
      <c r="E278" s="734">
        <f>'Rencana Pompa'!$F$6</f>
        <v>6480</v>
      </c>
      <c r="F278" s="735">
        <f t="shared" si="19"/>
        <v>-9334812.6114894282</v>
      </c>
    </row>
    <row r="279" spans="1:6" x14ac:dyDescent="0.3">
      <c r="A279" s="470">
        <v>581</v>
      </c>
      <c r="B279" s="722">
        <v>45506</v>
      </c>
      <c r="C279" s="733">
        <f t="shared" si="18"/>
        <v>-9334812.6114894282</v>
      </c>
      <c r="D279" s="734">
        <f>'Rencana Pompa'!$E$6</f>
        <v>-27559.817874014581</v>
      </c>
      <c r="E279" s="734">
        <f>'Rencana Pompa'!$F$6</f>
        <v>6480</v>
      </c>
      <c r="F279" s="735">
        <f t="shared" si="19"/>
        <v>-9368852.4293634426</v>
      </c>
    </row>
    <row r="280" spans="1:6" x14ac:dyDescent="0.3">
      <c r="A280" s="470">
        <v>582</v>
      </c>
      <c r="B280" s="722">
        <v>45507</v>
      </c>
      <c r="C280" s="733">
        <f t="shared" si="18"/>
        <v>-9368852.4293634426</v>
      </c>
      <c r="D280" s="734">
        <f>'Rencana Pompa'!$E$6</f>
        <v>-27559.817874014581</v>
      </c>
      <c r="E280" s="734">
        <f>'Rencana Pompa'!$F$6</f>
        <v>6480</v>
      </c>
      <c r="F280" s="735">
        <f t="shared" si="19"/>
        <v>-9402892.247237457</v>
      </c>
    </row>
    <row r="281" spans="1:6" x14ac:dyDescent="0.3">
      <c r="A281" s="470">
        <v>583</v>
      </c>
      <c r="B281" s="722">
        <v>45508</v>
      </c>
      <c r="C281" s="733">
        <f t="shared" si="18"/>
        <v>-9402892.247237457</v>
      </c>
      <c r="D281" s="734">
        <f>'Rencana Pompa'!$E$6</f>
        <v>-27559.817874014581</v>
      </c>
      <c r="E281" s="734">
        <f>'Rencana Pompa'!$F$6</f>
        <v>6480</v>
      </c>
      <c r="F281" s="735">
        <f t="shared" si="19"/>
        <v>-9436932.0651114713</v>
      </c>
    </row>
    <row r="282" spans="1:6" x14ac:dyDescent="0.3">
      <c r="A282" s="470">
        <v>584</v>
      </c>
      <c r="B282" s="722">
        <v>45509</v>
      </c>
      <c r="C282" s="733">
        <f t="shared" si="18"/>
        <v>-9436932.0651114713</v>
      </c>
      <c r="D282" s="734">
        <f>'Rencana Pompa'!$E$6</f>
        <v>-27559.817874014581</v>
      </c>
      <c r="E282" s="734">
        <f>'Rencana Pompa'!$F$6</f>
        <v>6480</v>
      </c>
      <c r="F282" s="735">
        <f t="shared" si="19"/>
        <v>-9470971.8829854857</v>
      </c>
    </row>
    <row r="283" spans="1:6" x14ac:dyDescent="0.3">
      <c r="A283" s="470">
        <v>585</v>
      </c>
      <c r="B283" s="722">
        <v>45510</v>
      </c>
      <c r="C283" s="733">
        <f t="shared" si="18"/>
        <v>-9470971.8829854857</v>
      </c>
      <c r="D283" s="734">
        <f>'Rencana Pompa'!$E$6</f>
        <v>-27559.817874014581</v>
      </c>
      <c r="E283" s="734">
        <f>'Rencana Pompa'!$F$6</f>
        <v>6480</v>
      </c>
      <c r="F283" s="735">
        <f t="shared" si="19"/>
        <v>-9505011.7008595001</v>
      </c>
    </row>
    <row r="284" spans="1:6" x14ac:dyDescent="0.3">
      <c r="A284" s="470">
        <v>586</v>
      </c>
      <c r="B284" s="722">
        <v>45511</v>
      </c>
      <c r="C284" s="733">
        <f t="shared" si="18"/>
        <v>-9505011.7008595001</v>
      </c>
      <c r="D284" s="734">
        <f>'Rencana Pompa'!$E$6</f>
        <v>-27559.817874014581</v>
      </c>
      <c r="E284" s="734">
        <f>'Rencana Pompa'!$F$6</f>
        <v>6480</v>
      </c>
      <c r="F284" s="735">
        <f t="shared" si="19"/>
        <v>-9539051.5187335145</v>
      </c>
    </row>
    <row r="285" spans="1:6" x14ac:dyDescent="0.3">
      <c r="A285" s="470">
        <v>587</v>
      </c>
      <c r="B285" s="722">
        <v>45512</v>
      </c>
      <c r="C285" s="733">
        <f t="shared" si="18"/>
        <v>-9539051.5187335145</v>
      </c>
      <c r="D285" s="734">
        <f>'Rencana Pompa'!$E$6</f>
        <v>-27559.817874014581</v>
      </c>
      <c r="E285" s="734">
        <f>'Rencana Pompa'!$F$6</f>
        <v>6480</v>
      </c>
      <c r="F285" s="735">
        <f t="shared" si="19"/>
        <v>-9573091.3366075289</v>
      </c>
    </row>
    <row r="286" spans="1:6" x14ac:dyDescent="0.3">
      <c r="A286" s="470">
        <v>588</v>
      </c>
      <c r="B286" s="722">
        <v>45513</v>
      </c>
      <c r="C286" s="733">
        <f t="shared" si="18"/>
        <v>-9573091.3366075289</v>
      </c>
      <c r="D286" s="734">
        <f>'Rencana Pompa'!$E$6</f>
        <v>-27559.817874014581</v>
      </c>
      <c r="E286" s="734">
        <f>'Rencana Pompa'!$F$6</f>
        <v>6480</v>
      </c>
      <c r="F286" s="735">
        <f t="shared" si="19"/>
        <v>-9607131.1544815432</v>
      </c>
    </row>
    <row r="287" spans="1:6" x14ac:dyDescent="0.3">
      <c r="A287" s="470">
        <v>589</v>
      </c>
      <c r="B287" s="722">
        <v>45514</v>
      </c>
      <c r="C287" s="733">
        <f t="shared" si="18"/>
        <v>-9607131.1544815432</v>
      </c>
      <c r="D287" s="734">
        <f>'Rencana Pompa'!$E$6</f>
        <v>-27559.817874014581</v>
      </c>
      <c r="E287" s="734">
        <f>'Rencana Pompa'!$F$6</f>
        <v>6480</v>
      </c>
      <c r="F287" s="735">
        <f t="shared" si="19"/>
        <v>-9641170.9723555576</v>
      </c>
    </row>
    <row r="288" spans="1:6" x14ac:dyDescent="0.3">
      <c r="A288" s="470">
        <v>590</v>
      </c>
      <c r="B288" s="722">
        <v>45515</v>
      </c>
      <c r="C288" s="733">
        <f t="shared" si="18"/>
        <v>-9641170.9723555576</v>
      </c>
      <c r="D288" s="734">
        <f>'Rencana Pompa'!$E$6</f>
        <v>-27559.817874014581</v>
      </c>
      <c r="E288" s="734">
        <f>'Rencana Pompa'!$F$6</f>
        <v>6480</v>
      </c>
      <c r="F288" s="735">
        <f t="shared" si="19"/>
        <v>-9675210.790229572</v>
      </c>
    </row>
    <row r="289" spans="1:6" x14ac:dyDescent="0.3">
      <c r="A289" s="470">
        <v>591</v>
      </c>
      <c r="B289" s="722">
        <v>45516</v>
      </c>
      <c r="C289" s="733">
        <f t="shared" si="18"/>
        <v>-9675210.790229572</v>
      </c>
      <c r="D289" s="734">
        <f>'Rencana Pompa'!$E$6</f>
        <v>-27559.817874014581</v>
      </c>
      <c r="E289" s="734">
        <f>'Rencana Pompa'!$F$6</f>
        <v>6480</v>
      </c>
      <c r="F289" s="735">
        <f t="shared" si="19"/>
        <v>-9709250.6081035864</v>
      </c>
    </row>
    <row r="290" spans="1:6" x14ac:dyDescent="0.3">
      <c r="A290" s="470">
        <v>592</v>
      </c>
      <c r="B290" s="722">
        <v>45517</v>
      </c>
      <c r="C290" s="733">
        <f t="shared" si="18"/>
        <v>-9709250.6081035864</v>
      </c>
      <c r="D290" s="734">
        <f>'Rencana Pompa'!$E$6</f>
        <v>-27559.817874014581</v>
      </c>
      <c r="E290" s="734">
        <f>'Rencana Pompa'!$F$6</f>
        <v>6480</v>
      </c>
      <c r="F290" s="735">
        <f t="shared" si="19"/>
        <v>-9743290.4259776007</v>
      </c>
    </row>
    <row r="291" spans="1:6" x14ac:dyDescent="0.3">
      <c r="A291" s="470">
        <v>593</v>
      </c>
      <c r="B291" s="722">
        <v>45518</v>
      </c>
      <c r="C291" s="733">
        <f t="shared" si="18"/>
        <v>-9743290.4259776007</v>
      </c>
      <c r="D291" s="734">
        <f>'Rencana Pompa'!$E$6</f>
        <v>-27559.817874014581</v>
      </c>
      <c r="E291" s="734">
        <f>'Rencana Pompa'!$F$6</f>
        <v>6480</v>
      </c>
      <c r="F291" s="735">
        <f t="shared" si="19"/>
        <v>-9777330.2438516151</v>
      </c>
    </row>
    <row r="292" spans="1:6" x14ac:dyDescent="0.3">
      <c r="A292" s="470">
        <v>594</v>
      </c>
      <c r="B292" s="722">
        <v>45519</v>
      </c>
      <c r="C292" s="733">
        <f t="shared" si="18"/>
        <v>-9777330.2438516151</v>
      </c>
      <c r="D292" s="734">
        <f>'Rencana Pompa'!$E$6</f>
        <v>-27559.817874014581</v>
      </c>
      <c r="E292" s="734">
        <f>'Rencana Pompa'!$F$6</f>
        <v>6480</v>
      </c>
      <c r="F292" s="735">
        <f t="shared" si="19"/>
        <v>-9811370.0617256295</v>
      </c>
    </row>
    <row r="293" spans="1:6" x14ac:dyDescent="0.3">
      <c r="A293" s="470">
        <v>595</v>
      </c>
      <c r="B293" s="722">
        <v>45520</v>
      </c>
      <c r="C293" s="733">
        <f t="shared" si="18"/>
        <v>-9811370.0617256295</v>
      </c>
      <c r="D293" s="734">
        <f>'Rencana Pompa'!$E$6</f>
        <v>-27559.817874014581</v>
      </c>
      <c r="E293" s="734">
        <f>'Rencana Pompa'!$F$6</f>
        <v>6480</v>
      </c>
      <c r="F293" s="735">
        <f t="shared" si="19"/>
        <v>-9845409.8795996439</v>
      </c>
    </row>
    <row r="294" spans="1:6" x14ac:dyDescent="0.3">
      <c r="A294" s="470">
        <v>596</v>
      </c>
      <c r="B294" s="722">
        <v>45521</v>
      </c>
      <c r="C294" s="733">
        <f t="shared" si="18"/>
        <v>-9845409.8795996439</v>
      </c>
      <c r="D294" s="734">
        <f>'Rencana Pompa'!$E$6</f>
        <v>-27559.817874014581</v>
      </c>
      <c r="E294" s="734">
        <f>'Rencana Pompa'!$F$6</f>
        <v>6480</v>
      </c>
      <c r="F294" s="735">
        <f t="shared" si="19"/>
        <v>-9879449.6974736582</v>
      </c>
    </row>
    <row r="295" spans="1:6" x14ac:dyDescent="0.3">
      <c r="A295" s="470">
        <v>597</v>
      </c>
      <c r="B295" s="722">
        <v>45522</v>
      </c>
      <c r="C295" s="733">
        <f t="shared" si="18"/>
        <v>-9879449.6974736582</v>
      </c>
      <c r="D295" s="734">
        <f>'Rencana Pompa'!$E$6</f>
        <v>-27559.817874014581</v>
      </c>
      <c r="E295" s="734">
        <f>'Rencana Pompa'!$F$6</f>
        <v>6480</v>
      </c>
      <c r="F295" s="735">
        <f t="shared" si="19"/>
        <v>-9913489.5153476726</v>
      </c>
    </row>
    <row r="296" spans="1:6" x14ac:dyDescent="0.3">
      <c r="A296" s="470">
        <v>598</v>
      </c>
      <c r="B296" s="722">
        <v>45523</v>
      </c>
      <c r="C296" s="733">
        <f t="shared" si="18"/>
        <v>-9913489.5153476726</v>
      </c>
      <c r="D296" s="734">
        <f>'Rencana Pompa'!$E$6</f>
        <v>-27559.817874014581</v>
      </c>
      <c r="E296" s="734">
        <f>'Rencana Pompa'!$F$6</f>
        <v>6480</v>
      </c>
      <c r="F296" s="735">
        <f t="shared" si="19"/>
        <v>-9947529.333221687</v>
      </c>
    </row>
    <row r="297" spans="1:6" x14ac:dyDescent="0.3">
      <c r="A297" s="470">
        <v>599</v>
      </c>
      <c r="B297" s="722">
        <v>45524</v>
      </c>
      <c r="C297" s="733">
        <f t="shared" si="18"/>
        <v>-9947529.333221687</v>
      </c>
      <c r="D297" s="734">
        <f>'Rencana Pompa'!$E$6</f>
        <v>-27559.817874014581</v>
      </c>
      <c r="E297" s="734">
        <f>'Rencana Pompa'!$F$6</f>
        <v>6480</v>
      </c>
      <c r="F297" s="735">
        <f t="shared" si="19"/>
        <v>-9981569.1510957014</v>
      </c>
    </row>
    <row r="298" spans="1:6" x14ac:dyDescent="0.3">
      <c r="A298" s="470">
        <v>600</v>
      </c>
      <c r="B298" s="722">
        <v>45525</v>
      </c>
      <c r="C298" s="733">
        <f t="shared" si="18"/>
        <v>-9981569.1510957014</v>
      </c>
      <c r="D298" s="734">
        <f>'Rencana Pompa'!$E$6</f>
        <v>-27559.817874014581</v>
      </c>
      <c r="E298" s="734">
        <f>'Rencana Pompa'!$F$6</f>
        <v>6480</v>
      </c>
      <c r="F298" s="735">
        <f t="shared" si="19"/>
        <v>-10015608.968969716</v>
      </c>
    </row>
    <row r="299" spans="1:6" x14ac:dyDescent="0.3">
      <c r="A299" s="470">
        <v>601</v>
      </c>
      <c r="B299" s="722">
        <v>45526</v>
      </c>
      <c r="C299" s="733">
        <f t="shared" si="18"/>
        <v>-10015608.968969716</v>
      </c>
      <c r="D299" s="734">
        <f>'Rencana Pompa'!$E$6</f>
        <v>-27559.817874014581</v>
      </c>
      <c r="E299" s="734">
        <f>'Rencana Pompa'!$F$6</f>
        <v>6480</v>
      </c>
      <c r="F299" s="735">
        <f t="shared" si="19"/>
        <v>-10049648.78684373</v>
      </c>
    </row>
    <row r="300" spans="1:6" x14ac:dyDescent="0.3">
      <c r="A300" s="470">
        <v>602</v>
      </c>
      <c r="B300" s="722">
        <v>45527</v>
      </c>
      <c r="C300" s="733">
        <f t="shared" si="18"/>
        <v>-10049648.78684373</v>
      </c>
      <c r="D300" s="734">
        <f>'Rencana Pompa'!$E$6</f>
        <v>-27559.817874014581</v>
      </c>
      <c r="E300" s="734">
        <f>'Rencana Pompa'!$F$6</f>
        <v>6480</v>
      </c>
      <c r="F300" s="735">
        <f t="shared" si="19"/>
        <v>-10083688.604717745</v>
      </c>
    </row>
    <row r="301" spans="1:6" x14ac:dyDescent="0.3">
      <c r="A301" s="470">
        <v>603</v>
      </c>
      <c r="B301" s="722">
        <v>45528</v>
      </c>
      <c r="C301" s="733">
        <f t="shared" si="18"/>
        <v>-10083688.604717745</v>
      </c>
      <c r="D301" s="734">
        <f>'Rencana Pompa'!$E$6</f>
        <v>-27559.817874014581</v>
      </c>
      <c r="E301" s="734">
        <f>'Rencana Pompa'!$F$6</f>
        <v>6480</v>
      </c>
      <c r="F301" s="735">
        <f t="shared" si="19"/>
        <v>-10117728.422591759</v>
      </c>
    </row>
    <row r="302" spans="1:6" x14ac:dyDescent="0.3">
      <c r="A302" s="470">
        <v>604</v>
      </c>
      <c r="B302" s="722">
        <v>45529</v>
      </c>
      <c r="C302" s="733">
        <f t="shared" si="18"/>
        <v>-10117728.422591759</v>
      </c>
      <c r="D302" s="734">
        <f>'Rencana Pompa'!$E$6</f>
        <v>-27559.817874014581</v>
      </c>
      <c r="E302" s="734">
        <f>'Rencana Pompa'!$F$6</f>
        <v>6480</v>
      </c>
      <c r="F302" s="735">
        <f t="shared" si="19"/>
        <v>-10151768.240465773</v>
      </c>
    </row>
    <row r="303" spans="1:6" x14ac:dyDescent="0.3">
      <c r="A303" s="470">
        <v>605</v>
      </c>
      <c r="B303" s="722">
        <v>45530</v>
      </c>
      <c r="C303" s="733">
        <f t="shared" si="18"/>
        <v>-10151768.240465773</v>
      </c>
      <c r="D303" s="734">
        <f>'Rencana Pompa'!$E$6</f>
        <v>-27559.817874014581</v>
      </c>
      <c r="E303" s="734">
        <f>'Rencana Pompa'!$F$6</f>
        <v>6480</v>
      </c>
      <c r="F303" s="735">
        <f t="shared" si="19"/>
        <v>-10185808.058339788</v>
      </c>
    </row>
    <row r="304" spans="1:6" x14ac:dyDescent="0.3">
      <c r="A304" s="470">
        <v>606</v>
      </c>
      <c r="B304" s="722">
        <v>45531</v>
      </c>
      <c r="C304" s="733">
        <f t="shared" si="18"/>
        <v>-10185808.058339788</v>
      </c>
      <c r="D304" s="734">
        <f>'Rencana Pompa'!$E$6</f>
        <v>-27559.817874014581</v>
      </c>
      <c r="E304" s="734">
        <f>'Rencana Pompa'!$F$6</f>
        <v>6480</v>
      </c>
      <c r="F304" s="735">
        <f t="shared" si="19"/>
        <v>-10219847.876213802</v>
      </c>
    </row>
    <row r="305" spans="1:6" x14ac:dyDescent="0.3">
      <c r="A305" s="470">
        <v>607</v>
      </c>
      <c r="B305" s="722">
        <v>45532</v>
      </c>
      <c r="C305" s="733">
        <f t="shared" si="18"/>
        <v>-10219847.876213802</v>
      </c>
      <c r="D305" s="734">
        <f>'Rencana Pompa'!$E$6</f>
        <v>-27559.817874014581</v>
      </c>
      <c r="E305" s="734">
        <f>'Rencana Pompa'!$F$6</f>
        <v>6480</v>
      </c>
      <c r="F305" s="735">
        <f t="shared" si="19"/>
        <v>-10253887.694087816</v>
      </c>
    </row>
    <row r="306" spans="1:6" x14ac:dyDescent="0.3">
      <c r="A306" s="470">
        <v>608</v>
      </c>
      <c r="B306" s="722">
        <v>45533</v>
      </c>
      <c r="C306" s="733">
        <f t="shared" si="18"/>
        <v>-10253887.694087816</v>
      </c>
      <c r="D306" s="734">
        <f>'Rencana Pompa'!$E$6</f>
        <v>-27559.817874014581</v>
      </c>
      <c r="E306" s="734">
        <f>'Rencana Pompa'!$F$6</f>
        <v>6480</v>
      </c>
      <c r="F306" s="735">
        <f t="shared" si="19"/>
        <v>-10287927.511961831</v>
      </c>
    </row>
    <row r="307" spans="1:6" x14ac:dyDescent="0.3">
      <c r="A307" s="470">
        <v>609</v>
      </c>
      <c r="B307" s="722">
        <v>45534</v>
      </c>
      <c r="C307" s="733">
        <f t="shared" si="18"/>
        <v>-10287927.511961831</v>
      </c>
      <c r="D307" s="734">
        <f>'Rencana Pompa'!$E$6</f>
        <v>-27559.817874014581</v>
      </c>
      <c r="E307" s="734">
        <f>'Rencana Pompa'!$F$6</f>
        <v>6480</v>
      </c>
      <c r="F307" s="735">
        <f t="shared" si="19"/>
        <v>-10321967.329835845</v>
      </c>
    </row>
    <row r="308" spans="1:6" x14ac:dyDescent="0.3">
      <c r="A308" s="470">
        <v>610</v>
      </c>
      <c r="B308" s="722">
        <v>45535</v>
      </c>
      <c r="C308" s="733">
        <f t="shared" si="18"/>
        <v>-10321967.329835845</v>
      </c>
      <c r="D308" s="734">
        <f>'Rencana Pompa'!$E$6</f>
        <v>-27559.817874014581</v>
      </c>
      <c r="E308" s="734">
        <f>'Rencana Pompa'!$F$6</f>
        <v>6480</v>
      </c>
      <c r="F308" s="735">
        <f t="shared" si="19"/>
        <v>-10356007.14770986</v>
      </c>
    </row>
    <row r="309" spans="1:6" x14ac:dyDescent="0.3">
      <c r="A309" s="470">
        <v>611</v>
      </c>
      <c r="B309" s="722">
        <v>45536</v>
      </c>
      <c r="C309" s="733">
        <f t="shared" si="18"/>
        <v>-10356007.14770986</v>
      </c>
      <c r="D309" s="734">
        <f>'Rencana Pompa'!$E$6</f>
        <v>-27559.817874014581</v>
      </c>
      <c r="E309" s="734">
        <f>'Rencana Pompa'!$F$6</f>
        <v>6480</v>
      </c>
      <c r="F309" s="735">
        <f t="shared" si="19"/>
        <v>-10390046.965583874</v>
      </c>
    </row>
    <row r="310" spans="1:6" x14ac:dyDescent="0.3">
      <c r="A310" s="470">
        <v>612</v>
      </c>
      <c r="B310" s="722">
        <v>45537</v>
      </c>
      <c r="C310" s="733">
        <f t="shared" si="18"/>
        <v>-10390046.965583874</v>
      </c>
      <c r="D310" s="734">
        <f>'Rencana Pompa'!$E$6</f>
        <v>-27559.817874014581</v>
      </c>
      <c r="E310" s="734">
        <f>'Rencana Pompa'!$F$6</f>
        <v>6480</v>
      </c>
      <c r="F310" s="735">
        <f t="shared" si="19"/>
        <v>-10424086.783457888</v>
      </c>
    </row>
    <row r="311" spans="1:6" x14ac:dyDescent="0.3">
      <c r="A311" s="470">
        <v>613</v>
      </c>
      <c r="B311" s="722">
        <v>45538</v>
      </c>
      <c r="C311" s="733">
        <f t="shared" si="18"/>
        <v>-10424086.783457888</v>
      </c>
      <c r="D311" s="734">
        <f>'Rencana Pompa'!$E$6</f>
        <v>-27559.817874014581</v>
      </c>
      <c r="E311" s="734">
        <f>'Rencana Pompa'!$F$6</f>
        <v>6480</v>
      </c>
      <c r="F311" s="735">
        <f t="shared" si="19"/>
        <v>-10458126.601331903</v>
      </c>
    </row>
    <row r="312" spans="1:6" x14ac:dyDescent="0.3">
      <c r="A312" s="470">
        <v>614</v>
      </c>
      <c r="B312" s="722">
        <v>45539</v>
      </c>
      <c r="C312" s="733">
        <f t="shared" si="18"/>
        <v>-10458126.601331903</v>
      </c>
      <c r="D312" s="734">
        <f>'Rencana Pompa'!$E$6</f>
        <v>-27559.817874014581</v>
      </c>
      <c r="E312" s="734">
        <f>'Rencana Pompa'!$F$6</f>
        <v>6480</v>
      </c>
      <c r="F312" s="735">
        <f t="shared" si="19"/>
        <v>-10492166.419205917</v>
      </c>
    </row>
    <row r="313" spans="1:6" x14ac:dyDescent="0.3">
      <c r="A313" s="470">
        <v>615</v>
      </c>
      <c r="B313" s="722">
        <v>45540</v>
      </c>
      <c r="C313" s="733">
        <f t="shared" si="18"/>
        <v>-10492166.419205917</v>
      </c>
      <c r="D313" s="734">
        <f>'Rencana Pompa'!$E$6</f>
        <v>-27559.817874014581</v>
      </c>
      <c r="E313" s="734">
        <f>'Rencana Pompa'!$F$6</f>
        <v>6480</v>
      </c>
      <c r="F313" s="735">
        <f t="shared" si="19"/>
        <v>-10526206.237079931</v>
      </c>
    </row>
    <row r="314" spans="1:6" x14ac:dyDescent="0.3">
      <c r="A314" s="470">
        <v>616</v>
      </c>
      <c r="B314" s="722">
        <v>45541</v>
      </c>
      <c r="C314" s="733">
        <f t="shared" si="18"/>
        <v>-10526206.237079931</v>
      </c>
      <c r="D314" s="734">
        <f>'Rencana Pompa'!$E$6</f>
        <v>-27559.817874014581</v>
      </c>
      <c r="E314" s="734">
        <f>'Rencana Pompa'!$F$6</f>
        <v>6480</v>
      </c>
      <c r="F314" s="735">
        <f t="shared" si="19"/>
        <v>-10560246.054953946</v>
      </c>
    </row>
    <row r="315" spans="1:6" x14ac:dyDescent="0.3">
      <c r="A315" s="470">
        <v>617</v>
      </c>
      <c r="B315" s="722">
        <v>45542</v>
      </c>
      <c r="C315" s="733">
        <f t="shared" si="18"/>
        <v>-10560246.054953946</v>
      </c>
      <c r="D315" s="734">
        <f>'Rencana Pompa'!$E$6</f>
        <v>-27559.817874014581</v>
      </c>
      <c r="E315" s="734">
        <f>'Rencana Pompa'!$F$6</f>
        <v>6480</v>
      </c>
      <c r="F315" s="735">
        <f t="shared" si="19"/>
        <v>-10594285.87282796</v>
      </c>
    </row>
    <row r="316" spans="1:6" x14ac:dyDescent="0.3">
      <c r="A316" s="470">
        <v>618</v>
      </c>
      <c r="B316" s="722">
        <v>45543</v>
      </c>
      <c r="C316" s="733">
        <f t="shared" si="18"/>
        <v>-10594285.87282796</v>
      </c>
      <c r="D316" s="734">
        <f>'Rencana Pompa'!$E$6</f>
        <v>-27559.817874014581</v>
      </c>
      <c r="E316" s="734">
        <f>'Rencana Pompa'!$F$6</f>
        <v>6480</v>
      </c>
      <c r="F316" s="735">
        <f t="shared" si="19"/>
        <v>-10628325.690701975</v>
      </c>
    </row>
    <row r="317" spans="1:6" x14ac:dyDescent="0.3">
      <c r="A317" s="470">
        <v>619</v>
      </c>
      <c r="B317" s="722">
        <v>45544</v>
      </c>
      <c r="C317" s="733">
        <f t="shared" si="18"/>
        <v>-10628325.690701975</v>
      </c>
      <c r="D317" s="734">
        <f>'Rencana Pompa'!$E$6</f>
        <v>-27559.817874014581</v>
      </c>
      <c r="E317" s="734">
        <f>'Rencana Pompa'!$F$6</f>
        <v>6480</v>
      </c>
      <c r="F317" s="735">
        <f t="shared" si="19"/>
        <v>-10662365.508575989</v>
      </c>
    </row>
    <row r="318" spans="1:6" x14ac:dyDescent="0.3">
      <c r="A318" s="470">
        <v>620</v>
      </c>
      <c r="B318" s="722">
        <v>45545</v>
      </c>
      <c r="C318" s="733">
        <f t="shared" si="18"/>
        <v>-10662365.508575989</v>
      </c>
      <c r="D318" s="734">
        <f>'Rencana Pompa'!$E$6</f>
        <v>-27559.817874014581</v>
      </c>
      <c r="E318" s="734">
        <f>'Rencana Pompa'!$F$6</f>
        <v>6480</v>
      </c>
      <c r="F318" s="735">
        <f t="shared" si="19"/>
        <v>-10696405.326450003</v>
      </c>
    </row>
    <row r="319" spans="1:6" x14ac:dyDescent="0.3">
      <c r="A319" s="470">
        <v>621</v>
      </c>
      <c r="B319" s="722">
        <v>45546</v>
      </c>
      <c r="C319" s="733">
        <f t="shared" si="18"/>
        <v>-10696405.326450003</v>
      </c>
      <c r="D319" s="734">
        <f>'Rencana Pompa'!$E$6</f>
        <v>-27559.817874014581</v>
      </c>
      <c r="E319" s="734">
        <f>'Rencana Pompa'!$F$6</f>
        <v>6480</v>
      </c>
      <c r="F319" s="735">
        <f t="shared" si="19"/>
        <v>-10730445.144324018</v>
      </c>
    </row>
    <row r="320" spans="1:6" x14ac:dyDescent="0.3">
      <c r="A320" s="470">
        <v>622</v>
      </c>
      <c r="B320" s="722">
        <v>45547</v>
      </c>
      <c r="C320" s="733">
        <f t="shared" si="18"/>
        <v>-10730445.144324018</v>
      </c>
      <c r="D320" s="734">
        <f>'Rencana Pompa'!$E$6</f>
        <v>-27559.817874014581</v>
      </c>
      <c r="E320" s="734">
        <f>'Rencana Pompa'!$F$6</f>
        <v>6480</v>
      </c>
      <c r="F320" s="735">
        <f t="shared" si="19"/>
        <v>-10764484.962198032</v>
      </c>
    </row>
    <row r="321" spans="1:6" x14ac:dyDescent="0.3">
      <c r="A321" s="470">
        <v>623</v>
      </c>
      <c r="B321" s="722">
        <v>45548</v>
      </c>
      <c r="C321" s="733">
        <f t="shared" si="18"/>
        <v>-10764484.962198032</v>
      </c>
      <c r="D321" s="734">
        <f>'Rencana Pompa'!$E$6</f>
        <v>-27559.817874014581</v>
      </c>
      <c r="E321" s="734">
        <f>'Rencana Pompa'!$F$6</f>
        <v>6480</v>
      </c>
      <c r="F321" s="735">
        <f t="shared" si="19"/>
        <v>-10798524.780072046</v>
      </c>
    </row>
    <row r="322" spans="1:6" x14ac:dyDescent="0.3">
      <c r="A322" s="470">
        <v>624</v>
      </c>
      <c r="B322" s="722">
        <v>45549</v>
      </c>
      <c r="C322" s="733">
        <f t="shared" si="18"/>
        <v>-10798524.780072046</v>
      </c>
      <c r="D322" s="734">
        <f>'Rencana Pompa'!$E$6</f>
        <v>-27559.817874014581</v>
      </c>
      <c r="E322" s="734">
        <f>'Rencana Pompa'!$F$6</f>
        <v>6480</v>
      </c>
      <c r="F322" s="735">
        <f t="shared" si="19"/>
        <v>-10832564.597946061</v>
      </c>
    </row>
    <row r="323" spans="1:6" x14ac:dyDescent="0.3">
      <c r="A323" s="470">
        <v>625</v>
      </c>
      <c r="B323" s="722">
        <v>45550</v>
      </c>
      <c r="C323" s="733">
        <f t="shared" si="18"/>
        <v>-10832564.597946061</v>
      </c>
      <c r="D323" s="734">
        <f>'Rencana Pompa'!$E$6</f>
        <v>-27559.817874014581</v>
      </c>
      <c r="E323" s="734">
        <f>'Rencana Pompa'!$F$6</f>
        <v>6480</v>
      </c>
      <c r="F323" s="735">
        <f t="shared" si="19"/>
        <v>-10866604.415820075</v>
      </c>
    </row>
    <row r="324" spans="1:6" x14ac:dyDescent="0.3">
      <c r="A324" s="470">
        <v>626</v>
      </c>
      <c r="B324" s="722">
        <v>45551</v>
      </c>
      <c r="C324" s="733">
        <f t="shared" si="18"/>
        <v>-10866604.415820075</v>
      </c>
      <c r="D324" s="734">
        <f>'Rencana Pompa'!$E$6</f>
        <v>-27559.817874014581</v>
      </c>
      <c r="E324" s="734">
        <f>'Rencana Pompa'!$F$6</f>
        <v>6480</v>
      </c>
      <c r="F324" s="735">
        <f t="shared" si="19"/>
        <v>-10900644.23369409</v>
      </c>
    </row>
    <row r="325" spans="1:6" x14ac:dyDescent="0.3">
      <c r="A325" s="470">
        <v>627</v>
      </c>
      <c r="B325" s="722">
        <v>45552</v>
      </c>
      <c r="C325" s="733">
        <f t="shared" si="18"/>
        <v>-10900644.23369409</v>
      </c>
      <c r="D325" s="734">
        <f>'Rencana Pompa'!$E$6</f>
        <v>-27559.817874014581</v>
      </c>
      <c r="E325" s="734">
        <f>'Rencana Pompa'!$F$6</f>
        <v>6480</v>
      </c>
      <c r="F325" s="735">
        <f t="shared" si="19"/>
        <v>-10934684.051568104</v>
      </c>
    </row>
    <row r="326" spans="1:6" x14ac:dyDescent="0.3">
      <c r="A326" s="470">
        <v>628</v>
      </c>
      <c r="B326" s="722">
        <v>45553</v>
      </c>
      <c r="C326" s="733">
        <f t="shared" si="18"/>
        <v>-10934684.051568104</v>
      </c>
      <c r="D326" s="734">
        <f>'Rencana Pompa'!$E$6</f>
        <v>-27559.817874014581</v>
      </c>
      <c r="E326" s="734">
        <f>'Rencana Pompa'!$F$6</f>
        <v>6480</v>
      </c>
      <c r="F326" s="735">
        <f t="shared" si="19"/>
        <v>-10968723.869442118</v>
      </c>
    </row>
    <row r="327" spans="1:6" x14ac:dyDescent="0.3">
      <c r="A327" s="470">
        <v>629</v>
      </c>
      <c r="B327" s="722">
        <v>45554</v>
      </c>
      <c r="C327" s="733">
        <f t="shared" si="18"/>
        <v>-10968723.869442118</v>
      </c>
      <c r="D327" s="734">
        <f>'Rencana Pompa'!$E$6</f>
        <v>-27559.817874014581</v>
      </c>
      <c r="E327" s="734">
        <f>'Rencana Pompa'!$F$6</f>
        <v>6480</v>
      </c>
      <c r="F327" s="735">
        <f t="shared" si="19"/>
        <v>-11002763.687316133</v>
      </c>
    </row>
    <row r="328" spans="1:6" x14ac:dyDescent="0.3">
      <c r="A328" s="470">
        <v>630</v>
      </c>
      <c r="B328" s="722">
        <v>45555</v>
      </c>
      <c r="C328" s="733">
        <f t="shared" si="18"/>
        <v>-11002763.687316133</v>
      </c>
      <c r="D328" s="734">
        <f>'Rencana Pompa'!$E$6</f>
        <v>-27559.817874014581</v>
      </c>
      <c r="E328" s="734">
        <f>'Rencana Pompa'!$F$6</f>
        <v>6480</v>
      </c>
      <c r="F328" s="735">
        <f t="shared" si="19"/>
        <v>-11036803.505190147</v>
      </c>
    </row>
    <row r="329" spans="1:6" x14ac:dyDescent="0.3">
      <c r="A329" s="470">
        <v>631</v>
      </c>
      <c r="B329" s="722">
        <v>45556</v>
      </c>
      <c r="C329" s="733">
        <f t="shared" si="18"/>
        <v>-11036803.505190147</v>
      </c>
      <c r="D329" s="734">
        <f>'Rencana Pompa'!$E$6</f>
        <v>-27559.817874014581</v>
      </c>
      <c r="E329" s="734">
        <f>'Rencana Pompa'!$F$6</f>
        <v>6480</v>
      </c>
      <c r="F329" s="735">
        <f t="shared" si="19"/>
        <v>-11070843.323064161</v>
      </c>
    </row>
    <row r="330" spans="1:6" x14ac:dyDescent="0.3">
      <c r="A330" s="470">
        <v>632</v>
      </c>
      <c r="B330" s="722">
        <v>45557</v>
      </c>
      <c r="C330" s="733">
        <f t="shared" si="18"/>
        <v>-11070843.323064161</v>
      </c>
      <c r="D330" s="734">
        <f>'Rencana Pompa'!$E$6</f>
        <v>-27559.817874014581</v>
      </c>
      <c r="E330" s="734">
        <f>'Rencana Pompa'!$F$6</f>
        <v>6480</v>
      </c>
      <c r="F330" s="735">
        <f t="shared" si="19"/>
        <v>-11104883.140938176</v>
      </c>
    </row>
    <row r="331" spans="1:6" x14ac:dyDescent="0.3">
      <c r="A331" s="470">
        <v>633</v>
      </c>
      <c r="B331" s="722">
        <v>45558</v>
      </c>
      <c r="C331" s="733">
        <f t="shared" si="18"/>
        <v>-11104883.140938176</v>
      </c>
      <c r="D331" s="734">
        <f>'Rencana Pompa'!$E$6</f>
        <v>-27559.817874014581</v>
      </c>
      <c r="E331" s="734">
        <f>'Rencana Pompa'!$F$6</f>
        <v>6480</v>
      </c>
      <c r="F331" s="735">
        <f t="shared" si="19"/>
        <v>-11138922.95881219</v>
      </c>
    </row>
    <row r="332" spans="1:6" x14ac:dyDescent="0.3">
      <c r="A332" s="470">
        <v>634</v>
      </c>
      <c r="B332" s="722">
        <v>45559</v>
      </c>
      <c r="C332" s="733">
        <f t="shared" si="18"/>
        <v>-11138922.95881219</v>
      </c>
      <c r="D332" s="734">
        <f>'Rencana Pompa'!$E$6</f>
        <v>-27559.817874014581</v>
      </c>
      <c r="E332" s="734">
        <f>'Rencana Pompa'!$F$6</f>
        <v>6480</v>
      </c>
      <c r="F332" s="735">
        <f t="shared" si="19"/>
        <v>-11172962.776686205</v>
      </c>
    </row>
    <row r="333" spans="1:6" x14ac:dyDescent="0.3">
      <c r="A333" s="470">
        <v>635</v>
      </c>
      <c r="B333" s="722">
        <v>45560</v>
      </c>
      <c r="C333" s="733">
        <f t="shared" si="18"/>
        <v>-11172962.776686205</v>
      </c>
      <c r="D333" s="734">
        <f>'Rencana Pompa'!$E$6</f>
        <v>-27559.817874014581</v>
      </c>
      <c r="E333" s="734">
        <f>'Rencana Pompa'!$F$6</f>
        <v>6480</v>
      </c>
      <c r="F333" s="735">
        <f t="shared" si="19"/>
        <v>-11207002.594560219</v>
      </c>
    </row>
    <row r="334" spans="1:6" x14ac:dyDescent="0.3">
      <c r="A334" s="470">
        <v>636</v>
      </c>
      <c r="B334" s="722">
        <v>45561</v>
      </c>
      <c r="C334" s="733">
        <f t="shared" si="18"/>
        <v>-11207002.594560219</v>
      </c>
      <c r="D334" s="734">
        <f>'Rencana Pompa'!$E$6</f>
        <v>-27559.817874014581</v>
      </c>
      <c r="E334" s="734">
        <f>'Rencana Pompa'!$F$6</f>
        <v>6480</v>
      </c>
      <c r="F334" s="735">
        <f t="shared" si="19"/>
        <v>-11241042.412434233</v>
      </c>
    </row>
    <row r="335" spans="1:6" x14ac:dyDescent="0.3">
      <c r="A335" s="470">
        <v>637</v>
      </c>
      <c r="B335" s="722">
        <v>45562</v>
      </c>
      <c r="C335" s="733">
        <f t="shared" si="18"/>
        <v>-11241042.412434233</v>
      </c>
      <c r="D335" s="734">
        <f>'Rencana Pompa'!$E$6</f>
        <v>-27559.817874014581</v>
      </c>
      <c r="E335" s="734">
        <f>'Rencana Pompa'!$F$6</f>
        <v>6480</v>
      </c>
      <c r="F335" s="735">
        <f t="shared" si="19"/>
        <v>-11275082.230308248</v>
      </c>
    </row>
    <row r="336" spans="1:6" x14ac:dyDescent="0.3">
      <c r="A336" s="470">
        <v>638</v>
      </c>
      <c r="B336" s="722">
        <v>45563</v>
      </c>
      <c r="C336" s="733">
        <f t="shared" si="18"/>
        <v>-11275082.230308248</v>
      </c>
      <c r="D336" s="734">
        <f>'Rencana Pompa'!$E$6</f>
        <v>-27559.817874014581</v>
      </c>
      <c r="E336" s="734">
        <f>'Rencana Pompa'!$F$6</f>
        <v>6480</v>
      </c>
      <c r="F336" s="735">
        <f t="shared" si="19"/>
        <v>-11309122.048182262</v>
      </c>
    </row>
    <row r="337" spans="1:6" x14ac:dyDescent="0.3">
      <c r="A337" s="470">
        <v>639</v>
      </c>
      <c r="B337" s="722">
        <v>45564</v>
      </c>
      <c r="C337" s="733">
        <f t="shared" si="18"/>
        <v>-11309122.048182262</v>
      </c>
      <c r="D337" s="734">
        <f>'Rencana Pompa'!$E$6</f>
        <v>-27559.817874014581</v>
      </c>
      <c r="E337" s="734">
        <f>'Rencana Pompa'!$F$6</f>
        <v>6480</v>
      </c>
      <c r="F337" s="735">
        <f t="shared" si="19"/>
        <v>-11343161.866056276</v>
      </c>
    </row>
    <row r="338" spans="1:6" x14ac:dyDescent="0.3">
      <c r="A338" s="470">
        <v>640</v>
      </c>
      <c r="B338" s="722">
        <v>45565</v>
      </c>
      <c r="C338" s="733">
        <f t="shared" ref="C338:C367" si="20">F337</f>
        <v>-11343161.866056276</v>
      </c>
      <c r="D338" s="734">
        <f>'Rencana Pompa'!$E$6</f>
        <v>-27559.817874014581</v>
      </c>
      <c r="E338" s="734">
        <f>'Rencana Pompa'!$F$6</f>
        <v>6480</v>
      </c>
      <c r="F338" s="735">
        <f t="shared" ref="F338:F367" si="21">C338+D338-E338</f>
        <v>-11377201.683930291</v>
      </c>
    </row>
    <row r="339" spans="1:6" x14ac:dyDescent="0.3">
      <c r="A339" s="470">
        <v>641</v>
      </c>
      <c r="B339" s="722">
        <v>45566</v>
      </c>
      <c r="C339" s="733">
        <f t="shared" si="20"/>
        <v>-11377201.683930291</v>
      </c>
      <c r="D339" s="734">
        <f>'Rencana Pompa'!$E$6</f>
        <v>-27559.817874014581</v>
      </c>
      <c r="E339" s="734">
        <f>'Rencana Pompa'!$F$6</f>
        <v>6480</v>
      </c>
      <c r="F339" s="735">
        <f t="shared" si="21"/>
        <v>-11411241.501804305</v>
      </c>
    </row>
    <row r="340" spans="1:6" x14ac:dyDescent="0.3">
      <c r="A340" s="470">
        <v>642</v>
      </c>
      <c r="B340" s="722">
        <v>45567</v>
      </c>
      <c r="C340" s="733">
        <f t="shared" si="20"/>
        <v>-11411241.501804305</v>
      </c>
      <c r="D340" s="734">
        <f>'Rencana Pompa'!$E$6</f>
        <v>-27559.817874014581</v>
      </c>
      <c r="E340" s="734">
        <f>'Rencana Pompa'!$F$6</f>
        <v>6480</v>
      </c>
      <c r="F340" s="735">
        <f t="shared" si="21"/>
        <v>-11445281.31967832</v>
      </c>
    </row>
    <row r="341" spans="1:6" x14ac:dyDescent="0.3">
      <c r="A341" s="470">
        <v>643</v>
      </c>
      <c r="B341" s="722">
        <v>45568</v>
      </c>
      <c r="C341" s="733">
        <f t="shared" si="20"/>
        <v>-11445281.31967832</v>
      </c>
      <c r="D341" s="734">
        <f>'Rencana Pompa'!$E$6</f>
        <v>-27559.817874014581</v>
      </c>
      <c r="E341" s="734">
        <f>'Rencana Pompa'!$F$6</f>
        <v>6480</v>
      </c>
      <c r="F341" s="735">
        <f t="shared" si="21"/>
        <v>-11479321.137552334</v>
      </c>
    </row>
    <row r="342" spans="1:6" x14ac:dyDescent="0.3">
      <c r="A342" s="470">
        <v>644</v>
      </c>
      <c r="B342" s="722">
        <v>45569</v>
      </c>
      <c r="C342" s="733">
        <f t="shared" si="20"/>
        <v>-11479321.137552334</v>
      </c>
      <c r="D342" s="734">
        <f>'Rencana Pompa'!$E$6</f>
        <v>-27559.817874014581</v>
      </c>
      <c r="E342" s="734">
        <f>'Rencana Pompa'!$F$6</f>
        <v>6480</v>
      </c>
      <c r="F342" s="735">
        <f t="shared" si="21"/>
        <v>-11513360.955426348</v>
      </c>
    </row>
    <row r="343" spans="1:6" x14ac:dyDescent="0.3">
      <c r="A343" s="470">
        <v>645</v>
      </c>
      <c r="B343" s="722">
        <v>45570</v>
      </c>
      <c r="C343" s="733">
        <f t="shared" si="20"/>
        <v>-11513360.955426348</v>
      </c>
      <c r="D343" s="734">
        <f>'Rencana Pompa'!$E$6</f>
        <v>-27559.817874014581</v>
      </c>
      <c r="E343" s="734">
        <f>'Rencana Pompa'!$F$6</f>
        <v>6480</v>
      </c>
      <c r="F343" s="735">
        <f t="shared" si="21"/>
        <v>-11547400.773300363</v>
      </c>
    </row>
    <row r="344" spans="1:6" x14ac:dyDescent="0.3">
      <c r="A344" s="470">
        <v>646</v>
      </c>
      <c r="B344" s="722">
        <v>45571</v>
      </c>
      <c r="C344" s="733">
        <f t="shared" si="20"/>
        <v>-11547400.773300363</v>
      </c>
      <c r="D344" s="734">
        <f>'Rencana Pompa'!$E$6</f>
        <v>-27559.817874014581</v>
      </c>
      <c r="E344" s="734">
        <f>'Rencana Pompa'!$F$6</f>
        <v>6480</v>
      </c>
      <c r="F344" s="735">
        <f t="shared" si="21"/>
        <v>-11581440.591174377</v>
      </c>
    </row>
    <row r="345" spans="1:6" x14ac:dyDescent="0.3">
      <c r="A345" s="470">
        <v>647</v>
      </c>
      <c r="B345" s="722">
        <v>45572</v>
      </c>
      <c r="C345" s="733">
        <f t="shared" si="20"/>
        <v>-11581440.591174377</v>
      </c>
      <c r="D345" s="734">
        <f>'Rencana Pompa'!$E$6</f>
        <v>-27559.817874014581</v>
      </c>
      <c r="E345" s="734">
        <f>'Rencana Pompa'!$F$6</f>
        <v>6480</v>
      </c>
      <c r="F345" s="735">
        <f t="shared" si="21"/>
        <v>-11615480.409048392</v>
      </c>
    </row>
    <row r="346" spans="1:6" x14ac:dyDescent="0.3">
      <c r="A346" s="470">
        <v>648</v>
      </c>
      <c r="B346" s="722">
        <v>45573</v>
      </c>
      <c r="C346" s="733">
        <f t="shared" si="20"/>
        <v>-11615480.409048392</v>
      </c>
      <c r="D346" s="734">
        <f>'Rencana Pompa'!$E$6</f>
        <v>-27559.817874014581</v>
      </c>
      <c r="E346" s="734">
        <f>'Rencana Pompa'!$F$6</f>
        <v>6480</v>
      </c>
      <c r="F346" s="735">
        <f t="shared" si="21"/>
        <v>-11649520.226922406</v>
      </c>
    </row>
    <row r="347" spans="1:6" x14ac:dyDescent="0.3">
      <c r="A347" s="470">
        <v>649</v>
      </c>
      <c r="B347" s="722">
        <v>45574</v>
      </c>
      <c r="C347" s="733">
        <f t="shared" si="20"/>
        <v>-11649520.226922406</v>
      </c>
      <c r="D347" s="734">
        <f>'Rencana Pompa'!$E$6</f>
        <v>-27559.817874014581</v>
      </c>
      <c r="E347" s="734">
        <f>'Rencana Pompa'!$F$6</f>
        <v>6480</v>
      </c>
      <c r="F347" s="735">
        <f t="shared" si="21"/>
        <v>-11683560.04479642</v>
      </c>
    </row>
    <row r="348" spans="1:6" x14ac:dyDescent="0.3">
      <c r="A348" s="470">
        <v>650</v>
      </c>
      <c r="B348" s="722">
        <v>45575</v>
      </c>
      <c r="C348" s="733">
        <f t="shared" si="20"/>
        <v>-11683560.04479642</v>
      </c>
      <c r="D348" s="734">
        <f>'Rencana Pompa'!$E$6</f>
        <v>-27559.817874014581</v>
      </c>
      <c r="E348" s="734">
        <f>'Rencana Pompa'!$F$6</f>
        <v>6480</v>
      </c>
      <c r="F348" s="735">
        <f t="shared" si="21"/>
        <v>-11717599.862670435</v>
      </c>
    </row>
    <row r="349" spans="1:6" x14ac:dyDescent="0.3">
      <c r="A349" s="470">
        <v>651</v>
      </c>
      <c r="B349" s="722">
        <v>45576</v>
      </c>
      <c r="C349" s="733">
        <f t="shared" si="20"/>
        <v>-11717599.862670435</v>
      </c>
      <c r="D349" s="734">
        <f>'Rencana Pompa'!$E$6</f>
        <v>-27559.817874014581</v>
      </c>
      <c r="E349" s="734">
        <f>'Rencana Pompa'!$F$6</f>
        <v>6480</v>
      </c>
      <c r="F349" s="735">
        <f t="shared" si="21"/>
        <v>-11751639.680544449</v>
      </c>
    </row>
    <row r="350" spans="1:6" x14ac:dyDescent="0.3">
      <c r="A350" s="470">
        <v>652</v>
      </c>
      <c r="B350" s="722">
        <v>45577</v>
      </c>
      <c r="C350" s="733">
        <f t="shared" si="20"/>
        <v>-11751639.680544449</v>
      </c>
      <c r="D350" s="734">
        <f>'Rencana Pompa'!$E$6</f>
        <v>-27559.817874014581</v>
      </c>
      <c r="E350" s="734">
        <f>'Rencana Pompa'!$F$6</f>
        <v>6480</v>
      </c>
      <c r="F350" s="735">
        <f t="shared" si="21"/>
        <v>-11785679.498418463</v>
      </c>
    </row>
    <row r="351" spans="1:6" x14ac:dyDescent="0.3">
      <c r="A351" s="470">
        <v>653</v>
      </c>
      <c r="B351" s="722">
        <v>45578</v>
      </c>
      <c r="C351" s="733">
        <f t="shared" si="20"/>
        <v>-11785679.498418463</v>
      </c>
      <c r="D351" s="734">
        <f>'Rencana Pompa'!$E$6</f>
        <v>-27559.817874014581</v>
      </c>
      <c r="E351" s="734">
        <f>'Rencana Pompa'!$F$6</f>
        <v>6480</v>
      </c>
      <c r="F351" s="735">
        <f t="shared" si="21"/>
        <v>-11819719.316292478</v>
      </c>
    </row>
    <row r="352" spans="1:6" x14ac:dyDescent="0.3">
      <c r="A352" s="470">
        <v>654</v>
      </c>
      <c r="B352" s="722">
        <v>45579</v>
      </c>
      <c r="C352" s="733">
        <f t="shared" si="20"/>
        <v>-11819719.316292478</v>
      </c>
      <c r="D352" s="734">
        <f>'Rencana Pompa'!$E$6</f>
        <v>-27559.817874014581</v>
      </c>
      <c r="E352" s="734">
        <f>'Rencana Pompa'!$F$6</f>
        <v>6480</v>
      </c>
      <c r="F352" s="735">
        <f t="shared" si="21"/>
        <v>-11853759.134166492</v>
      </c>
    </row>
    <row r="353" spans="1:6" x14ac:dyDescent="0.3">
      <c r="A353" s="470">
        <v>655</v>
      </c>
      <c r="B353" s="722">
        <v>45580</v>
      </c>
      <c r="C353" s="733">
        <f t="shared" si="20"/>
        <v>-11853759.134166492</v>
      </c>
      <c r="D353" s="734">
        <f>'Rencana Pompa'!$E$6</f>
        <v>-27559.817874014581</v>
      </c>
      <c r="E353" s="734">
        <f>'Rencana Pompa'!$F$6</f>
        <v>6480</v>
      </c>
      <c r="F353" s="735">
        <f t="shared" si="21"/>
        <v>-11887798.952040507</v>
      </c>
    </row>
    <row r="354" spans="1:6" x14ac:dyDescent="0.3">
      <c r="A354" s="470">
        <v>656</v>
      </c>
      <c r="B354" s="722">
        <v>45581</v>
      </c>
      <c r="C354" s="733">
        <f t="shared" si="20"/>
        <v>-11887798.952040507</v>
      </c>
      <c r="D354" s="734">
        <f>'Rencana Pompa'!$E$6</f>
        <v>-27559.817874014581</v>
      </c>
      <c r="E354" s="734">
        <f>'Rencana Pompa'!$F$6</f>
        <v>6480</v>
      </c>
      <c r="F354" s="735">
        <f t="shared" si="21"/>
        <v>-11921838.769914521</v>
      </c>
    </row>
    <row r="355" spans="1:6" x14ac:dyDescent="0.3">
      <c r="A355" s="470">
        <v>657</v>
      </c>
      <c r="B355" s="722">
        <v>45582</v>
      </c>
      <c r="C355" s="733">
        <f t="shared" si="20"/>
        <v>-11921838.769914521</v>
      </c>
      <c r="D355" s="734">
        <f>'Rencana Pompa'!$E$6</f>
        <v>-27559.817874014581</v>
      </c>
      <c r="E355" s="734">
        <f>'Rencana Pompa'!$F$6</f>
        <v>6480</v>
      </c>
      <c r="F355" s="735">
        <f t="shared" si="21"/>
        <v>-11955878.587788535</v>
      </c>
    </row>
    <row r="356" spans="1:6" x14ac:dyDescent="0.3">
      <c r="A356" s="470">
        <v>658</v>
      </c>
      <c r="B356" s="722">
        <v>45583</v>
      </c>
      <c r="C356" s="733">
        <f t="shared" si="20"/>
        <v>-11955878.587788535</v>
      </c>
      <c r="D356" s="734">
        <f>'Rencana Pompa'!$E$6</f>
        <v>-27559.817874014581</v>
      </c>
      <c r="E356" s="734">
        <f>'Rencana Pompa'!$F$6</f>
        <v>6480</v>
      </c>
      <c r="F356" s="735">
        <f t="shared" si="21"/>
        <v>-11989918.40566255</v>
      </c>
    </row>
    <row r="357" spans="1:6" x14ac:dyDescent="0.3">
      <c r="A357" s="470">
        <v>659</v>
      </c>
      <c r="B357" s="722">
        <v>45584</v>
      </c>
      <c r="C357" s="733">
        <f t="shared" si="20"/>
        <v>-11989918.40566255</v>
      </c>
      <c r="D357" s="734">
        <f>'Rencana Pompa'!$E$6</f>
        <v>-27559.817874014581</v>
      </c>
      <c r="E357" s="734">
        <f>'Rencana Pompa'!$F$6</f>
        <v>6480</v>
      </c>
      <c r="F357" s="735">
        <f t="shared" si="21"/>
        <v>-12023958.223536564</v>
      </c>
    </row>
    <row r="358" spans="1:6" x14ac:dyDescent="0.3">
      <c r="A358" s="470">
        <v>660</v>
      </c>
      <c r="B358" s="722">
        <v>45585</v>
      </c>
      <c r="C358" s="733">
        <f t="shared" si="20"/>
        <v>-12023958.223536564</v>
      </c>
      <c r="D358" s="734">
        <f>'Rencana Pompa'!$E$6</f>
        <v>-27559.817874014581</v>
      </c>
      <c r="E358" s="734">
        <f>'Rencana Pompa'!$F$6</f>
        <v>6480</v>
      </c>
      <c r="F358" s="735">
        <f t="shared" si="21"/>
        <v>-12057998.041410578</v>
      </c>
    </row>
    <row r="359" spans="1:6" x14ac:dyDescent="0.3">
      <c r="A359" s="470">
        <v>661</v>
      </c>
      <c r="B359" s="722">
        <v>45586</v>
      </c>
      <c r="C359" s="733">
        <f t="shared" si="20"/>
        <v>-12057998.041410578</v>
      </c>
      <c r="D359" s="734">
        <f>'Rencana Pompa'!$E$6</f>
        <v>-27559.817874014581</v>
      </c>
      <c r="E359" s="734">
        <f>'Rencana Pompa'!$F$6</f>
        <v>6480</v>
      </c>
      <c r="F359" s="735">
        <f t="shared" si="21"/>
        <v>-12092037.859284593</v>
      </c>
    </row>
    <row r="360" spans="1:6" x14ac:dyDescent="0.3">
      <c r="A360" s="470">
        <v>662</v>
      </c>
      <c r="B360" s="722">
        <v>45587</v>
      </c>
      <c r="C360" s="733">
        <f t="shared" si="20"/>
        <v>-12092037.859284593</v>
      </c>
      <c r="D360" s="734">
        <f>'Rencana Pompa'!$E$6</f>
        <v>-27559.817874014581</v>
      </c>
      <c r="E360" s="734">
        <f>'Rencana Pompa'!$F$6</f>
        <v>6480</v>
      </c>
      <c r="F360" s="735">
        <f t="shared" si="21"/>
        <v>-12126077.677158607</v>
      </c>
    </row>
    <row r="361" spans="1:6" x14ac:dyDescent="0.3">
      <c r="A361" s="470">
        <v>663</v>
      </c>
      <c r="B361" s="722">
        <v>45588</v>
      </c>
      <c r="C361" s="733">
        <f t="shared" si="20"/>
        <v>-12126077.677158607</v>
      </c>
      <c r="D361" s="734">
        <f>'Rencana Pompa'!$E$6</f>
        <v>-27559.817874014581</v>
      </c>
      <c r="E361" s="734">
        <f>'Rencana Pompa'!$F$6</f>
        <v>6480</v>
      </c>
      <c r="F361" s="735">
        <f t="shared" si="21"/>
        <v>-12160117.495032622</v>
      </c>
    </row>
    <row r="362" spans="1:6" x14ac:dyDescent="0.3">
      <c r="A362" s="470">
        <v>664</v>
      </c>
      <c r="B362" s="722">
        <v>45589</v>
      </c>
      <c r="C362" s="733">
        <f t="shared" si="20"/>
        <v>-12160117.495032622</v>
      </c>
      <c r="D362" s="734">
        <f>'Rencana Pompa'!$E$6</f>
        <v>-27559.817874014581</v>
      </c>
      <c r="E362" s="734">
        <f>'Rencana Pompa'!$F$6</f>
        <v>6480</v>
      </c>
      <c r="F362" s="735">
        <f t="shared" si="21"/>
        <v>-12194157.312906636</v>
      </c>
    </row>
    <row r="363" spans="1:6" x14ac:dyDescent="0.3">
      <c r="A363" s="470">
        <v>665</v>
      </c>
      <c r="B363" s="722">
        <v>45590</v>
      </c>
      <c r="C363" s="733">
        <f t="shared" si="20"/>
        <v>-12194157.312906636</v>
      </c>
      <c r="D363" s="734">
        <f>'Rencana Pompa'!$E$6</f>
        <v>-27559.817874014581</v>
      </c>
      <c r="E363" s="734">
        <f>'Rencana Pompa'!$F$6</f>
        <v>6480</v>
      </c>
      <c r="F363" s="735">
        <f t="shared" si="21"/>
        <v>-12228197.13078065</v>
      </c>
    </row>
    <row r="364" spans="1:6" x14ac:dyDescent="0.3">
      <c r="A364" s="470">
        <v>666</v>
      </c>
      <c r="B364" s="722">
        <v>45591</v>
      </c>
      <c r="C364" s="733">
        <f t="shared" si="20"/>
        <v>-12228197.13078065</v>
      </c>
      <c r="D364" s="734">
        <f>'Rencana Pompa'!$E$6</f>
        <v>-27559.817874014581</v>
      </c>
      <c r="E364" s="734">
        <f>'Rencana Pompa'!$F$6</f>
        <v>6480</v>
      </c>
      <c r="F364" s="735">
        <f t="shared" si="21"/>
        <v>-12262236.948654665</v>
      </c>
    </row>
    <row r="365" spans="1:6" x14ac:dyDescent="0.3">
      <c r="A365" s="470">
        <v>667</v>
      </c>
      <c r="B365" s="722">
        <v>45592</v>
      </c>
      <c r="C365" s="733">
        <f t="shared" si="20"/>
        <v>-12262236.948654665</v>
      </c>
      <c r="D365" s="734">
        <f>'Rencana Pompa'!$E$6</f>
        <v>-27559.817874014581</v>
      </c>
      <c r="E365" s="734">
        <f>'Rencana Pompa'!$F$6</f>
        <v>6480</v>
      </c>
      <c r="F365" s="735">
        <f t="shared" si="21"/>
        <v>-12296276.766528679</v>
      </c>
    </row>
    <row r="366" spans="1:6" x14ac:dyDescent="0.3">
      <c r="A366" s="470">
        <v>668</v>
      </c>
      <c r="B366" s="722">
        <v>45593</v>
      </c>
      <c r="C366" s="733">
        <f t="shared" si="20"/>
        <v>-12296276.766528679</v>
      </c>
      <c r="D366" s="734">
        <f>'Rencana Pompa'!$E$6</f>
        <v>-27559.817874014581</v>
      </c>
      <c r="E366" s="734">
        <f>'Rencana Pompa'!$F$6</f>
        <v>6480</v>
      </c>
      <c r="F366" s="735">
        <f t="shared" si="21"/>
        <v>-12330316.584402693</v>
      </c>
    </row>
    <row r="367" spans="1:6" x14ac:dyDescent="0.3">
      <c r="A367" s="470">
        <v>669</v>
      </c>
      <c r="B367" s="722">
        <v>45594</v>
      </c>
      <c r="C367" s="733">
        <f t="shared" si="20"/>
        <v>-12330316.584402693</v>
      </c>
      <c r="D367" s="734">
        <f>'Rencana Pompa'!$E$6</f>
        <v>-27559.817874014581</v>
      </c>
      <c r="E367" s="734">
        <f>'Rencana Pompa'!$F$6</f>
        <v>6480</v>
      </c>
      <c r="F367" s="735">
        <f t="shared" si="21"/>
        <v>-12364356.402276708</v>
      </c>
    </row>
    <row r="368" spans="1:6" x14ac:dyDescent="0.3">
      <c r="A368" s="470">
        <v>670</v>
      </c>
      <c r="B368" s="722">
        <v>45595</v>
      </c>
      <c r="C368" s="733">
        <f t="shared" ref="C368:C369" si="22">F367</f>
        <v>-12364356.402276708</v>
      </c>
      <c r="D368" s="734">
        <f>'Rencana Pompa'!$E$6</f>
        <v>-27559.817874014581</v>
      </c>
      <c r="E368" s="734">
        <f>'Rencana Pompa'!$F$6</f>
        <v>6480</v>
      </c>
      <c r="F368" s="735">
        <f t="shared" ref="F368:F369" si="23">C368+D368-E368</f>
        <v>-12398396.220150722</v>
      </c>
    </row>
    <row r="369" spans="1:6" x14ac:dyDescent="0.3">
      <c r="A369" s="470">
        <v>671</v>
      </c>
      <c r="B369" s="722">
        <v>45596</v>
      </c>
      <c r="C369" s="733">
        <f t="shared" si="22"/>
        <v>-12398396.220150722</v>
      </c>
      <c r="D369" s="734">
        <f>'Rencana Pompa'!$E$6</f>
        <v>-27559.817874014581</v>
      </c>
      <c r="E369" s="734">
        <f>'Rencana Pompa'!$F$6</f>
        <v>6480</v>
      </c>
      <c r="F369" s="735">
        <f t="shared" si="23"/>
        <v>-12432436.038024737</v>
      </c>
    </row>
  </sheetData>
  <mergeCells count="10">
    <mergeCell ref="G4:G33"/>
    <mergeCell ref="G34:G64"/>
    <mergeCell ref="E1:E3"/>
    <mergeCell ref="F1:F3"/>
    <mergeCell ref="G1:G3"/>
    <mergeCell ref="I1:P1"/>
    <mergeCell ref="A1:A3"/>
    <mergeCell ref="B1:B3"/>
    <mergeCell ref="C1:C3"/>
    <mergeCell ref="D1:D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BC17-1125-4E9A-82C5-1C03C2AD7AEE}">
  <sheetPr>
    <tabColor rgb="FFFF0000"/>
  </sheetPr>
  <dimension ref="B2:P31"/>
  <sheetViews>
    <sheetView zoomScale="80" zoomScaleNormal="80" workbookViewId="0">
      <selection activeCell="B41" activeCellId="1" sqref="I31 B40:B41"/>
    </sheetView>
  </sheetViews>
  <sheetFormatPr defaultRowHeight="14.4" x14ac:dyDescent="0.3"/>
  <cols>
    <col min="2" max="2" width="13.33203125" bestFit="1" customWidth="1"/>
    <col min="4" max="13" width="0" hidden="1" customWidth="1"/>
    <col min="14" max="14" width="6" hidden="1" customWidth="1"/>
    <col min="15" max="15" width="10.44140625" bestFit="1" customWidth="1"/>
    <col min="16" max="16" width="23.6640625" customWidth="1"/>
  </cols>
  <sheetData>
    <row r="2" spans="2:16" ht="16.2" x14ac:dyDescent="0.3">
      <c r="B2" s="1004" t="s">
        <v>4555</v>
      </c>
      <c r="C2" s="1004" t="s">
        <v>4667</v>
      </c>
      <c r="D2" s="1004"/>
      <c r="E2" s="1004"/>
      <c r="F2" s="1004"/>
      <c r="G2" s="1004"/>
      <c r="H2" s="1004"/>
      <c r="I2" s="1004"/>
      <c r="J2" s="1004"/>
      <c r="K2" s="1004"/>
      <c r="L2" s="676"/>
      <c r="M2" s="676"/>
      <c r="N2" s="676"/>
      <c r="O2" s="1004" t="s">
        <v>4517</v>
      </c>
      <c r="P2" s="1004" t="s">
        <v>4668</v>
      </c>
    </row>
    <row r="3" spans="2:16" ht="15" x14ac:dyDescent="0.35">
      <c r="B3" s="1004"/>
      <c r="C3" s="677" t="s">
        <v>155</v>
      </c>
      <c r="D3" s="677" t="s">
        <v>156</v>
      </c>
      <c r="E3" s="677" t="s">
        <v>157</v>
      </c>
      <c r="F3" s="677" t="s">
        <v>158</v>
      </c>
      <c r="G3" s="677" t="s">
        <v>3284</v>
      </c>
      <c r="H3" s="677" t="s">
        <v>159</v>
      </c>
      <c r="I3" s="677" t="s">
        <v>160</v>
      </c>
      <c r="J3" s="677" t="s">
        <v>4491</v>
      </c>
      <c r="K3" s="677" t="s">
        <v>162</v>
      </c>
      <c r="L3" s="677" t="s">
        <v>4489</v>
      </c>
      <c r="M3" s="677" t="s">
        <v>168</v>
      </c>
      <c r="N3" s="677" t="s">
        <v>4490</v>
      </c>
      <c r="O3" s="1004"/>
      <c r="P3" s="1004"/>
    </row>
    <row r="4" spans="2:16" ht="6" customHeight="1" x14ac:dyDescent="0.35">
      <c r="B4" s="1005"/>
      <c r="C4" s="1005"/>
      <c r="D4" s="1005"/>
      <c r="E4" s="1005"/>
      <c r="F4" s="1005"/>
      <c r="G4" s="1005"/>
      <c r="H4" s="1005"/>
      <c r="I4" s="1005"/>
      <c r="J4" s="1005"/>
      <c r="K4" s="1005"/>
      <c r="L4" s="1005"/>
      <c r="M4" s="1005"/>
      <c r="N4" s="1005"/>
      <c r="O4" s="1005"/>
      <c r="P4" s="1005"/>
    </row>
    <row r="5" spans="2:16" ht="16.2" hidden="1" x14ac:dyDescent="0.35">
      <c r="B5" s="678" t="s">
        <v>4669</v>
      </c>
      <c r="C5" s="679">
        <f>'[3]Rencana Pemompaan'!D6</f>
        <v>77500</v>
      </c>
      <c r="D5" s="680"/>
      <c r="E5" s="678"/>
      <c r="F5" s="678"/>
      <c r="G5" s="678"/>
      <c r="H5" s="678"/>
      <c r="I5" s="678"/>
      <c r="J5" s="678"/>
      <c r="K5" s="678"/>
      <c r="L5" s="678"/>
      <c r="M5" s="678"/>
      <c r="N5" s="678"/>
      <c r="O5" s="678" t="s">
        <v>4670</v>
      </c>
      <c r="P5" s="681" t="s">
        <v>4671</v>
      </c>
    </row>
    <row r="6" spans="2:16" ht="15" hidden="1" x14ac:dyDescent="0.35">
      <c r="B6" s="678" t="s">
        <v>4612</v>
      </c>
      <c r="C6" s="682">
        <f>'[3]Rate of Surface Water Days'!$E6</f>
        <v>0</v>
      </c>
      <c r="D6" s="682" t="e">
        <f>'[3]Rate of Surface Water Days'!#REF!</f>
        <v>#REF!</v>
      </c>
      <c r="E6" s="682" t="e">
        <f>'[3]Rate of Surface Water Days'!#REF!</f>
        <v>#REF!</v>
      </c>
      <c r="F6" s="682" t="e">
        <f>'[3]Rate of Surface Water Days'!#REF!</f>
        <v>#REF!</v>
      </c>
      <c r="G6" s="682" t="e">
        <f>'[3]Rate of Surface Water Days'!#REF!</f>
        <v>#REF!</v>
      </c>
      <c r="H6" s="682" t="e">
        <f>'[3]Rate of Surface Water Days'!#REF!</f>
        <v>#REF!</v>
      </c>
      <c r="I6" s="682" t="e">
        <f>'[3]Rate of Surface Water Days'!#REF!</f>
        <v>#REF!</v>
      </c>
      <c r="J6" s="682" t="e">
        <f>'[3]Rate of Surface Water Days'!#REF!</f>
        <v>#REF!</v>
      </c>
      <c r="K6" s="682" t="e">
        <f>'[3]Rate of Surface Water Days'!#REF!</f>
        <v>#REF!</v>
      </c>
      <c r="L6" s="682" t="e">
        <f>'[3]Rate of Surface Water Days'!#REF!</f>
        <v>#REF!</v>
      </c>
      <c r="M6" s="682" t="e">
        <f>'[3]Rate of Surface Water Days'!#REF!</f>
        <v>#REF!</v>
      </c>
      <c r="N6" s="682" t="e">
        <f>'[3]Rate of Surface Water Days'!#REF!</f>
        <v>#REF!</v>
      </c>
      <c r="O6" s="678" t="s">
        <v>4513</v>
      </c>
      <c r="P6" s="681" t="s">
        <v>4672</v>
      </c>
    </row>
    <row r="7" spans="2:16" ht="16.2" hidden="1" x14ac:dyDescent="0.35">
      <c r="B7" s="678"/>
      <c r="C7" s="683">
        <f>C6*10000</f>
        <v>0</v>
      </c>
      <c r="D7" s="683" t="e">
        <f>D6*10000</f>
        <v>#REF!</v>
      </c>
      <c r="E7" s="683" t="e">
        <f>E6*10000</f>
        <v>#REF!</v>
      </c>
      <c r="F7" s="683" t="e">
        <f>F6*10000</f>
        <v>#REF!</v>
      </c>
      <c r="G7" s="683" t="e">
        <f>G6*10000</f>
        <v>#REF!</v>
      </c>
      <c r="H7" s="683" t="e">
        <f t="shared" ref="H7:N7" si="0">H6*10000</f>
        <v>#REF!</v>
      </c>
      <c r="I7" s="683" t="e">
        <f t="shared" si="0"/>
        <v>#REF!</v>
      </c>
      <c r="J7" s="683" t="e">
        <f t="shared" si="0"/>
        <v>#REF!</v>
      </c>
      <c r="K7" s="683" t="e">
        <f t="shared" si="0"/>
        <v>#REF!</v>
      </c>
      <c r="L7" s="683" t="e">
        <f t="shared" si="0"/>
        <v>#REF!</v>
      </c>
      <c r="M7" s="683" t="e">
        <f t="shared" si="0"/>
        <v>#REF!</v>
      </c>
      <c r="N7" s="683" t="e">
        <f t="shared" si="0"/>
        <v>#REF!</v>
      </c>
      <c r="O7" s="678" t="s">
        <v>4673</v>
      </c>
      <c r="P7" s="681"/>
    </row>
    <row r="8" spans="2:16" ht="15" hidden="1" x14ac:dyDescent="0.35">
      <c r="B8" s="678" t="s">
        <v>4610</v>
      </c>
      <c r="C8" s="684">
        <f>'[3]Summary of Rainfall Intensity'!$C7</f>
        <v>15.905554855108683</v>
      </c>
      <c r="D8" s="684">
        <f>'[3]Summary of Rainfall Intensity'!$C8</f>
        <v>23.555331970667254</v>
      </c>
      <c r="E8" s="684">
        <f>'[3]Summary of Rainfall Intensity'!$C9</f>
        <v>20.257209646543583</v>
      </c>
      <c r="F8" s="684">
        <f>'[3]Summary of Rainfall Intensity'!$C10</f>
        <v>20.050537391003228</v>
      </c>
      <c r="G8" s="684">
        <f>'[3]Summary of Rainfall Intensity'!$C11</f>
        <v>21.78867797409287</v>
      </c>
      <c r="H8" s="684">
        <f>'[3]Summary of Rainfall Intensity'!$C12</f>
        <v>21.241518023626799</v>
      </c>
      <c r="I8" s="684">
        <f>'[3]Summary of Rainfall Intensity'!$C13</f>
        <v>26.064357254397137</v>
      </c>
      <c r="J8" s="684">
        <f>'[3]Summary of Rainfall Intensity'!$C14</f>
        <v>18.645250136971487</v>
      </c>
      <c r="K8" s="684">
        <f>'[3]Summary of Rainfall Intensity'!$C15</f>
        <v>23.486736958538877</v>
      </c>
      <c r="L8" s="684">
        <f>'[3]Summary of Rainfall Intensity'!$C13</f>
        <v>26.064357254397137</v>
      </c>
      <c r="M8" s="684">
        <f>'[3]Summary of Rainfall Intensity'!$C14</f>
        <v>18.645250136971487</v>
      </c>
      <c r="N8" s="684">
        <f>'[3]Summary of Rainfall Intensity'!$C15</f>
        <v>23.486736958538877</v>
      </c>
      <c r="O8" s="678" t="s">
        <v>4674</v>
      </c>
      <c r="P8" s="681" t="s">
        <v>4675</v>
      </c>
    </row>
    <row r="9" spans="2:16" ht="15" hidden="1" x14ac:dyDescent="0.35">
      <c r="B9" s="678"/>
      <c r="C9" s="685">
        <f>C8/(1000)</f>
        <v>1.5905554855108684E-2</v>
      </c>
      <c r="D9" s="685">
        <f t="shared" ref="D9:N9" si="1">D8/(1000)</f>
        <v>2.3555331970667254E-2</v>
      </c>
      <c r="E9" s="685">
        <f t="shared" si="1"/>
        <v>2.0257209646543584E-2</v>
      </c>
      <c r="F9" s="685">
        <f t="shared" si="1"/>
        <v>2.005053739100323E-2</v>
      </c>
      <c r="G9" s="685">
        <f t="shared" si="1"/>
        <v>2.1788677974092872E-2</v>
      </c>
      <c r="H9" s="685">
        <f t="shared" si="1"/>
        <v>2.1241518023626799E-2</v>
      </c>
      <c r="I9" s="685">
        <f t="shared" si="1"/>
        <v>2.6064357254397139E-2</v>
      </c>
      <c r="J9" s="685">
        <f t="shared" si="1"/>
        <v>1.8645250136971488E-2</v>
      </c>
      <c r="K9" s="685">
        <f t="shared" si="1"/>
        <v>2.3486736958538878E-2</v>
      </c>
      <c r="L9" s="685">
        <f t="shared" si="1"/>
        <v>2.6064357254397139E-2</v>
      </c>
      <c r="M9" s="685">
        <f t="shared" si="1"/>
        <v>1.8645250136971488E-2</v>
      </c>
      <c r="N9" s="685">
        <f t="shared" si="1"/>
        <v>2.3486736958538878E-2</v>
      </c>
      <c r="O9" s="678" t="s">
        <v>4676</v>
      </c>
      <c r="P9" s="681"/>
    </row>
    <row r="10" spans="2:16" ht="16.2" hidden="1" x14ac:dyDescent="0.35">
      <c r="B10" s="678" t="s">
        <v>4677</v>
      </c>
      <c r="C10" s="686">
        <f>'[3]Rate of Surface Water Days'!$G6</f>
        <v>0</v>
      </c>
      <c r="D10" s="686" t="e">
        <f>'[3]Rate of Surface Water Days'!#REF!</f>
        <v>#REF!</v>
      </c>
      <c r="E10" s="686" t="e">
        <f>'[3]Rate of Surface Water Days'!#REF!</f>
        <v>#REF!</v>
      </c>
      <c r="F10" s="686" t="e">
        <f>'[3]Rate of Surface Water Days'!#REF!</f>
        <v>#REF!</v>
      </c>
      <c r="G10" s="686" t="e">
        <f>'[3]Rate of Surface Water Days'!#REF!</f>
        <v>#REF!</v>
      </c>
      <c r="H10" s="686" t="e">
        <f>'[3]Rate of Surface Water Days'!#REF!</f>
        <v>#REF!</v>
      </c>
      <c r="I10" s="686" t="e">
        <f>'[3]Rate of Surface Water Days'!#REF!</f>
        <v>#REF!</v>
      </c>
      <c r="J10" s="686" t="e">
        <f>'[3]Rate of Surface Water Days'!#REF!</f>
        <v>#REF!</v>
      </c>
      <c r="K10" s="686" t="e">
        <f>'[3]Rate of Surface Water Days'!#REF!</f>
        <v>#REF!</v>
      </c>
      <c r="L10" s="686" t="e">
        <f>'[3]Rate of Surface Water Days'!#REF!</f>
        <v>#REF!</v>
      </c>
      <c r="M10" s="686" t="e">
        <f>'[3]Rate of Surface Water Days'!#REF!</f>
        <v>#REF!</v>
      </c>
      <c r="N10" s="686" t="e">
        <f>'[3]Rate of Surface Water Days'!#REF!</f>
        <v>#REF!</v>
      </c>
      <c r="O10" s="678" t="s">
        <v>4678</v>
      </c>
      <c r="P10" s="681" t="s">
        <v>4679</v>
      </c>
    </row>
    <row r="11" spans="2:16" ht="15" hidden="1" x14ac:dyDescent="0.35">
      <c r="B11" s="678" t="s">
        <v>4680</v>
      </c>
      <c r="C11" s="687" t="e">
        <f>'[3]Summary of Rainfall Intensity'!#REF!</f>
        <v>#REF!</v>
      </c>
      <c r="D11" s="688" t="e">
        <f>'[3]Summary of Rainfall Intensity'!#REF!</f>
        <v>#REF!</v>
      </c>
      <c r="E11" s="688" t="e">
        <f>'[3]Summary of Rainfall Intensity'!#REF!</f>
        <v>#REF!</v>
      </c>
      <c r="F11" s="688" t="e">
        <f>'[3]Summary of Rainfall Intensity'!#REF!</f>
        <v>#REF!</v>
      </c>
      <c r="G11" s="688" t="e">
        <f>'[3]Summary of Rainfall Intensity'!#REF!</f>
        <v>#REF!</v>
      </c>
      <c r="H11" s="688" t="e">
        <f>'[3]Summary of Rainfall Intensity'!#REF!</f>
        <v>#REF!</v>
      </c>
      <c r="I11" s="688" t="e">
        <f>'[3]Summary of Rainfall Intensity'!#REF!</f>
        <v>#REF!</v>
      </c>
      <c r="J11" s="688" t="e">
        <f>'[3]Summary of Rainfall Intensity'!#REF!</f>
        <v>#REF!</v>
      </c>
      <c r="K11" s="688" t="e">
        <f>'[3]Summary of Rainfall Intensity'!#REF!</f>
        <v>#REF!</v>
      </c>
      <c r="L11" s="688" t="e">
        <f>'[3]Summary of Rainfall Intensity'!#REF!</f>
        <v>#REF!</v>
      </c>
      <c r="M11" s="688" t="e">
        <f>'[3]Summary of Rainfall Intensity'!#REF!</f>
        <v>#REF!</v>
      </c>
      <c r="N11" s="688" t="e">
        <f>'[3]Summary of Rainfall Intensity'!#REF!</f>
        <v>#REF!</v>
      </c>
      <c r="O11" s="678" t="s">
        <v>4681</v>
      </c>
      <c r="P11" s="681" t="s">
        <v>4682</v>
      </c>
    </row>
    <row r="12" spans="2:16" ht="15" hidden="1" x14ac:dyDescent="0.35">
      <c r="B12" s="678" t="s">
        <v>4683</v>
      </c>
      <c r="C12" s="689">
        <v>2</v>
      </c>
      <c r="D12" s="689">
        <v>2</v>
      </c>
      <c r="E12" s="689">
        <v>2</v>
      </c>
      <c r="F12" s="689">
        <v>2</v>
      </c>
      <c r="G12" s="689">
        <v>2</v>
      </c>
      <c r="H12" s="689">
        <v>2</v>
      </c>
      <c r="I12" s="689">
        <v>2</v>
      </c>
      <c r="J12" s="689">
        <v>2</v>
      </c>
      <c r="K12" s="689">
        <v>2</v>
      </c>
      <c r="L12" s="689">
        <v>2</v>
      </c>
      <c r="M12" s="689">
        <v>2</v>
      </c>
      <c r="N12" s="689">
        <v>2</v>
      </c>
      <c r="O12" s="678" t="s">
        <v>4684</v>
      </c>
      <c r="P12" s="681" t="s">
        <v>4685</v>
      </c>
    </row>
    <row r="13" spans="2:16" ht="16.2" hidden="1" x14ac:dyDescent="0.35">
      <c r="B13" s="678" t="s">
        <v>4686</v>
      </c>
      <c r="C13" s="690" t="e">
        <f>((C11/24)*C7)*(C12/24)</f>
        <v>#REF!</v>
      </c>
      <c r="D13" s="691"/>
      <c r="E13" s="691"/>
      <c r="F13" s="691"/>
      <c r="G13" s="691"/>
      <c r="H13" s="691"/>
      <c r="I13" s="691"/>
      <c r="J13" s="691"/>
      <c r="K13" s="691"/>
      <c r="L13" s="691"/>
      <c r="M13" s="691"/>
      <c r="N13" s="691"/>
      <c r="O13" s="678" t="s">
        <v>4678</v>
      </c>
      <c r="P13" s="681" t="s">
        <v>4687</v>
      </c>
    </row>
    <row r="14" spans="2:16" ht="15" hidden="1" x14ac:dyDescent="0.35">
      <c r="B14" s="678" t="s">
        <v>4688</v>
      </c>
      <c r="C14" s="689" t="e">
        <f>'[3]Rate of Groundwater'!#REF!</f>
        <v>#REF!</v>
      </c>
      <c r="D14" s="689" t="e">
        <f>'[3]Rate of Groundwater'!#REF!</f>
        <v>#REF!</v>
      </c>
      <c r="E14" s="689" t="e">
        <f>'[3]Rate of Groundwater'!#REF!</f>
        <v>#REF!</v>
      </c>
      <c r="F14" s="689" t="e">
        <f>'[3]Rate of Groundwater'!#REF!</f>
        <v>#REF!</v>
      </c>
      <c r="G14" s="689" t="e">
        <f>'[3]Rate of Groundwater'!#REF!</f>
        <v>#REF!</v>
      </c>
      <c r="H14" s="689" t="e">
        <f>'[3]Rate of Groundwater'!#REF!</f>
        <v>#REF!</v>
      </c>
      <c r="I14" s="689" t="e">
        <f>'[3]Rate of Groundwater'!#REF!</f>
        <v>#REF!</v>
      </c>
      <c r="J14" s="689" t="e">
        <f>'[3]Rate of Groundwater'!#REF!</f>
        <v>#REF!</v>
      </c>
      <c r="K14" s="689" t="e">
        <f>'[3]Rate of Groundwater'!#REF!</f>
        <v>#REF!</v>
      </c>
      <c r="L14" s="689" t="e">
        <f>'[3]Rate of Groundwater'!#REF!</f>
        <v>#REF!</v>
      </c>
      <c r="M14" s="689" t="e">
        <f>'[3]Rate of Groundwater'!#REF!</f>
        <v>#REF!</v>
      </c>
      <c r="N14" s="689" t="e">
        <f>'[3]Rate of Groundwater'!#REF!</f>
        <v>#REF!</v>
      </c>
      <c r="O14" s="678" t="s">
        <v>4689</v>
      </c>
      <c r="P14" s="681" t="s">
        <v>4690</v>
      </c>
    </row>
    <row r="15" spans="2:16" ht="16.2" hidden="1" x14ac:dyDescent="0.35">
      <c r="B15" s="678"/>
      <c r="C15" s="692" t="e">
        <f>C14/1000</f>
        <v>#REF!</v>
      </c>
      <c r="D15" s="693" t="e">
        <f>D14/1000</f>
        <v>#REF!</v>
      </c>
      <c r="E15" s="693" t="e">
        <f t="shared" ref="E15:N15" si="2">E14/1000</f>
        <v>#REF!</v>
      </c>
      <c r="F15" s="693" t="e">
        <f t="shared" si="2"/>
        <v>#REF!</v>
      </c>
      <c r="G15" s="693" t="e">
        <f t="shared" si="2"/>
        <v>#REF!</v>
      </c>
      <c r="H15" s="693" t="e">
        <f t="shared" si="2"/>
        <v>#REF!</v>
      </c>
      <c r="I15" s="693" t="e">
        <f t="shared" si="2"/>
        <v>#REF!</v>
      </c>
      <c r="J15" s="693" t="e">
        <f t="shared" si="2"/>
        <v>#REF!</v>
      </c>
      <c r="K15" s="693" t="e">
        <f t="shared" si="2"/>
        <v>#REF!</v>
      </c>
      <c r="L15" s="693" t="e">
        <f t="shared" si="2"/>
        <v>#REF!</v>
      </c>
      <c r="M15" s="693" t="e">
        <f t="shared" si="2"/>
        <v>#REF!</v>
      </c>
      <c r="N15" s="693" t="e">
        <f t="shared" si="2"/>
        <v>#REF!</v>
      </c>
      <c r="O15" s="678" t="s">
        <v>4691</v>
      </c>
      <c r="P15" s="681"/>
    </row>
    <row r="16" spans="2:16" ht="16.2" hidden="1" x14ac:dyDescent="0.35">
      <c r="B16" s="678" t="s">
        <v>4692</v>
      </c>
      <c r="C16" s="694" t="e">
        <f>C15/(1/(3600*24))</f>
        <v>#REF!</v>
      </c>
      <c r="D16" s="693" t="e">
        <f t="shared" ref="D16:N16" si="3">D15/(1/(3600*24))</f>
        <v>#REF!</v>
      </c>
      <c r="E16" s="693" t="e">
        <f t="shared" si="3"/>
        <v>#REF!</v>
      </c>
      <c r="F16" s="693" t="e">
        <f t="shared" si="3"/>
        <v>#REF!</v>
      </c>
      <c r="G16" s="693" t="e">
        <f t="shared" si="3"/>
        <v>#REF!</v>
      </c>
      <c r="H16" s="693" t="e">
        <f t="shared" si="3"/>
        <v>#REF!</v>
      </c>
      <c r="I16" s="693" t="e">
        <f t="shared" si="3"/>
        <v>#REF!</v>
      </c>
      <c r="J16" s="693" t="e">
        <f t="shared" si="3"/>
        <v>#REF!</v>
      </c>
      <c r="K16" s="693" t="e">
        <f t="shared" si="3"/>
        <v>#REF!</v>
      </c>
      <c r="L16" s="693" t="e">
        <f t="shared" si="3"/>
        <v>#REF!</v>
      </c>
      <c r="M16" s="693" t="e">
        <f t="shared" si="3"/>
        <v>#REF!</v>
      </c>
      <c r="N16" s="693" t="e">
        <f t="shared" si="3"/>
        <v>#REF!</v>
      </c>
      <c r="O16" s="678" t="s">
        <v>4678</v>
      </c>
      <c r="P16" s="681" t="s">
        <v>4690</v>
      </c>
    </row>
    <row r="17" spans="2:16" ht="15" hidden="1" x14ac:dyDescent="0.35"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678"/>
      <c r="M17" s="678"/>
      <c r="N17" s="678"/>
      <c r="O17" s="678"/>
      <c r="P17" s="681"/>
    </row>
    <row r="18" spans="2:16" ht="15" hidden="1" x14ac:dyDescent="0.35">
      <c r="B18" s="678" t="s">
        <v>4693</v>
      </c>
      <c r="C18" s="692" t="e">
        <f>'[3]Rate of Groundwater'!#REF!</f>
        <v>#REF!</v>
      </c>
      <c r="D18" s="692" t="e">
        <f>'[3]Rate of Groundwater'!#REF!</f>
        <v>#REF!</v>
      </c>
      <c r="E18" s="692" t="e">
        <f>'[3]Rate of Groundwater'!#REF!</f>
        <v>#REF!</v>
      </c>
      <c r="F18" s="692" t="e">
        <f>'[3]Rate of Groundwater'!#REF!</f>
        <v>#REF!</v>
      </c>
      <c r="G18" s="692" t="e">
        <f>'[3]Rate of Groundwater'!#REF!</f>
        <v>#REF!</v>
      </c>
      <c r="H18" s="692" t="e">
        <f>'[3]Rate of Groundwater'!#REF!</f>
        <v>#REF!</v>
      </c>
      <c r="I18" s="692" t="e">
        <f>'[3]Rate of Groundwater'!#REF!</f>
        <v>#REF!</v>
      </c>
      <c r="J18" s="692" t="e">
        <f>'[3]Rate of Groundwater'!#REF!</f>
        <v>#REF!</v>
      </c>
      <c r="K18" s="692" t="e">
        <f>'[3]Rate of Groundwater'!#REF!</f>
        <v>#REF!</v>
      </c>
      <c r="L18" s="692" t="e">
        <f>'[3]Rate of Groundwater'!#REF!</f>
        <v>#REF!</v>
      </c>
      <c r="M18" s="692" t="e">
        <f>'[3]Rate of Groundwater'!#REF!</f>
        <v>#REF!</v>
      </c>
      <c r="N18" s="692" t="e">
        <f>'[3]Rate of Groundwater'!#REF!</f>
        <v>#REF!</v>
      </c>
      <c r="O18" s="678" t="s">
        <v>4689</v>
      </c>
      <c r="P18" s="681" t="s">
        <v>4690</v>
      </c>
    </row>
    <row r="19" spans="2:16" ht="16.2" hidden="1" x14ac:dyDescent="0.35">
      <c r="B19" s="678"/>
      <c r="C19" s="695" t="e">
        <f>C18/1000</f>
        <v>#REF!</v>
      </c>
      <c r="D19" s="695" t="e">
        <f t="shared" ref="D19:N19" si="4">D18/1000</f>
        <v>#REF!</v>
      </c>
      <c r="E19" s="695" t="e">
        <f t="shared" si="4"/>
        <v>#REF!</v>
      </c>
      <c r="F19" s="695" t="e">
        <f t="shared" si="4"/>
        <v>#REF!</v>
      </c>
      <c r="G19" s="695" t="e">
        <f t="shared" si="4"/>
        <v>#REF!</v>
      </c>
      <c r="H19" s="695" t="e">
        <f t="shared" si="4"/>
        <v>#REF!</v>
      </c>
      <c r="I19" s="695" t="e">
        <f t="shared" si="4"/>
        <v>#REF!</v>
      </c>
      <c r="J19" s="695" t="e">
        <f t="shared" si="4"/>
        <v>#REF!</v>
      </c>
      <c r="K19" s="695" t="e">
        <f t="shared" si="4"/>
        <v>#REF!</v>
      </c>
      <c r="L19" s="695" t="e">
        <f t="shared" si="4"/>
        <v>#REF!</v>
      </c>
      <c r="M19" s="695" t="e">
        <f t="shared" si="4"/>
        <v>#REF!</v>
      </c>
      <c r="N19" s="695" t="e">
        <f t="shared" si="4"/>
        <v>#REF!</v>
      </c>
      <c r="O19" s="678" t="s">
        <v>4691</v>
      </c>
      <c r="P19" s="681"/>
    </row>
    <row r="20" spans="2:16" ht="16.2" hidden="1" x14ac:dyDescent="0.35">
      <c r="B20" s="678" t="s">
        <v>4694</v>
      </c>
      <c r="C20" s="694" t="e">
        <f>C19/(1/(3600*24))</f>
        <v>#REF!</v>
      </c>
      <c r="D20" s="694" t="e">
        <f t="shared" ref="D20:N20" si="5">D19/(1/(3600*24))</f>
        <v>#REF!</v>
      </c>
      <c r="E20" s="694" t="e">
        <f t="shared" si="5"/>
        <v>#REF!</v>
      </c>
      <c r="F20" s="694" t="e">
        <f t="shared" si="5"/>
        <v>#REF!</v>
      </c>
      <c r="G20" s="694" t="e">
        <f t="shared" si="5"/>
        <v>#REF!</v>
      </c>
      <c r="H20" s="694" t="e">
        <f t="shared" si="5"/>
        <v>#REF!</v>
      </c>
      <c r="I20" s="694" t="e">
        <f t="shared" si="5"/>
        <v>#REF!</v>
      </c>
      <c r="J20" s="694" t="e">
        <f t="shared" si="5"/>
        <v>#REF!</v>
      </c>
      <c r="K20" s="694" t="e">
        <f t="shared" si="5"/>
        <v>#REF!</v>
      </c>
      <c r="L20" s="694" t="e">
        <f t="shared" si="5"/>
        <v>#REF!</v>
      </c>
      <c r="M20" s="694" t="e">
        <f t="shared" si="5"/>
        <v>#REF!</v>
      </c>
      <c r="N20" s="694" t="e">
        <f t="shared" si="5"/>
        <v>#REF!</v>
      </c>
      <c r="O20" s="678" t="s">
        <v>4678</v>
      </c>
      <c r="P20" s="681" t="s">
        <v>4690</v>
      </c>
    </row>
    <row r="21" spans="2:16" ht="15" x14ac:dyDescent="0.35">
      <c r="B21" s="678" t="s">
        <v>4695</v>
      </c>
      <c r="C21" s="696">
        <v>1</v>
      </c>
      <c r="D21" s="696">
        <v>0</v>
      </c>
      <c r="E21" s="696">
        <v>0</v>
      </c>
      <c r="F21" s="696">
        <v>0</v>
      </c>
      <c r="G21" s="696">
        <v>0</v>
      </c>
      <c r="H21" s="696">
        <v>0</v>
      </c>
      <c r="I21" s="696">
        <v>0</v>
      </c>
      <c r="J21" s="696">
        <v>0</v>
      </c>
      <c r="K21" s="696">
        <v>0</v>
      </c>
      <c r="L21" s="696">
        <v>0</v>
      </c>
      <c r="M21" s="696">
        <v>0</v>
      </c>
      <c r="N21" s="696">
        <v>0</v>
      </c>
      <c r="O21" s="678" t="s">
        <v>4557</v>
      </c>
      <c r="P21" s="681" t="s">
        <v>4696</v>
      </c>
    </row>
    <row r="22" spans="2:16" ht="15" hidden="1" x14ac:dyDescent="0.35">
      <c r="B22" s="678" t="s">
        <v>4697</v>
      </c>
      <c r="C22" s="696">
        <v>75</v>
      </c>
      <c r="D22" s="696">
        <v>200</v>
      </c>
      <c r="E22" s="696">
        <v>200</v>
      </c>
      <c r="F22" s="696">
        <v>200</v>
      </c>
      <c r="G22" s="696">
        <v>200</v>
      </c>
      <c r="H22" s="696">
        <v>200</v>
      </c>
      <c r="I22" s="696">
        <v>200</v>
      </c>
      <c r="J22" s="696">
        <v>200</v>
      </c>
      <c r="K22" s="696">
        <v>200</v>
      </c>
      <c r="L22" s="696">
        <v>200</v>
      </c>
      <c r="M22" s="696">
        <v>200</v>
      </c>
      <c r="N22" s="696">
        <v>200</v>
      </c>
      <c r="O22" s="678" t="s">
        <v>4689</v>
      </c>
      <c r="P22" s="681" t="s">
        <v>4698</v>
      </c>
    </row>
    <row r="23" spans="2:16" ht="15" x14ac:dyDescent="0.35">
      <c r="B23" s="678" t="s">
        <v>4697</v>
      </c>
      <c r="C23" s="696">
        <f>C22*1</f>
        <v>75</v>
      </c>
      <c r="D23" s="696">
        <f t="shared" ref="D23:N23" si="6">D22*1</f>
        <v>200</v>
      </c>
      <c r="E23" s="696">
        <f t="shared" si="6"/>
        <v>200</v>
      </c>
      <c r="F23" s="696">
        <f t="shared" si="6"/>
        <v>200</v>
      </c>
      <c r="G23" s="696">
        <f t="shared" si="6"/>
        <v>200</v>
      </c>
      <c r="H23" s="696">
        <f t="shared" si="6"/>
        <v>200</v>
      </c>
      <c r="I23" s="696">
        <f t="shared" si="6"/>
        <v>200</v>
      </c>
      <c r="J23" s="696">
        <f t="shared" si="6"/>
        <v>200</v>
      </c>
      <c r="K23" s="696">
        <f t="shared" si="6"/>
        <v>200</v>
      </c>
      <c r="L23" s="696">
        <f t="shared" si="6"/>
        <v>200</v>
      </c>
      <c r="M23" s="696">
        <f t="shared" si="6"/>
        <v>200</v>
      </c>
      <c r="N23" s="696">
        <f t="shared" si="6"/>
        <v>200</v>
      </c>
      <c r="O23" s="678" t="s">
        <v>4689</v>
      </c>
      <c r="P23" s="681" t="s">
        <v>4699</v>
      </c>
    </row>
    <row r="24" spans="2:16" ht="15" hidden="1" x14ac:dyDescent="0.35">
      <c r="B24" s="678" t="s">
        <v>4677</v>
      </c>
      <c r="C24" s="693">
        <f>C23*C21</f>
        <v>75</v>
      </c>
      <c r="D24" s="693">
        <f t="shared" ref="D24:N24" si="7">D21*D23</f>
        <v>0</v>
      </c>
      <c r="E24" s="693">
        <f>E21*E23</f>
        <v>0</v>
      </c>
      <c r="F24" s="693">
        <f>F21*F23</f>
        <v>0</v>
      </c>
      <c r="G24" s="693">
        <f t="shared" si="7"/>
        <v>0</v>
      </c>
      <c r="H24" s="693">
        <f t="shared" si="7"/>
        <v>0</v>
      </c>
      <c r="I24" s="693">
        <f t="shared" si="7"/>
        <v>0</v>
      </c>
      <c r="J24" s="693">
        <f t="shared" si="7"/>
        <v>0</v>
      </c>
      <c r="K24" s="693">
        <f t="shared" si="7"/>
        <v>0</v>
      </c>
      <c r="L24" s="693">
        <f t="shared" si="7"/>
        <v>0</v>
      </c>
      <c r="M24" s="693">
        <f t="shared" si="7"/>
        <v>0</v>
      </c>
      <c r="N24" s="693">
        <f t="shared" si="7"/>
        <v>0</v>
      </c>
      <c r="O24" s="678" t="s">
        <v>4689</v>
      </c>
      <c r="P24" s="681" t="s">
        <v>4700</v>
      </c>
    </row>
    <row r="25" spans="2:16" ht="15" x14ac:dyDescent="0.35">
      <c r="B25" s="678"/>
      <c r="C25" s="693">
        <f>(C24/1000)*3600</f>
        <v>270</v>
      </c>
      <c r="D25" s="693">
        <f t="shared" ref="D25:N25" si="8">(D24/1000)*3600</f>
        <v>0</v>
      </c>
      <c r="E25" s="693">
        <f t="shared" si="8"/>
        <v>0</v>
      </c>
      <c r="F25" s="693">
        <f t="shared" si="8"/>
        <v>0</v>
      </c>
      <c r="G25" s="693">
        <f t="shared" si="8"/>
        <v>0</v>
      </c>
      <c r="H25" s="693">
        <f t="shared" si="8"/>
        <v>0</v>
      </c>
      <c r="I25" s="693">
        <f t="shared" si="8"/>
        <v>0</v>
      </c>
      <c r="J25" s="693">
        <f t="shared" si="8"/>
        <v>0</v>
      </c>
      <c r="K25" s="693">
        <f t="shared" si="8"/>
        <v>0</v>
      </c>
      <c r="L25" s="693">
        <f t="shared" si="8"/>
        <v>0</v>
      </c>
      <c r="M25" s="693">
        <f t="shared" si="8"/>
        <v>0</v>
      </c>
      <c r="N25" s="693">
        <f t="shared" si="8"/>
        <v>0</v>
      </c>
      <c r="O25" s="678" t="s">
        <v>4701</v>
      </c>
      <c r="P25" s="681"/>
    </row>
    <row r="26" spans="2:16" ht="16.2" x14ac:dyDescent="0.35">
      <c r="B26" s="678" t="s">
        <v>4697</v>
      </c>
      <c r="C26" s="763">
        <f>(C24/1000)/(1/(24*3600))*C27</f>
        <v>6480</v>
      </c>
      <c r="D26" s="693">
        <f t="shared" ref="D26:N26" si="9">(D24/1000)/(1/(24*3600))</f>
        <v>0</v>
      </c>
      <c r="E26" s="693">
        <f>(E24/1000)/(1/(24*3600))</f>
        <v>0</v>
      </c>
      <c r="F26" s="693">
        <f t="shared" si="9"/>
        <v>0</v>
      </c>
      <c r="G26" s="693">
        <f t="shared" si="9"/>
        <v>0</v>
      </c>
      <c r="H26" s="693">
        <f t="shared" si="9"/>
        <v>0</v>
      </c>
      <c r="I26" s="693">
        <f t="shared" si="9"/>
        <v>0</v>
      </c>
      <c r="J26" s="693">
        <f t="shared" si="9"/>
        <v>0</v>
      </c>
      <c r="K26" s="693">
        <f t="shared" si="9"/>
        <v>0</v>
      </c>
      <c r="L26" s="693">
        <f t="shared" si="9"/>
        <v>0</v>
      </c>
      <c r="M26" s="693">
        <f t="shared" si="9"/>
        <v>0</v>
      </c>
      <c r="N26" s="693">
        <f t="shared" si="9"/>
        <v>0</v>
      </c>
      <c r="O26" s="678" t="s">
        <v>4678</v>
      </c>
      <c r="P26" s="681"/>
    </row>
    <row r="27" spans="2:16" ht="15" hidden="1" x14ac:dyDescent="0.35">
      <c r="B27" s="678" t="s">
        <v>4702</v>
      </c>
      <c r="C27" s="682">
        <f>24/24</f>
        <v>1</v>
      </c>
      <c r="D27" s="682">
        <f t="shared" ref="D27:N27" si="10">20/24</f>
        <v>0.83333333333333337</v>
      </c>
      <c r="E27" s="682">
        <f t="shared" si="10"/>
        <v>0.83333333333333337</v>
      </c>
      <c r="F27" s="682">
        <f t="shared" si="10"/>
        <v>0.83333333333333337</v>
      </c>
      <c r="G27" s="682">
        <f t="shared" si="10"/>
        <v>0.83333333333333337</v>
      </c>
      <c r="H27" s="682">
        <f t="shared" si="10"/>
        <v>0.83333333333333337</v>
      </c>
      <c r="I27" s="682">
        <f t="shared" si="10"/>
        <v>0.83333333333333337</v>
      </c>
      <c r="J27" s="682">
        <f t="shared" si="10"/>
        <v>0.83333333333333337</v>
      </c>
      <c r="K27" s="682">
        <f t="shared" si="10"/>
        <v>0.83333333333333337</v>
      </c>
      <c r="L27" s="682">
        <f t="shared" si="10"/>
        <v>0.83333333333333337</v>
      </c>
      <c r="M27" s="682">
        <f t="shared" si="10"/>
        <v>0.83333333333333337</v>
      </c>
      <c r="N27" s="682">
        <f t="shared" si="10"/>
        <v>0.83333333333333337</v>
      </c>
      <c r="O27" s="678" t="s">
        <v>4703</v>
      </c>
      <c r="P27" s="681" t="s">
        <v>4704</v>
      </c>
    </row>
    <row r="28" spans="2:16" ht="15" hidden="1" x14ac:dyDescent="0.35">
      <c r="B28" s="678" t="s">
        <v>4705</v>
      </c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78"/>
      <c r="P28" s="681"/>
    </row>
    <row r="29" spans="2:16" ht="15.6" thickBot="1" x14ac:dyDescent="0.4">
      <c r="B29" s="698"/>
      <c r="C29" s="699"/>
      <c r="D29" s="698"/>
      <c r="E29" s="698"/>
      <c r="F29" s="698"/>
      <c r="G29" s="698"/>
      <c r="H29" s="698"/>
      <c r="I29" s="698"/>
      <c r="J29" s="698"/>
      <c r="K29" s="698"/>
      <c r="L29" s="698"/>
      <c r="M29" s="698"/>
      <c r="N29" s="698"/>
      <c r="O29" s="698"/>
      <c r="P29" s="700"/>
    </row>
    <row r="30" spans="2:16" ht="15.6" thickBot="1" x14ac:dyDescent="0.4">
      <c r="B30" s="698"/>
      <c r="C30" s="701"/>
      <c r="D30" s="702" t="s">
        <v>4706</v>
      </c>
      <c r="E30" s="698"/>
      <c r="F30" s="698"/>
      <c r="G30" s="698"/>
      <c r="H30" s="698"/>
      <c r="I30" s="698"/>
      <c r="J30" s="698"/>
      <c r="K30" s="698"/>
      <c r="L30" s="698"/>
      <c r="M30" s="698"/>
      <c r="N30" s="698"/>
      <c r="O30" s="698"/>
      <c r="P30" s="700"/>
    </row>
    <row r="31" spans="2:16" ht="15.6" thickBot="1" x14ac:dyDescent="0.4">
      <c r="B31" s="698"/>
      <c r="C31" s="703"/>
      <c r="D31" s="702" t="s">
        <v>4707</v>
      </c>
      <c r="E31" s="698"/>
      <c r="F31" s="698"/>
      <c r="G31" s="698"/>
      <c r="H31" s="698"/>
      <c r="I31" s="698"/>
      <c r="J31" s="698"/>
      <c r="K31" s="698"/>
      <c r="L31" s="698"/>
      <c r="M31" s="698"/>
      <c r="N31" s="698"/>
      <c r="O31" s="698"/>
      <c r="P31" s="700"/>
    </row>
  </sheetData>
  <mergeCells count="6">
    <mergeCell ref="P2:P3"/>
    <mergeCell ref="B4:P4"/>
    <mergeCell ref="B17:K17"/>
    <mergeCell ref="B2:B3"/>
    <mergeCell ref="C2:K2"/>
    <mergeCell ref="O2:O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66E9-5FBC-410B-9180-8D8D493C9125}">
  <dimension ref="B3:I63"/>
  <sheetViews>
    <sheetView topLeftCell="A28" workbookViewId="0">
      <selection activeCell="B41" activeCellId="1" sqref="I31 B40:B41"/>
    </sheetView>
  </sheetViews>
  <sheetFormatPr defaultRowHeight="14.4" x14ac:dyDescent="0.3"/>
  <cols>
    <col min="2" max="2" width="28" bestFit="1" customWidth="1"/>
    <col min="3" max="3" width="14.44140625" customWidth="1"/>
    <col min="4" max="4" width="13.33203125" bestFit="1" customWidth="1"/>
    <col min="5" max="5" width="8.6640625" bestFit="1" customWidth="1"/>
    <col min="6" max="6" width="11.109375" customWidth="1"/>
    <col min="7" max="7" width="15.88671875" bestFit="1" customWidth="1"/>
    <col min="8" max="8" width="13.6640625" customWidth="1"/>
  </cols>
  <sheetData>
    <row r="3" spans="2:6" x14ac:dyDescent="0.3">
      <c r="B3" s="1007" t="s">
        <v>4777</v>
      </c>
      <c r="C3" s="1007"/>
      <c r="D3" s="1007"/>
      <c r="E3" s="1007"/>
    </row>
    <row r="4" spans="2:6" ht="5.4" customHeight="1" x14ac:dyDescent="0.3"/>
    <row r="5" spans="2:6" x14ac:dyDescent="0.3">
      <c r="B5" s="1009" t="s">
        <v>4778</v>
      </c>
      <c r="C5" s="1009"/>
      <c r="D5" s="1009"/>
      <c r="E5" s="1009"/>
    </row>
    <row r="6" spans="2:6" ht="14.4" customHeight="1" x14ac:dyDescent="0.3">
      <c r="B6" s="934" t="s">
        <v>4774</v>
      </c>
      <c r="C6" s="934"/>
      <c r="D6" s="934"/>
      <c r="E6" s="934"/>
    </row>
    <row r="7" spans="2:6" ht="14.4" customHeight="1" x14ac:dyDescent="0.3">
      <c r="B7" s="751" t="s">
        <v>4781</v>
      </c>
      <c r="C7" s="750">
        <v>175.5</v>
      </c>
      <c r="D7" s="1008" t="s">
        <v>4779</v>
      </c>
      <c r="E7" s="1008"/>
    </row>
    <row r="8" spans="2:6" x14ac:dyDescent="0.3">
      <c r="B8" s="751" t="s">
        <v>4777</v>
      </c>
      <c r="C8" s="752">
        <f>(C7/24) * (24/1)^0.66667</f>
        <v>60.843096362972382</v>
      </c>
      <c r="D8" s="1008" t="s">
        <v>4780</v>
      </c>
      <c r="E8" s="1008"/>
    </row>
    <row r="10" spans="2:6" x14ac:dyDescent="0.3">
      <c r="B10" s="1007" t="s">
        <v>4782</v>
      </c>
      <c r="C10" s="1007"/>
      <c r="D10" s="1007"/>
      <c r="E10" s="1007"/>
    </row>
    <row r="11" spans="2:6" ht="5.4" customHeight="1" x14ac:dyDescent="0.3"/>
    <row r="12" spans="2:6" ht="24.6" x14ac:dyDescent="0.3">
      <c r="B12" s="753" t="s">
        <v>4783</v>
      </c>
      <c r="C12" s="754" t="s">
        <v>4784</v>
      </c>
      <c r="D12" s="755" t="s">
        <v>4785</v>
      </c>
      <c r="E12" s="531" t="s">
        <v>4786</v>
      </c>
      <c r="F12" s="531" t="s">
        <v>4787</v>
      </c>
    </row>
    <row r="13" spans="2:6" x14ac:dyDescent="0.3">
      <c r="B13" s="764" t="s">
        <v>4793</v>
      </c>
      <c r="C13" s="756">
        <f>(15.8-0.8)/15.8</f>
        <v>0.94936708860759489</v>
      </c>
      <c r="D13" s="757" t="s">
        <v>4788</v>
      </c>
      <c r="E13" s="482">
        <v>0.8</v>
      </c>
      <c r="F13" s="758">
        <f>C13*E13</f>
        <v>0.759493670886076</v>
      </c>
    </row>
    <row r="14" spans="2:6" x14ac:dyDescent="0.3">
      <c r="B14" s="765" t="s">
        <v>4794</v>
      </c>
      <c r="C14" s="756">
        <f>(12-0.9)/12</f>
        <v>0.92499999999999993</v>
      </c>
      <c r="D14" s="757" t="s">
        <v>4788</v>
      </c>
      <c r="E14" s="482">
        <v>0.8</v>
      </c>
      <c r="F14" s="758">
        <f>C14*E14</f>
        <v>0.74</v>
      </c>
    </row>
    <row r="16" spans="2:6" x14ac:dyDescent="0.3">
      <c r="B16" s="1007" t="s">
        <v>4789</v>
      </c>
      <c r="C16" s="1007"/>
      <c r="D16" s="761"/>
      <c r="E16" s="761"/>
    </row>
    <row r="18" spans="2:8" ht="24.6" x14ac:dyDescent="0.3">
      <c r="B18" s="755" t="s">
        <v>4479</v>
      </c>
      <c r="C18" s="754" t="s">
        <v>4480</v>
      </c>
    </row>
    <row r="19" spans="2:8" x14ac:dyDescent="0.3">
      <c r="B19" s="759" t="s">
        <v>4793</v>
      </c>
      <c r="C19" s="512">
        <v>16</v>
      </c>
    </row>
    <row r="20" spans="2:8" x14ac:dyDescent="0.3">
      <c r="B20" s="759" t="s">
        <v>4794</v>
      </c>
      <c r="C20" s="512">
        <v>12</v>
      </c>
    </row>
    <row r="22" spans="2:8" x14ac:dyDescent="0.3">
      <c r="B22" s="1007" t="s">
        <v>4790</v>
      </c>
      <c r="C22" s="1007"/>
      <c r="D22" s="1007"/>
      <c r="E22" s="1007"/>
    </row>
    <row r="23" spans="2:8" hidden="1" x14ac:dyDescent="0.3"/>
    <row r="24" spans="2:8" ht="24" hidden="1" x14ac:dyDescent="0.3">
      <c r="B24" s="943" t="s">
        <v>4507</v>
      </c>
      <c r="C24" s="950" t="s">
        <v>4508</v>
      </c>
      <c r="D24" s="951"/>
      <c r="E24" s="943" t="s">
        <v>4541</v>
      </c>
      <c r="F24" s="532" t="s">
        <v>4509</v>
      </c>
      <c r="G24" s="943" t="s">
        <v>4510</v>
      </c>
      <c r="H24" s="532" t="s">
        <v>4512</v>
      </c>
    </row>
    <row r="25" spans="2:8" hidden="1" x14ac:dyDescent="0.3">
      <c r="B25" s="944"/>
      <c r="C25" s="952"/>
      <c r="D25" s="953"/>
      <c r="E25" s="944"/>
      <c r="F25" s="531" t="s">
        <v>4769</v>
      </c>
      <c r="G25" s="944"/>
      <c r="H25" s="531" t="s">
        <v>4514</v>
      </c>
    </row>
    <row r="26" spans="2:8" hidden="1" x14ac:dyDescent="0.3">
      <c r="B26" s="470">
        <v>1</v>
      </c>
      <c r="C26" s="948" t="s">
        <v>4530</v>
      </c>
      <c r="D26" s="949"/>
      <c r="E26" s="470" t="s">
        <v>4542</v>
      </c>
      <c r="F26" s="533">
        <f>C8</f>
        <v>60.843096362972382</v>
      </c>
      <c r="G26" s="548" t="e">
        <f>#REF!</f>
        <v>#REF!</v>
      </c>
      <c r="H26" s="762" t="e">
        <f>(#REF!*60*60)</f>
        <v>#REF!</v>
      </c>
    </row>
    <row r="27" spans="2:8" hidden="1" x14ac:dyDescent="0.3"/>
    <row r="29" spans="2:8" ht="21.6" customHeight="1" x14ac:dyDescent="0.3">
      <c r="B29" s="943" t="s">
        <v>4508</v>
      </c>
      <c r="C29" s="943" t="s">
        <v>4541</v>
      </c>
      <c r="D29" s="532" t="s">
        <v>4509</v>
      </c>
      <c r="E29" s="943" t="s">
        <v>4510</v>
      </c>
      <c r="F29" s="532" t="s">
        <v>4511</v>
      </c>
      <c r="G29" s="532" t="s">
        <v>4512</v>
      </c>
    </row>
    <row r="30" spans="2:8" x14ac:dyDescent="0.3">
      <c r="B30" s="944"/>
      <c r="C30" s="944"/>
      <c r="D30" s="531" t="s">
        <v>4769</v>
      </c>
      <c r="E30" s="944"/>
      <c r="F30" s="531" t="s">
        <v>4513</v>
      </c>
      <c r="G30" s="531" t="s">
        <v>4514</v>
      </c>
    </row>
    <row r="31" spans="2:8" x14ac:dyDescent="0.3">
      <c r="B31" s="759" t="s">
        <v>4793</v>
      </c>
      <c r="C31" s="470" t="s">
        <v>4542</v>
      </c>
      <c r="D31" s="533">
        <f>C8</f>
        <v>60.843096362972382</v>
      </c>
      <c r="E31" s="548">
        <f>F13</f>
        <v>0.759493670886076</v>
      </c>
      <c r="F31" s="552">
        <f>C19</f>
        <v>16</v>
      </c>
      <c r="G31" s="554">
        <f>0.00278*(D31*E31*F31)*1</f>
        <v>2.0554184249810215</v>
      </c>
    </row>
    <row r="32" spans="2:8" x14ac:dyDescent="0.3">
      <c r="B32" s="759" t="s">
        <v>4794</v>
      </c>
      <c r="C32" s="470" t="s">
        <v>4542</v>
      </c>
      <c r="D32" s="533">
        <f>D31</f>
        <v>60.843096362972382</v>
      </c>
      <c r="E32" s="548">
        <f>F14</f>
        <v>0.74</v>
      </c>
      <c r="F32" s="552">
        <f>C20</f>
        <v>12</v>
      </c>
      <c r="G32" s="554">
        <f>0.00278*(D32*E32*F32)*1</f>
        <v>1.5019970140548813</v>
      </c>
    </row>
    <row r="35" spans="2:6" x14ac:dyDescent="0.3">
      <c r="B35" s="1007" t="s">
        <v>4792</v>
      </c>
      <c r="C35" s="1007"/>
      <c r="D35" s="1007"/>
      <c r="E35" s="761"/>
    </row>
    <row r="37" spans="2:6" ht="15" thickBot="1" x14ac:dyDescent="0.35">
      <c r="B37" s="954" t="str">
        <f>B13</f>
        <v>Perimeter WD Durian</v>
      </c>
      <c r="C37" s="954"/>
      <c r="D37" s="954"/>
    </row>
    <row r="38" spans="2:6" ht="15" thickBot="1" x14ac:dyDescent="0.35">
      <c r="B38" s="536" t="s">
        <v>4515</v>
      </c>
      <c r="C38" s="536" t="s">
        <v>4516</v>
      </c>
      <c r="D38" s="536" t="s">
        <v>4517</v>
      </c>
    </row>
    <row r="39" spans="2:6" x14ac:dyDescent="0.3">
      <c r="B39" s="638" t="s">
        <v>4795</v>
      </c>
      <c r="C39" s="537">
        <v>0.03</v>
      </c>
      <c r="D39" s="537"/>
    </row>
    <row r="40" spans="2:6" x14ac:dyDescent="0.3">
      <c r="B40" s="537" t="s">
        <v>4518</v>
      </c>
      <c r="C40" s="538">
        <f>F45</f>
        <v>3.9393939393939391E-2</v>
      </c>
      <c r="D40" s="537"/>
      <c r="E40" t="s">
        <v>4548</v>
      </c>
      <c r="F40">
        <v>738</v>
      </c>
    </row>
    <row r="41" spans="2:6" x14ac:dyDescent="0.3">
      <c r="B41" s="537" t="s">
        <v>4796</v>
      </c>
      <c r="C41" s="537">
        <v>0.73</v>
      </c>
      <c r="D41" s="537"/>
      <c r="E41" t="s">
        <v>4549</v>
      </c>
      <c r="F41">
        <v>725</v>
      </c>
    </row>
    <row r="42" spans="2:6" x14ac:dyDescent="0.3">
      <c r="B42" s="537" t="s">
        <v>4519</v>
      </c>
      <c r="C42" s="539">
        <f>C47/1</f>
        <v>1.5</v>
      </c>
      <c r="D42" s="537" t="s">
        <v>21</v>
      </c>
      <c r="E42" t="s">
        <v>4505</v>
      </c>
      <c r="F42">
        <f>F40-F41</f>
        <v>13</v>
      </c>
    </row>
    <row r="43" spans="2:6" x14ac:dyDescent="0.3">
      <c r="B43" s="537" t="s">
        <v>4520</v>
      </c>
      <c r="C43" s="760">
        <v>2</v>
      </c>
      <c r="D43" s="537" t="s">
        <v>21</v>
      </c>
      <c r="E43" s="540" t="s">
        <v>4504</v>
      </c>
      <c r="F43" s="639">
        <v>330</v>
      </c>
    </row>
    <row r="44" spans="2:6" x14ac:dyDescent="0.3">
      <c r="B44" s="537" t="s">
        <v>4521</v>
      </c>
      <c r="C44" s="539">
        <f>((C43+(C41*C42))*C42)*24%</f>
        <v>1.1142000000000001</v>
      </c>
      <c r="D44" s="537" t="s">
        <v>4522</v>
      </c>
    </row>
    <row r="45" spans="2:6" x14ac:dyDescent="0.3">
      <c r="B45" s="537" t="s">
        <v>4523</v>
      </c>
      <c r="C45" s="539">
        <f>C43+(2*C42*(SQRT(1+C41)^2))</f>
        <v>7.1899999999999995</v>
      </c>
      <c r="D45" s="537" t="s">
        <v>21</v>
      </c>
      <c r="F45" s="540">
        <f>F42/F43</f>
        <v>3.9393939393939391E-2</v>
      </c>
    </row>
    <row r="46" spans="2:6" x14ac:dyDescent="0.3">
      <c r="B46" s="537" t="s">
        <v>4524</v>
      </c>
      <c r="C46" s="539">
        <f>C44/C45</f>
        <v>0.1549652294853964</v>
      </c>
      <c r="D46" s="537" t="s">
        <v>21</v>
      </c>
      <c r="E46" t="s">
        <v>4605</v>
      </c>
      <c r="F46" s="637">
        <f>G31</f>
        <v>2.0554184249810215</v>
      </c>
    </row>
    <row r="47" spans="2:6" x14ac:dyDescent="0.3">
      <c r="B47" s="537" t="s">
        <v>4791</v>
      </c>
      <c r="C47" s="541">
        <v>1.5</v>
      </c>
      <c r="D47" s="537" t="s">
        <v>21</v>
      </c>
    </row>
    <row r="48" spans="2:6" ht="15" thickBot="1" x14ac:dyDescent="0.35">
      <c r="B48" s="537" t="s">
        <v>4525</v>
      </c>
      <c r="C48" s="760">
        <f>C43+(2*C41*C47)</f>
        <v>4.1899999999999995</v>
      </c>
      <c r="D48" s="537" t="s">
        <v>21</v>
      </c>
    </row>
    <row r="49" spans="2:9" ht="15" thickBot="1" x14ac:dyDescent="0.35">
      <c r="B49" s="542" t="s">
        <v>4526</v>
      </c>
      <c r="C49" s="543">
        <f>(1/C39)*(C46^0.666666)*(C40^0.5)*C44</f>
        <v>2.1267347204236944</v>
      </c>
      <c r="D49" s="747" t="s">
        <v>4527</v>
      </c>
    </row>
    <row r="51" spans="2:9" ht="15" thickBot="1" x14ac:dyDescent="0.35">
      <c r="B51" s="954" t="str">
        <f>B32</f>
        <v>Perimeter IPD Durian</v>
      </c>
      <c r="C51" s="954"/>
      <c r="D51" s="954"/>
    </row>
    <row r="52" spans="2:9" ht="15" thickBot="1" x14ac:dyDescent="0.35">
      <c r="B52" s="536" t="s">
        <v>4515</v>
      </c>
      <c r="C52" s="536" t="s">
        <v>4516</v>
      </c>
      <c r="D52" s="536" t="s">
        <v>4517</v>
      </c>
    </row>
    <row r="53" spans="2:9" x14ac:dyDescent="0.3">
      <c r="B53" s="638" t="s">
        <v>4795</v>
      </c>
      <c r="C53" s="537">
        <v>0.03</v>
      </c>
      <c r="D53" s="537"/>
      <c r="I53">
        <v>0.44</v>
      </c>
    </row>
    <row r="54" spans="2:9" x14ac:dyDescent="0.3">
      <c r="B54" s="537" t="s">
        <v>4518</v>
      </c>
      <c r="C54" s="538">
        <f>F59</f>
        <v>6.5789473684210523E-2</v>
      </c>
      <c r="D54" s="537"/>
      <c r="E54" t="s">
        <v>4548</v>
      </c>
      <c r="F54">
        <v>731</v>
      </c>
      <c r="I54">
        <v>22</v>
      </c>
    </row>
    <row r="55" spans="2:9" x14ac:dyDescent="0.3">
      <c r="B55" s="537" t="s">
        <v>4796</v>
      </c>
      <c r="C55" s="537">
        <v>0.73</v>
      </c>
      <c r="D55" s="537"/>
      <c r="E55" t="s">
        <v>4549</v>
      </c>
      <c r="F55">
        <v>706</v>
      </c>
      <c r="I55" s="649">
        <f>I53/I54</f>
        <v>0.02</v>
      </c>
    </row>
    <row r="56" spans="2:9" x14ac:dyDescent="0.3">
      <c r="B56" s="537" t="s">
        <v>4519</v>
      </c>
      <c r="C56" s="539">
        <f>C61/1</f>
        <v>1.5</v>
      </c>
      <c r="D56" s="537" t="s">
        <v>21</v>
      </c>
      <c r="E56" t="s">
        <v>4505</v>
      </c>
      <c r="F56">
        <f>F54-F55</f>
        <v>25</v>
      </c>
    </row>
    <row r="57" spans="2:9" x14ac:dyDescent="0.3">
      <c r="B57" s="537" t="s">
        <v>4520</v>
      </c>
      <c r="C57" s="760">
        <v>1</v>
      </c>
      <c r="D57" s="537" t="s">
        <v>21</v>
      </c>
      <c r="E57" s="540" t="s">
        <v>4504</v>
      </c>
      <c r="F57" s="639">
        <v>380</v>
      </c>
    </row>
    <row r="58" spans="2:9" x14ac:dyDescent="0.3">
      <c r="B58" s="537" t="s">
        <v>4521</v>
      </c>
      <c r="C58" s="539">
        <f>((C57+(C55*C56))*C56)*24%</f>
        <v>0.75419999999999987</v>
      </c>
      <c r="D58" s="537" t="s">
        <v>4522</v>
      </c>
    </row>
    <row r="59" spans="2:9" x14ac:dyDescent="0.3">
      <c r="B59" s="537" t="s">
        <v>4523</v>
      </c>
      <c r="C59" s="539">
        <f>C57+(2*C56*(SQRT(1+C55)^2))</f>
        <v>6.1899999999999995</v>
      </c>
      <c r="D59" s="537" t="s">
        <v>21</v>
      </c>
      <c r="F59" s="540">
        <f>F56/F57</f>
        <v>6.5789473684210523E-2</v>
      </c>
    </row>
    <row r="60" spans="2:9" x14ac:dyDescent="0.3">
      <c r="B60" s="537" t="s">
        <v>4524</v>
      </c>
      <c r="C60" s="539">
        <f>C58/C59</f>
        <v>0.1218416801292407</v>
      </c>
      <c r="D60" s="537" t="s">
        <v>21</v>
      </c>
      <c r="E60" t="s">
        <v>4605</v>
      </c>
      <c r="F60" s="637">
        <f>G32</f>
        <v>1.5019970140548813</v>
      </c>
    </row>
    <row r="61" spans="2:9" x14ac:dyDescent="0.3">
      <c r="B61" s="537" t="s">
        <v>4791</v>
      </c>
      <c r="C61" s="541">
        <v>1.5</v>
      </c>
      <c r="D61" s="537" t="s">
        <v>21</v>
      </c>
    </row>
    <row r="62" spans="2:9" ht="15" thickBot="1" x14ac:dyDescent="0.35">
      <c r="B62" s="537" t="s">
        <v>4525</v>
      </c>
      <c r="C62" s="760">
        <f>C57+(2*C55*C61)</f>
        <v>3.19</v>
      </c>
      <c r="D62" s="537" t="s">
        <v>21</v>
      </c>
    </row>
    <row r="63" spans="2:9" ht="15" thickBot="1" x14ac:dyDescent="0.35">
      <c r="B63" s="542" t="s">
        <v>4526</v>
      </c>
      <c r="C63" s="543">
        <f>(1/C53)*(C60^0.666666)*(C54^0.5)*C58</f>
        <v>1.5848007748924478</v>
      </c>
      <c r="D63" s="747" t="s">
        <v>4527</v>
      </c>
    </row>
  </sheetData>
  <mergeCells count="19">
    <mergeCell ref="B51:D51"/>
    <mergeCell ref="D8:E8"/>
    <mergeCell ref="B16:C16"/>
    <mergeCell ref="B3:E3"/>
    <mergeCell ref="B10:E10"/>
    <mergeCell ref="B6:E6"/>
    <mergeCell ref="B5:E5"/>
    <mergeCell ref="D7:E7"/>
    <mergeCell ref="G24:G25"/>
    <mergeCell ref="C26:D26"/>
    <mergeCell ref="B22:E22"/>
    <mergeCell ref="B37:D37"/>
    <mergeCell ref="B35:D35"/>
    <mergeCell ref="B24:B25"/>
    <mergeCell ref="C24:D25"/>
    <mergeCell ref="E24:E25"/>
    <mergeCell ref="B29:B30"/>
    <mergeCell ref="E29:E30"/>
    <mergeCell ref="C29:C3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5500D-9780-4E42-9371-5AF1B0AAF777}">
  <dimension ref="B3:K54"/>
  <sheetViews>
    <sheetView topLeftCell="A12" workbookViewId="0">
      <selection activeCell="B41" activeCellId="1" sqref="I31 B40:B41"/>
    </sheetView>
  </sheetViews>
  <sheetFormatPr defaultRowHeight="14.4" x14ac:dyDescent="0.3"/>
  <cols>
    <col min="2" max="2" width="28" bestFit="1" customWidth="1"/>
    <col min="3" max="3" width="14.44140625" customWidth="1"/>
    <col min="4" max="4" width="13.33203125" bestFit="1" customWidth="1"/>
    <col min="5" max="5" width="8.6640625" bestFit="1" customWidth="1"/>
    <col min="6" max="6" width="11.109375" customWidth="1"/>
    <col min="7" max="7" width="15.88671875" bestFit="1" customWidth="1"/>
    <col min="8" max="8" width="3.33203125" customWidth="1"/>
    <col min="9" max="9" width="34.6640625" customWidth="1"/>
    <col min="10" max="10" width="11.6640625" customWidth="1"/>
    <col min="11" max="11" width="11.33203125" customWidth="1"/>
  </cols>
  <sheetData>
    <row r="3" spans="2:6" x14ac:dyDescent="0.3">
      <c r="B3" s="1007" t="s">
        <v>4777</v>
      </c>
      <c r="C3" s="1007"/>
      <c r="D3" s="1007"/>
      <c r="E3" s="1007"/>
    </row>
    <row r="4" spans="2:6" ht="5.4" customHeight="1" x14ac:dyDescent="0.3"/>
    <row r="5" spans="2:6" x14ac:dyDescent="0.3">
      <c r="B5" s="1009" t="s">
        <v>4778</v>
      </c>
      <c r="C5" s="1009"/>
      <c r="D5" s="1009"/>
      <c r="E5" s="1009"/>
    </row>
    <row r="6" spans="2:6" ht="14.4" customHeight="1" x14ac:dyDescent="0.3">
      <c r="B6" s="934" t="s">
        <v>4774</v>
      </c>
      <c r="C6" s="934"/>
      <c r="D6" s="934"/>
      <c r="E6" s="934"/>
    </row>
    <row r="7" spans="2:6" ht="14.4" customHeight="1" x14ac:dyDescent="0.3">
      <c r="B7" s="751" t="s">
        <v>4781</v>
      </c>
      <c r="C7" s="750">
        <v>175.5</v>
      </c>
      <c r="D7" s="1008" t="s">
        <v>4779</v>
      </c>
      <c r="E7" s="1008"/>
    </row>
    <row r="8" spans="2:6" x14ac:dyDescent="0.3">
      <c r="B8" s="751" t="s">
        <v>4777</v>
      </c>
      <c r="C8" s="752">
        <f>(C7/24) * (24/1)^0.66667</f>
        <v>60.843096362972382</v>
      </c>
      <c r="D8" s="1008" t="s">
        <v>4780</v>
      </c>
      <c r="E8" s="1008"/>
    </row>
    <row r="10" spans="2:6" x14ac:dyDescent="0.3">
      <c r="B10" s="1007" t="s">
        <v>4782</v>
      </c>
      <c r="C10" s="1007"/>
      <c r="D10" s="1007"/>
      <c r="E10" s="1007"/>
    </row>
    <row r="11" spans="2:6" ht="5.4" customHeight="1" x14ac:dyDescent="0.3"/>
    <row r="12" spans="2:6" ht="24.6" x14ac:dyDescent="0.3">
      <c r="B12" s="753" t="s">
        <v>4783</v>
      </c>
      <c r="C12" s="754" t="s">
        <v>4784</v>
      </c>
      <c r="D12" s="755" t="s">
        <v>4785</v>
      </c>
      <c r="E12" s="531" t="s">
        <v>4786</v>
      </c>
      <c r="F12" s="531" t="s">
        <v>4787</v>
      </c>
    </row>
    <row r="13" spans="2:6" x14ac:dyDescent="0.3">
      <c r="B13" s="765" t="s">
        <v>4794</v>
      </c>
      <c r="C13" s="756">
        <f>(5-0.8)/5</f>
        <v>0.84000000000000008</v>
      </c>
      <c r="D13" s="757" t="s">
        <v>4788</v>
      </c>
      <c r="E13" s="482">
        <v>0.8</v>
      </c>
      <c r="F13" s="758">
        <f>C13*E13</f>
        <v>0.67200000000000015</v>
      </c>
    </row>
    <row r="15" spans="2:6" x14ac:dyDescent="0.3">
      <c r="B15" s="1007" t="s">
        <v>4789</v>
      </c>
      <c r="C15" s="1007"/>
      <c r="D15" s="761"/>
      <c r="E15" s="761"/>
    </row>
    <row r="17" spans="2:8" ht="24.6" x14ac:dyDescent="0.3">
      <c r="B17" s="755" t="s">
        <v>4479</v>
      </c>
      <c r="C17" s="754" t="s">
        <v>4480</v>
      </c>
    </row>
    <row r="18" spans="2:8" x14ac:dyDescent="0.3">
      <c r="B18" s="759" t="s">
        <v>4794</v>
      </c>
      <c r="C18" s="512">
        <v>5</v>
      </c>
    </row>
    <row r="20" spans="2:8" x14ac:dyDescent="0.3">
      <c r="B20" s="1007" t="s">
        <v>4790</v>
      </c>
      <c r="C20" s="1007"/>
      <c r="D20" s="1007"/>
      <c r="E20" s="1007"/>
    </row>
    <row r="21" spans="2:8" hidden="1" x14ac:dyDescent="0.3"/>
    <row r="22" spans="2:8" ht="72" hidden="1" x14ac:dyDescent="0.3">
      <c r="B22" s="943" t="s">
        <v>4507</v>
      </c>
      <c r="C22" s="950" t="s">
        <v>4508</v>
      </c>
      <c r="D22" s="951"/>
      <c r="E22" s="943" t="s">
        <v>4541</v>
      </c>
      <c r="F22" s="532" t="s">
        <v>4509</v>
      </c>
      <c r="G22" s="943" t="s">
        <v>4510</v>
      </c>
      <c r="H22" s="532" t="s">
        <v>4512</v>
      </c>
    </row>
    <row r="23" spans="2:8" ht="36" hidden="1" x14ac:dyDescent="0.3">
      <c r="B23" s="944"/>
      <c r="C23" s="952"/>
      <c r="D23" s="953"/>
      <c r="E23" s="944"/>
      <c r="F23" s="531" t="s">
        <v>4769</v>
      </c>
      <c r="G23" s="944"/>
      <c r="H23" s="531" t="s">
        <v>4514</v>
      </c>
    </row>
    <row r="24" spans="2:8" hidden="1" x14ac:dyDescent="0.3">
      <c r="B24" s="470">
        <v>1</v>
      </c>
      <c r="C24" s="948" t="s">
        <v>4530</v>
      </c>
      <c r="D24" s="949"/>
      <c r="E24" s="470" t="s">
        <v>4542</v>
      </c>
      <c r="F24" s="533">
        <f>C8</f>
        <v>60.843096362972382</v>
      </c>
      <c r="G24" s="548" t="e">
        <f>#REF!</f>
        <v>#REF!</v>
      </c>
      <c r="H24" s="762" t="e">
        <f>(#REF!*60*60)</f>
        <v>#REF!</v>
      </c>
    </row>
    <row r="25" spans="2:8" hidden="1" x14ac:dyDescent="0.3"/>
    <row r="27" spans="2:8" ht="21.6" customHeight="1" x14ac:dyDescent="0.3">
      <c r="B27" s="943" t="s">
        <v>4508</v>
      </c>
      <c r="C27" s="943" t="s">
        <v>4541</v>
      </c>
      <c r="D27" s="532" t="s">
        <v>4509</v>
      </c>
      <c r="E27" s="943" t="s">
        <v>4510</v>
      </c>
      <c r="F27" s="532" t="s">
        <v>4511</v>
      </c>
      <c r="G27" s="532" t="s">
        <v>4512</v>
      </c>
    </row>
    <row r="28" spans="2:8" x14ac:dyDescent="0.3">
      <c r="B28" s="944"/>
      <c r="C28" s="944"/>
      <c r="D28" s="531" t="s">
        <v>4769</v>
      </c>
      <c r="E28" s="944"/>
      <c r="F28" s="531" t="s">
        <v>4513</v>
      </c>
      <c r="G28" s="531" t="s">
        <v>4514</v>
      </c>
    </row>
    <row r="29" spans="2:8" x14ac:dyDescent="0.3">
      <c r="B29" s="759" t="s">
        <v>4794</v>
      </c>
      <c r="C29" s="470" t="s">
        <v>4542</v>
      </c>
      <c r="D29" s="533">
        <f>C8</f>
        <v>60.843096362972382</v>
      </c>
      <c r="E29" s="548">
        <f>F13</f>
        <v>0.67200000000000015</v>
      </c>
      <c r="F29" s="552">
        <f>C18</f>
        <v>5</v>
      </c>
      <c r="G29" s="554">
        <f>0.00278*(D29*E29*F29)*1</f>
        <v>0.56832319450725255</v>
      </c>
    </row>
    <row r="32" spans="2:8" x14ac:dyDescent="0.3">
      <c r="B32" s="1007" t="s">
        <v>4792</v>
      </c>
      <c r="C32" s="1007"/>
      <c r="D32" s="1007"/>
      <c r="E32" s="761"/>
    </row>
    <row r="34" spans="2:11" ht="15" thickBot="1" x14ac:dyDescent="0.35">
      <c r="B34" s="954" t="str">
        <f>B29</f>
        <v>Perimeter IPD Durian</v>
      </c>
      <c r="C34" s="954"/>
      <c r="D34" s="954"/>
    </row>
    <row r="35" spans="2:11" ht="15" thickBot="1" x14ac:dyDescent="0.35">
      <c r="B35" s="536" t="s">
        <v>4515</v>
      </c>
      <c r="C35" s="536" t="s">
        <v>4516</v>
      </c>
      <c r="D35" s="536" t="s">
        <v>4517</v>
      </c>
      <c r="I35" s="633" t="s">
        <v>4555</v>
      </c>
      <c r="J35" s="633" t="s">
        <v>4556</v>
      </c>
      <c r="K35" s="633" t="s">
        <v>4557</v>
      </c>
    </row>
    <row r="36" spans="2:11" x14ac:dyDescent="0.3">
      <c r="B36" s="638" t="s">
        <v>4795</v>
      </c>
      <c r="C36" s="537">
        <v>0.03</v>
      </c>
      <c r="D36" s="537"/>
      <c r="I36" s="624" t="s">
        <v>4558</v>
      </c>
      <c r="J36" s="625">
        <v>0.75600000000000001</v>
      </c>
      <c r="K36" s="625" t="s">
        <v>4559</v>
      </c>
    </row>
    <row r="37" spans="2:11" x14ac:dyDescent="0.3">
      <c r="B37" s="537" t="s">
        <v>4518</v>
      </c>
      <c r="C37" s="766">
        <f>F40</f>
        <v>2.5000000000000001E-2</v>
      </c>
      <c r="D37" s="537"/>
      <c r="F37">
        <v>0.5</v>
      </c>
      <c r="I37" s="626" t="s">
        <v>4562</v>
      </c>
      <c r="J37" s="625">
        <v>0.8</v>
      </c>
      <c r="K37" s="625" t="s">
        <v>4559</v>
      </c>
    </row>
    <row r="38" spans="2:11" x14ac:dyDescent="0.3">
      <c r="B38" s="537" t="s">
        <v>4796</v>
      </c>
      <c r="C38" s="537">
        <v>1</v>
      </c>
      <c r="D38" s="537"/>
      <c r="F38">
        <v>20</v>
      </c>
      <c r="I38" s="626" t="s">
        <v>186</v>
      </c>
      <c r="J38" s="627">
        <v>0.6</v>
      </c>
      <c r="K38" s="625" t="s">
        <v>21</v>
      </c>
    </row>
    <row r="39" spans="2:11" x14ac:dyDescent="0.3">
      <c r="B39" s="537" t="s">
        <v>4519</v>
      </c>
      <c r="C39" s="539">
        <f>C44/1.15</f>
        <v>1.0434782608695652</v>
      </c>
      <c r="D39" s="537" t="s">
        <v>21</v>
      </c>
      <c r="I39" s="624" t="s">
        <v>4566</v>
      </c>
      <c r="J39" s="625">
        <v>9.81</v>
      </c>
      <c r="K39" s="625" t="s">
        <v>4567</v>
      </c>
    </row>
    <row r="40" spans="2:11" x14ac:dyDescent="0.3">
      <c r="B40" s="537" t="s">
        <v>4520</v>
      </c>
      <c r="C40" s="760">
        <v>1</v>
      </c>
      <c r="D40" s="537" t="s">
        <v>21</v>
      </c>
      <c r="E40" s="540"/>
      <c r="F40" s="767">
        <f>F37/F38</f>
        <v>2.5000000000000001E-2</v>
      </c>
      <c r="I40" s="624" t="s">
        <v>4505</v>
      </c>
      <c r="J40" s="628">
        <v>0.3</v>
      </c>
      <c r="K40" s="625" t="s">
        <v>21</v>
      </c>
    </row>
    <row r="41" spans="2:11" x14ac:dyDescent="0.3">
      <c r="B41" s="537" t="s">
        <v>4521</v>
      </c>
      <c r="C41" s="539">
        <f>((C40+(C38*C39))*C39)*24%</f>
        <v>0.51175803402646503</v>
      </c>
      <c r="D41" s="537" t="s">
        <v>4522</v>
      </c>
      <c r="I41" s="624" t="s">
        <v>4571</v>
      </c>
      <c r="J41" s="631">
        <f>J40/J38</f>
        <v>0.5</v>
      </c>
      <c r="K41" s="629" t="s">
        <v>4572</v>
      </c>
    </row>
    <row r="42" spans="2:11" ht="20.399999999999999" x14ac:dyDescent="0.3">
      <c r="B42" s="537" t="s">
        <v>4523</v>
      </c>
      <c r="C42" s="539">
        <f>C40+(2*C39*(SQRT(1+C38)^2))</f>
        <v>5.1739130434782616</v>
      </c>
      <c r="D42" s="537" t="s">
        <v>21</v>
      </c>
      <c r="F42" s="540"/>
      <c r="I42" s="622" t="s">
        <v>4575</v>
      </c>
      <c r="J42" s="632">
        <f>0.785*J36*(J38)^2.5*(2*J39)^0.5*(J40/(J37-J38))^0.5</f>
        <v>0.89776921527077269</v>
      </c>
      <c r="K42" s="625" t="s">
        <v>4527</v>
      </c>
    </row>
    <row r="43" spans="2:11" x14ac:dyDescent="0.3">
      <c r="B43" s="537" t="s">
        <v>4524</v>
      </c>
      <c r="C43" s="539">
        <f>C41/C42</f>
        <v>9.8911216660577256E-2</v>
      </c>
      <c r="D43" s="537" t="s">
        <v>21</v>
      </c>
      <c r="F43" s="637"/>
      <c r="I43" s="633" t="s">
        <v>4555</v>
      </c>
      <c r="J43" s="634" t="s">
        <v>4578</v>
      </c>
      <c r="K43" s="633" t="s">
        <v>4557</v>
      </c>
    </row>
    <row r="44" spans="2:11" x14ac:dyDescent="0.3">
      <c r="B44" s="537" t="s">
        <v>4791</v>
      </c>
      <c r="C44" s="541">
        <v>1.2</v>
      </c>
      <c r="D44" s="537" t="s">
        <v>21</v>
      </c>
      <c r="I44" s="624" t="s">
        <v>4579</v>
      </c>
      <c r="J44" s="628">
        <f>0.785*(J38)^2</f>
        <v>0.28260000000000002</v>
      </c>
      <c r="K44" s="625" t="s">
        <v>4522</v>
      </c>
    </row>
    <row r="45" spans="2:11" ht="15" thickBot="1" x14ac:dyDescent="0.35">
      <c r="B45" s="537" t="s">
        <v>4525</v>
      </c>
      <c r="C45" s="760">
        <f>C40+(2*C38*C44)</f>
        <v>3.4</v>
      </c>
      <c r="D45" s="537" t="s">
        <v>21</v>
      </c>
      <c r="I45" s="624" t="s">
        <v>62</v>
      </c>
      <c r="J45" s="768">
        <f>F40</f>
        <v>2.5000000000000001E-2</v>
      </c>
      <c r="K45" s="625"/>
    </row>
    <row r="46" spans="2:11" ht="15" thickBot="1" x14ac:dyDescent="0.35">
      <c r="B46" s="542" t="s">
        <v>4526</v>
      </c>
      <c r="C46" s="543">
        <f>(1/C36)*(C43^0.666666)*(C37^0.5)*C41</f>
        <v>0.5768697749711208</v>
      </c>
      <c r="D46" s="747" t="s">
        <v>4527</v>
      </c>
      <c r="I46" s="624" t="s">
        <v>4504</v>
      </c>
      <c r="J46" s="625">
        <v>10</v>
      </c>
      <c r="K46" s="625" t="s">
        <v>21</v>
      </c>
    </row>
    <row r="47" spans="2:11" x14ac:dyDescent="0.3">
      <c r="I47" s="624" t="s">
        <v>4580</v>
      </c>
      <c r="J47" s="628">
        <v>0.5</v>
      </c>
      <c r="K47" s="625" t="s">
        <v>4797</v>
      </c>
    </row>
    <row r="48" spans="2:11" x14ac:dyDescent="0.3">
      <c r="I48" s="624" t="s">
        <v>4581</v>
      </c>
      <c r="J48" s="625">
        <v>0.4</v>
      </c>
      <c r="K48" s="625" t="s">
        <v>4559</v>
      </c>
    </row>
    <row r="49" spans="9:11" x14ac:dyDescent="0.3">
      <c r="I49" s="624" t="s">
        <v>4582</v>
      </c>
      <c r="J49" s="625">
        <v>0.3</v>
      </c>
      <c r="K49" s="625" t="s">
        <v>4559</v>
      </c>
    </row>
    <row r="50" spans="9:11" x14ac:dyDescent="0.3">
      <c r="I50" s="624" t="s">
        <v>4583</v>
      </c>
      <c r="J50" s="625">
        <f>J38/4</f>
        <v>0.15</v>
      </c>
      <c r="K50" s="625"/>
    </row>
    <row r="51" spans="9:11" x14ac:dyDescent="0.3">
      <c r="I51" s="624" t="s">
        <v>4584</v>
      </c>
      <c r="J51" s="630">
        <f>2*J39*(E52^2)*(J46/(J50)^1.3333)</f>
        <v>0</v>
      </c>
      <c r="K51" s="625"/>
    </row>
    <row r="52" spans="9:11" x14ac:dyDescent="0.3">
      <c r="I52" s="624" t="s">
        <v>4585</v>
      </c>
      <c r="J52" s="625">
        <v>1</v>
      </c>
      <c r="K52" s="625"/>
    </row>
    <row r="53" spans="9:11" ht="21.6" x14ac:dyDescent="0.3">
      <c r="I53" s="623" t="s">
        <v>4586</v>
      </c>
      <c r="J53" s="631">
        <f>(2*J39*(J40+(J45*J46)-J48))/(J49+J51+J52)^0.5</f>
        <v>2.5811817508205874</v>
      </c>
      <c r="K53" s="625" t="s">
        <v>4600</v>
      </c>
    </row>
    <row r="54" spans="9:11" x14ac:dyDescent="0.3">
      <c r="I54" s="624" t="s">
        <v>4587</v>
      </c>
      <c r="J54" s="632">
        <f>J44*J53</f>
        <v>0.7294419627818981</v>
      </c>
      <c r="K54" s="625" t="s">
        <v>4527</v>
      </c>
    </row>
  </sheetData>
  <mergeCells count="18">
    <mergeCell ref="G22:G23"/>
    <mergeCell ref="B3:E3"/>
    <mergeCell ref="B5:E5"/>
    <mergeCell ref="B6:E6"/>
    <mergeCell ref="D7:E7"/>
    <mergeCell ref="D8:E8"/>
    <mergeCell ref="B10:E10"/>
    <mergeCell ref="B15:C15"/>
    <mergeCell ref="B20:E20"/>
    <mergeCell ref="B22:B23"/>
    <mergeCell ref="C22:D23"/>
    <mergeCell ref="E22:E23"/>
    <mergeCell ref="B34:D34"/>
    <mergeCell ref="C24:D24"/>
    <mergeCell ref="B27:B28"/>
    <mergeCell ref="C27:C28"/>
    <mergeCell ref="E27:E28"/>
    <mergeCell ref="B32:D3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1C91-4630-47D2-AA37-C0329F6A20FB}">
  <sheetPr>
    <tabColor rgb="FFFF0000"/>
  </sheetPr>
  <dimension ref="C3:G4"/>
  <sheetViews>
    <sheetView workbookViewId="0">
      <selection activeCell="C3" sqref="C3:G4"/>
    </sheetView>
  </sheetViews>
  <sheetFormatPr defaultRowHeight="14.4" x14ac:dyDescent="0.3"/>
  <cols>
    <col min="3" max="3" width="16.5546875" customWidth="1"/>
    <col min="4" max="4" width="12.6640625" bestFit="1" customWidth="1"/>
    <col min="5" max="5" width="14.6640625" bestFit="1" customWidth="1"/>
    <col min="6" max="7" width="16.33203125" bestFit="1" customWidth="1"/>
  </cols>
  <sheetData>
    <row r="3" spans="3:7" ht="39.6" x14ac:dyDescent="0.3">
      <c r="C3" s="647" t="s">
        <v>4636</v>
      </c>
      <c r="D3" s="655" t="s">
        <v>4637</v>
      </c>
      <c r="E3" s="647" t="s">
        <v>4638</v>
      </c>
      <c r="F3" s="647" t="s">
        <v>4639</v>
      </c>
      <c r="G3" s="647" t="s">
        <v>4640</v>
      </c>
    </row>
    <row r="4" spans="3:7" x14ac:dyDescent="0.3">
      <c r="C4" s="651">
        <f>'Summary Intensity (I)'!E14</f>
        <v>68.760000000000005</v>
      </c>
      <c r="D4" s="656">
        <f>'Runoff Coeff. (C)'!M29</f>
        <v>0.77752265861027192</v>
      </c>
      <c r="E4" s="652">
        <v>49.65</v>
      </c>
      <c r="F4" s="653">
        <f>0.00278*(C4*D4*E4)</f>
        <v>7.379262691200001</v>
      </c>
      <c r="G4" s="654">
        <f>0.00278*(C4*D4*E4)/(1/(2.63*60*60))</f>
        <v>69866.859160281587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2</vt:i4>
      </vt:variant>
    </vt:vector>
  </HeadingPairs>
  <TitlesOfParts>
    <vt:vector size="48" baseType="lpstr">
      <vt:lpstr>Data</vt:lpstr>
      <vt:lpstr>JRBM Rainfall 2014</vt:lpstr>
      <vt:lpstr>JRBM Rainfall 2015-2017</vt:lpstr>
      <vt:lpstr>JRBM Rainfall 2018-May 2022</vt:lpstr>
      <vt:lpstr>JRBM Rainfal June 2022-Oct 2023</vt:lpstr>
      <vt:lpstr>2024</vt:lpstr>
      <vt:lpstr>Rainfall 1 Days (24 Hours)</vt:lpstr>
      <vt:lpstr>Rainfall - Summary - Bakan</vt:lpstr>
      <vt:lpstr>Rainfall Max</vt:lpstr>
      <vt:lpstr>Analisis Frekuensi</vt:lpstr>
      <vt:lpstr>Tabel Ktr Normal</vt:lpstr>
      <vt:lpstr>Tabel Alfa Chi Square</vt:lpstr>
      <vt:lpstr>Tabel Do Smirnov-Kolmogorov</vt:lpstr>
      <vt:lpstr>RTr Normal</vt:lpstr>
      <vt:lpstr>RTr Log Normal</vt:lpstr>
      <vt:lpstr>Tabel Yn &amp; Sn Gumbel</vt:lpstr>
      <vt:lpstr>RTr Gumbel</vt:lpstr>
      <vt:lpstr>Tabel KTr Pearson</vt:lpstr>
      <vt:lpstr>Z_SCORE</vt:lpstr>
      <vt:lpstr>RTr Pearson Type III</vt:lpstr>
      <vt:lpstr>RTr Log Pearson Type III</vt:lpstr>
      <vt:lpstr>Resume RTr</vt:lpstr>
      <vt:lpstr>Sheet1</vt:lpstr>
      <vt:lpstr>Uji Cocok</vt:lpstr>
      <vt:lpstr>Gumbell 2 th</vt:lpstr>
      <vt:lpstr>Gumbell 5 th</vt:lpstr>
      <vt:lpstr>Gumbell 10 th</vt:lpstr>
      <vt:lpstr>Gumbell 25 th</vt:lpstr>
      <vt:lpstr>Summary Intensity (I)</vt:lpstr>
      <vt:lpstr>Runoff Coeff. (C)</vt:lpstr>
      <vt:lpstr>Catchment Area (A)</vt:lpstr>
      <vt:lpstr>Ditch Geometry Reference</vt:lpstr>
      <vt:lpstr>Ditch Calculation</vt:lpstr>
      <vt:lpstr>Summary Ditch</vt:lpstr>
      <vt:lpstr>Culvert</vt:lpstr>
      <vt:lpstr>Culvert (2)</vt:lpstr>
      <vt:lpstr>Kapasitas Pond CH Mrs Nancy</vt:lpstr>
      <vt:lpstr>Kapasitas Pond 84 Jam DRN-MR</vt:lpstr>
      <vt:lpstr>Kapasitas Pond 84 Jam</vt:lpstr>
      <vt:lpstr>Rencana Pompa</vt:lpstr>
      <vt:lpstr>Curve of Pump</vt:lpstr>
      <vt:lpstr>Penjadwalan Pemompaan</vt:lpstr>
      <vt:lpstr>Kapasitas Pompa</vt:lpstr>
      <vt:lpstr>Underdrain East SHLP02</vt:lpstr>
      <vt:lpstr>Culvert_IPD_Durian</vt:lpstr>
      <vt:lpstr>Runoff Discharge to SP</vt:lpstr>
      <vt:lpstr>'Tabel Do Smirnov-Kolmogorov'!data_1</vt:lpstr>
      <vt:lpstr>'RTr Normal'!Print_Area</vt:lpstr>
    </vt:vector>
  </TitlesOfParts>
  <Company>SIL Institut Pertanian Bogor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Yanuar Chandra W</dc:creator>
  <cp:lastModifiedBy>Rizqi Adi Bagus Wicaksono</cp:lastModifiedBy>
  <cp:lastPrinted>2017-04-04T06:44:09Z</cp:lastPrinted>
  <dcterms:created xsi:type="dcterms:W3CDTF">2011-07-01T06:44:25Z</dcterms:created>
  <dcterms:modified xsi:type="dcterms:W3CDTF">2025-06-29T12:22:39Z</dcterms:modified>
</cp:coreProperties>
</file>