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omments3.xml" ContentType="application/vnd.openxmlformats-officedocument.spreadsheetml.comments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drawings/drawing8.xml" ContentType="application/vnd.openxmlformats-officedocument.drawing+xml"/>
  <Override PartName="/xl/comments5.xml" ContentType="application/vnd.openxmlformats-officedocument.spreadsheetml.comments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[UGM] Gadjah Mada\[TA] Skripsi\[3] Data Pengolahan Curah Hujan\"/>
    </mc:Choice>
  </mc:AlternateContent>
  <xr:revisionPtr revIDLastSave="0" documentId="13_ncr:1_{5681C44C-41F7-4D75-987C-1E6F68623744}" xr6:coauthVersionLast="47" xr6:coauthVersionMax="47" xr10:uidLastSave="{00000000-0000-0000-0000-000000000000}"/>
  <bookViews>
    <workbookView xWindow="-108" yWindow="-108" windowWidth="23256" windowHeight="13176" tabRatio="776" activeTab="5" xr2:uid="{00000000-000D-0000-FFFF-FFFF00000000}"/>
  </bookViews>
  <sheets>
    <sheet name="Referensi" sheetId="2" r:id="rId1"/>
    <sheet name="Input Data Nakayasu" sheetId="1" r:id="rId2"/>
    <sheet name="UH Nakayasu" sheetId="3" r:id="rId3"/>
    <sheet name="Hidrograf Nakayasu" sheetId="5" r:id="rId4"/>
    <sheet name="Hidrograf Nakayasu HECRAS" sheetId="11" r:id="rId5"/>
    <sheet name="Sheet1" sheetId="14" r:id="rId6"/>
    <sheet name="Debit Rencana" sheetId="6" state="hidden" r:id="rId7"/>
    <sheet name="Cek Dimensi Saluran A" sheetId="13" state="hidden" r:id="rId8"/>
    <sheet name="Jml Sumur Resapan" sheetId="8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2" l="1"/>
  <c r="D5" i="1" l="1"/>
  <c r="M16" i="2"/>
  <c r="T29" i="11" l="1"/>
  <c r="T28" i="11"/>
  <c r="I25" i="1" l="1"/>
  <c r="I24" i="1"/>
  <c r="I27" i="1" s="1"/>
  <c r="H26" i="1"/>
  <c r="B7" i="5"/>
  <c r="B9" i="5"/>
  <c r="B10" i="5"/>
  <c r="B11" i="5"/>
  <c r="B12" i="5"/>
  <c r="B14" i="5"/>
  <c r="B15" i="5"/>
  <c r="B16" i="5"/>
  <c r="B17" i="5"/>
  <c r="B18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M6" i="2"/>
  <c r="B30" i="11" l="1"/>
  <c r="B24" i="11"/>
  <c r="B25" i="11"/>
  <c r="B26" i="11"/>
  <c r="B27" i="11"/>
  <c r="B28" i="11"/>
  <c r="B29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6" i="11"/>
  <c r="O11" i="13" l="1"/>
  <c r="O10" i="13"/>
  <c r="O5" i="13"/>
  <c r="O12" i="13" l="1"/>
  <c r="O13" i="13" s="1"/>
  <c r="I9" i="6" l="1"/>
  <c r="H7" i="6"/>
  <c r="I5" i="6"/>
  <c r="J11" i="13"/>
  <c r="J10" i="13"/>
  <c r="J12" i="13" l="1"/>
  <c r="E5" i="13"/>
  <c r="E48" i="13"/>
  <c r="E47" i="13"/>
  <c r="E43" i="13"/>
  <c r="E28" i="13"/>
  <c r="E27" i="13"/>
  <c r="E11" i="13"/>
  <c r="E10" i="13"/>
  <c r="E42" i="13"/>
  <c r="J5" i="13" l="1"/>
  <c r="E49" i="13"/>
  <c r="E50" i="13"/>
  <c r="E12" i="13"/>
  <c r="E13" i="13" l="1"/>
  <c r="J13" i="13"/>
  <c r="E5" i="11" l="1"/>
  <c r="F5" i="11" s="1"/>
  <c r="G5" i="11" s="1"/>
  <c r="H5" i="11" s="1"/>
  <c r="I5" i="11" s="1"/>
  <c r="J5" i="11" s="1"/>
  <c r="K5" i="11" s="1"/>
  <c r="L5" i="11" s="1"/>
  <c r="M5" i="11" s="1"/>
  <c r="N5" i="11" s="1"/>
  <c r="O5" i="11" s="1"/>
  <c r="B1" i="11"/>
  <c r="D6" i="6" l="1"/>
  <c r="I6" i="6" s="1"/>
  <c r="G17" i="2" l="1"/>
  <c r="H17" i="2" l="1"/>
  <c r="D9" i="1" s="1"/>
  <c r="D4" i="1"/>
  <c r="D11" i="6"/>
  <c r="I11" i="6" s="1"/>
  <c r="I83" i="8"/>
  <c r="I85" i="8" s="1"/>
  <c r="I51" i="8" l="1"/>
  <c r="I25" i="8"/>
  <c r="D25" i="8"/>
  <c r="D5" i="6"/>
  <c r="E9" i="13" s="1"/>
  <c r="O9" i="13" s="1"/>
  <c r="J9" i="13" l="1"/>
  <c r="E31" i="13"/>
  <c r="E46" i="13"/>
  <c r="D9" i="6"/>
  <c r="C7" i="6" l="1"/>
  <c r="I10" i="8" l="1"/>
  <c r="J10" i="8" s="1"/>
  <c r="I11" i="8"/>
  <c r="J11" i="8" s="1"/>
  <c r="I77" i="8" s="1"/>
  <c r="I89" i="8" s="1"/>
  <c r="I9" i="8"/>
  <c r="J9" i="8" s="1"/>
  <c r="I78" i="8" s="1"/>
  <c r="D20" i="8"/>
  <c r="I20" i="8" s="1"/>
  <c r="I90" i="8" l="1"/>
  <c r="I91" i="8" s="1"/>
  <c r="I93" i="8" s="1"/>
  <c r="I95" i="8" s="1"/>
  <c r="J95" i="8" s="1"/>
  <c r="I32" i="8"/>
  <c r="I35" i="8" s="1"/>
  <c r="I36" i="8" s="1"/>
  <c r="I37" i="8" s="1"/>
  <c r="I38" i="8" s="1"/>
  <c r="I39" i="8" s="1"/>
  <c r="I46" i="8"/>
  <c r="I21" i="8"/>
  <c r="I26" i="8" s="1"/>
  <c r="I27" i="8" s="1"/>
  <c r="I45" i="8"/>
  <c r="D16" i="8"/>
  <c r="D21" i="8" s="1"/>
  <c r="D26" i="8" s="1"/>
  <c r="D27" i="8" s="1"/>
  <c r="D31" i="8"/>
  <c r="I31" i="8" l="1"/>
  <c r="I44" i="8" l="1"/>
  <c r="I76" i="8"/>
  <c r="B8" i="1" l="1"/>
  <c r="B1" i="5" l="1"/>
  <c r="B6" i="5" l="1"/>
  <c r="M10" i="2" l="1"/>
  <c r="D8" i="1" l="1"/>
  <c r="D7" i="6"/>
  <c r="I7" i="6" s="1"/>
  <c r="E5" i="5"/>
  <c r="F5" i="5" s="1"/>
  <c r="G5" i="5" s="1"/>
  <c r="H5" i="5" s="1"/>
  <c r="I5" i="5" s="1"/>
  <c r="J5" i="5" s="1"/>
  <c r="K5" i="5" s="1"/>
  <c r="L5" i="5" s="1"/>
  <c r="M5" i="5" s="1"/>
  <c r="N5" i="5" s="1"/>
  <c r="O5" i="5" s="1"/>
  <c r="D37" i="1"/>
  <c r="D35" i="1"/>
  <c r="I10" i="6" l="1"/>
  <c r="D10" i="6"/>
  <c r="D12" i="6" l="1"/>
  <c r="G6" i="1"/>
  <c r="A20" i="1"/>
  <c r="A24" i="1" s="1"/>
  <c r="A28" i="1" s="1"/>
  <c r="A29" i="1" s="1"/>
  <c r="A34" i="1" s="1"/>
  <c r="A35" i="1" s="1"/>
  <c r="A36" i="1" s="1"/>
  <c r="A37" i="1" s="1"/>
  <c r="A38" i="1" s="1"/>
  <c r="D19" i="1"/>
  <c r="D23" i="1" s="1"/>
  <c r="D34" i="1" s="1"/>
  <c r="G7" i="1" l="1"/>
  <c r="G8" i="1" s="1"/>
  <c r="G9" i="1" s="1"/>
  <c r="G10" i="1" s="1"/>
  <c r="G11" i="1" s="1"/>
  <c r="I6" i="1"/>
  <c r="J6" i="1" s="1"/>
  <c r="K6" i="1" s="1"/>
  <c r="D13" i="6"/>
  <c r="E14" i="13"/>
  <c r="O14" i="13"/>
  <c r="O15" i="13" s="1"/>
  <c r="J14" i="13"/>
  <c r="J15" i="13" s="1"/>
  <c r="D14" i="6"/>
  <c r="I8" i="1"/>
  <c r="J8" i="1" s="1"/>
  <c r="I11" i="1"/>
  <c r="J11" i="1" s="1"/>
  <c r="I9" i="1"/>
  <c r="J9" i="1" s="1"/>
  <c r="I7" i="1"/>
  <c r="J7" i="1" s="1"/>
  <c r="I10" i="1" l="1"/>
  <c r="J10" i="1" s="1"/>
  <c r="K11" i="1" s="1"/>
  <c r="K7" i="1"/>
  <c r="D16" i="6"/>
  <c r="D17" i="6" s="1"/>
  <c r="K9" i="1"/>
  <c r="D15" i="6"/>
  <c r="D32" i="8"/>
  <c r="D34" i="8" s="1"/>
  <c r="D35" i="8" s="1"/>
  <c r="D38" i="8" s="1"/>
  <c r="D39" i="8" s="1"/>
  <c r="D40" i="8" s="1"/>
  <c r="D41" i="8" s="1"/>
  <c r="D42" i="8" s="1"/>
  <c r="K8" i="1"/>
  <c r="D27" i="1"/>
  <c r="D28" i="1" s="1"/>
  <c r="K10" i="1" l="1"/>
  <c r="K12" i="1" s="1"/>
  <c r="L8" i="1" s="1"/>
  <c r="M7" i="1" s="1"/>
  <c r="N7" i="1" s="1"/>
  <c r="O7" i="1" s="1"/>
  <c r="B5" i="3"/>
  <c r="B6" i="3" s="1"/>
  <c r="E36" i="13"/>
  <c r="E51" i="13"/>
  <c r="E15" i="13"/>
  <c r="E20" i="13"/>
  <c r="E21" i="13" s="1"/>
  <c r="B4" i="3"/>
  <c r="D38" i="1"/>
  <c r="D24" i="3" l="1"/>
  <c r="F24" i="3" s="1"/>
  <c r="B15" i="3"/>
  <c r="F15" i="3" s="1"/>
  <c r="B14" i="3"/>
  <c r="F14" i="3" s="1"/>
  <c r="D23" i="3"/>
  <c r="F23" i="3" s="1"/>
  <c r="D25" i="3"/>
  <c r="F25" i="3" s="1"/>
  <c r="D26" i="3"/>
  <c r="F26" i="3" s="1"/>
  <c r="C20" i="3"/>
  <c r="F20" i="3" s="1"/>
  <c r="C19" i="3"/>
  <c r="F19" i="3" s="1"/>
  <c r="E28" i="3"/>
  <c r="F28" i="3" s="1"/>
  <c r="C18" i="3"/>
  <c r="F18" i="3" s="1"/>
  <c r="E29" i="3"/>
  <c r="F29" i="3" s="1"/>
  <c r="E30" i="3"/>
  <c r="F30" i="3" s="1"/>
  <c r="D22" i="3"/>
  <c r="F22" i="3" s="1"/>
  <c r="E31" i="3"/>
  <c r="F31" i="3" s="1"/>
  <c r="C17" i="3"/>
  <c r="F17" i="3" s="1"/>
  <c r="A16" i="3"/>
  <c r="B8" i="5" s="1"/>
  <c r="B3" i="3"/>
  <c r="E4" i="11"/>
  <c r="E22" i="13"/>
  <c r="E29" i="13" s="1"/>
  <c r="E30" i="13"/>
  <c r="E52" i="13"/>
  <c r="E33" i="3"/>
  <c r="F33" i="3" s="1"/>
  <c r="E3" i="3"/>
  <c r="A21" i="3" s="1"/>
  <c r="B13" i="5" s="1"/>
  <c r="E4" i="3"/>
  <c r="A27" i="3" s="1"/>
  <c r="B19" i="5" s="1"/>
  <c r="E32" i="3"/>
  <c r="F32" i="3" s="1"/>
  <c r="E4" i="5"/>
  <c r="L10" i="1"/>
  <c r="M6" i="1" s="1"/>
  <c r="L11" i="1"/>
  <c r="M11" i="1" s="1"/>
  <c r="N11" i="1" s="1"/>
  <c r="O11" i="1" s="1"/>
  <c r="L6" i="1"/>
  <c r="L7" i="1"/>
  <c r="M9" i="1" s="1"/>
  <c r="N9" i="1" s="1"/>
  <c r="O9" i="1" s="1"/>
  <c r="L9" i="1"/>
  <c r="M10" i="1" s="1"/>
  <c r="N10" i="1" s="1"/>
  <c r="O10" i="1" s="1"/>
  <c r="G17" i="3" l="1"/>
  <c r="C9" i="5" s="1"/>
  <c r="D27" i="3"/>
  <c r="F27" i="3" s="1"/>
  <c r="G27" i="3" s="1"/>
  <c r="C19" i="5" s="1"/>
  <c r="C21" i="3"/>
  <c r="F21" i="3" s="1"/>
  <c r="G21" i="3" s="1"/>
  <c r="C13" i="5" s="1"/>
  <c r="B16" i="3"/>
  <c r="F16" i="3" s="1"/>
  <c r="G16" i="3" s="1"/>
  <c r="C8" i="5" s="1"/>
  <c r="G22" i="3"/>
  <c r="C14" i="5" s="1"/>
  <c r="G24" i="3"/>
  <c r="C16" i="5" s="1"/>
  <c r="G18" i="3"/>
  <c r="C10" i="5" s="1"/>
  <c r="G15" i="3"/>
  <c r="G20" i="3"/>
  <c r="C12" i="5" s="1"/>
  <c r="G23" i="3"/>
  <c r="C15" i="5" s="1"/>
  <c r="G19" i="3"/>
  <c r="C11" i="5" s="1"/>
  <c r="G14" i="3"/>
  <c r="E33" i="13"/>
  <c r="H4" i="11"/>
  <c r="G4" i="11"/>
  <c r="I4" i="11"/>
  <c r="E32" i="13"/>
  <c r="G25" i="3"/>
  <c r="C17" i="5" s="1"/>
  <c r="G29" i="3"/>
  <c r="C21" i="5" s="1"/>
  <c r="G30" i="3"/>
  <c r="C22" i="5" s="1"/>
  <c r="G33" i="3"/>
  <c r="C25" i="5" s="1"/>
  <c r="G28" i="3"/>
  <c r="C20" i="5" s="1"/>
  <c r="G26" i="3"/>
  <c r="C18" i="5" s="1"/>
  <c r="G31" i="3"/>
  <c r="C23" i="5" s="1"/>
  <c r="G32" i="3"/>
  <c r="C24" i="5" s="1"/>
  <c r="H4" i="5"/>
  <c r="G4" i="5"/>
  <c r="I4" i="5"/>
  <c r="M8" i="1"/>
  <c r="N8" i="1" s="1"/>
  <c r="O8" i="1" s="1"/>
  <c r="L12" i="1"/>
  <c r="N6" i="1"/>
  <c r="O6" i="1" s="1"/>
  <c r="E34" i="13" l="1"/>
  <c r="E35" i="13" s="1"/>
  <c r="E37" i="13" s="1"/>
  <c r="C7" i="11"/>
  <c r="C7" i="5"/>
  <c r="L7" i="5" s="1"/>
  <c r="I11" i="5"/>
  <c r="H11" i="5"/>
  <c r="L11" i="5"/>
  <c r="K11" i="5"/>
  <c r="N11" i="5"/>
  <c r="J11" i="5"/>
  <c r="O11" i="5"/>
  <c r="M11" i="5"/>
  <c r="G11" i="5"/>
  <c r="E11" i="5"/>
  <c r="C21" i="11"/>
  <c r="M21" i="11" s="1"/>
  <c r="E24" i="5"/>
  <c r="C16" i="11"/>
  <c r="E16" i="11" s="1"/>
  <c r="K18" i="5"/>
  <c r="C22" i="11"/>
  <c r="M22" i="11" s="1"/>
  <c r="N25" i="5"/>
  <c r="C18" i="11"/>
  <c r="L18" i="11" s="1"/>
  <c r="H21" i="5"/>
  <c r="N9" i="5"/>
  <c r="C8" i="11"/>
  <c r="K8" i="11" s="1"/>
  <c r="C11" i="11"/>
  <c r="L11" i="11" s="1"/>
  <c r="M12" i="5"/>
  <c r="E10" i="5"/>
  <c r="C9" i="11"/>
  <c r="O9" i="11" s="1"/>
  <c r="N14" i="5"/>
  <c r="C12" i="11"/>
  <c r="O12" i="11" s="1"/>
  <c r="C20" i="11"/>
  <c r="L20" i="11" s="1"/>
  <c r="E23" i="5"/>
  <c r="C17" i="11"/>
  <c r="J17" i="11" s="1"/>
  <c r="L20" i="5"/>
  <c r="C19" i="11"/>
  <c r="J19" i="11" s="1"/>
  <c r="E22" i="5"/>
  <c r="C15" i="11"/>
  <c r="L15" i="11" s="1"/>
  <c r="E17" i="5"/>
  <c r="C6" i="5"/>
  <c r="N6" i="5" s="1"/>
  <c r="C6" i="11"/>
  <c r="M6" i="11" s="1"/>
  <c r="C10" i="11"/>
  <c r="N10" i="11" s="1"/>
  <c r="C13" i="11"/>
  <c r="G13" i="11" s="1"/>
  <c r="L15" i="5"/>
  <c r="L7" i="11"/>
  <c r="L16" i="5"/>
  <c r="C14" i="11"/>
  <c r="K14" i="11" s="1"/>
  <c r="E13" i="5"/>
  <c r="L19" i="5"/>
  <c r="F4" i="11"/>
  <c r="E8" i="5"/>
  <c r="O8" i="5"/>
  <c r="K8" i="5"/>
  <c r="J8" i="5"/>
  <c r="F4" i="5"/>
  <c r="G8" i="5"/>
  <c r="H8" i="5"/>
  <c r="I8" i="5"/>
  <c r="L8" i="5"/>
  <c r="N8" i="5"/>
  <c r="M8" i="5"/>
  <c r="N12" i="1"/>
  <c r="M12" i="1"/>
  <c r="E14" i="11" l="1"/>
  <c r="J13" i="11"/>
  <c r="N13" i="11"/>
  <c r="E13" i="11"/>
  <c r="I8" i="11"/>
  <c r="H22" i="11"/>
  <c r="G22" i="11"/>
  <c r="O22" i="11"/>
  <c r="I22" i="11"/>
  <c r="N20" i="11"/>
  <c r="H8" i="11"/>
  <c r="K21" i="11"/>
  <c r="H20" i="11"/>
  <c r="E20" i="11"/>
  <c r="I9" i="11"/>
  <c r="K20" i="11"/>
  <c r="G19" i="11"/>
  <c r="M19" i="11"/>
  <c r="H19" i="11"/>
  <c r="G14" i="11"/>
  <c r="E15" i="11"/>
  <c r="J9" i="5"/>
  <c r="G9" i="5"/>
  <c r="F6" i="5"/>
  <c r="F11" i="5"/>
  <c r="K10" i="5"/>
  <c r="E9" i="5"/>
  <c r="N10" i="5"/>
  <c r="G10" i="5"/>
  <c r="M10" i="5"/>
  <c r="L9" i="5"/>
  <c r="O6" i="5"/>
  <c r="N16" i="5"/>
  <c r="E12" i="5"/>
  <c r="N9" i="11"/>
  <c r="E16" i="5"/>
  <c r="G25" i="5"/>
  <c r="N19" i="11"/>
  <c r="I20" i="11"/>
  <c r="O8" i="11"/>
  <c r="G6" i="5"/>
  <c r="L19" i="11"/>
  <c r="K6" i="11"/>
  <c r="H6" i="11"/>
  <c r="G9" i="11"/>
  <c r="I14" i="11"/>
  <c r="L25" i="5"/>
  <c r="I6" i="11"/>
  <c r="G8" i="11"/>
  <c r="L8" i="11"/>
  <c r="L6" i="11"/>
  <c r="N6" i="11"/>
  <c r="H14" i="11"/>
  <c r="M9" i="11"/>
  <c r="J8" i="11"/>
  <c r="G15" i="11"/>
  <c r="M18" i="11"/>
  <c r="H18" i="11"/>
  <c r="L16" i="11"/>
  <c r="O14" i="11"/>
  <c r="L14" i="11"/>
  <c r="N12" i="11"/>
  <c r="N7" i="5"/>
  <c r="H12" i="11"/>
  <c r="H13" i="11"/>
  <c r="M20" i="11"/>
  <c r="K13" i="11"/>
  <c r="L22" i="11"/>
  <c r="K9" i="5"/>
  <c r="H16" i="11"/>
  <c r="K6" i="5"/>
  <c r="J12" i="5"/>
  <c r="G12" i="5"/>
  <c r="L12" i="5"/>
  <c r="M20" i="5"/>
  <c r="O12" i="5"/>
  <c r="E18" i="5"/>
  <c r="N21" i="5"/>
  <c r="E10" i="11"/>
  <c r="N7" i="11"/>
  <c r="H12" i="5"/>
  <c r="K12" i="5"/>
  <c r="K12" i="11"/>
  <c r="I12" i="5"/>
  <c r="N12" i="5"/>
  <c r="I12" i="11"/>
  <c r="G12" i="11"/>
  <c r="J16" i="11"/>
  <c r="O16" i="11"/>
  <c r="J14" i="11"/>
  <c r="I10" i="11"/>
  <c r="I11" i="11"/>
  <c r="G17" i="11"/>
  <c r="G10" i="11"/>
  <c r="H10" i="11"/>
  <c r="H9" i="11"/>
  <c r="G6" i="11"/>
  <c r="N16" i="11"/>
  <c r="J9" i="11"/>
  <c r="E11" i="11"/>
  <c r="J10" i="11"/>
  <c r="K9" i="11"/>
  <c r="N14" i="11"/>
  <c r="N8" i="11"/>
  <c r="J6" i="11"/>
  <c r="K18" i="11"/>
  <c r="O18" i="11"/>
  <c r="E7" i="11"/>
  <c r="M11" i="11"/>
  <c r="J11" i="11"/>
  <c r="M17" i="11"/>
  <c r="N17" i="11"/>
  <c r="O7" i="11"/>
  <c r="F8" i="11"/>
  <c r="I7" i="11"/>
  <c r="E9" i="11"/>
  <c r="I17" i="11"/>
  <c r="L9" i="11"/>
  <c r="G18" i="11"/>
  <c r="L17" i="11"/>
  <c r="E8" i="11"/>
  <c r="M14" i="11"/>
  <c r="O6" i="11"/>
  <c r="M10" i="11"/>
  <c r="M8" i="11"/>
  <c r="K7" i="11"/>
  <c r="J7" i="11"/>
  <c r="J15" i="11"/>
  <c r="M15" i="11"/>
  <c r="J21" i="11"/>
  <c r="E21" i="11"/>
  <c r="H9" i="5"/>
  <c r="H6" i="5"/>
  <c r="I9" i="5"/>
  <c r="H10" i="5"/>
  <c r="I6" i="5"/>
  <c r="J10" i="5"/>
  <c r="O10" i="5"/>
  <c r="L10" i="5"/>
  <c r="G11" i="11"/>
  <c r="G21" i="11"/>
  <c r="G16" i="11"/>
  <c r="G20" i="11"/>
  <c r="I13" i="11"/>
  <c r="I18" i="11"/>
  <c r="I19" i="11"/>
  <c r="H11" i="11"/>
  <c r="I15" i="11"/>
  <c r="I21" i="11"/>
  <c r="H15" i="11"/>
  <c r="I16" i="11"/>
  <c r="M9" i="5"/>
  <c r="J20" i="11"/>
  <c r="O20" i="11"/>
  <c r="O9" i="5"/>
  <c r="M13" i="11"/>
  <c r="O13" i="11"/>
  <c r="L13" i="11"/>
  <c r="K16" i="11"/>
  <c r="O11" i="11"/>
  <c r="J22" i="11"/>
  <c r="K19" i="11"/>
  <c r="H17" i="11"/>
  <c r="H21" i="11"/>
  <c r="H7" i="11"/>
  <c r="M16" i="11"/>
  <c r="K22" i="11"/>
  <c r="O19" i="11"/>
  <c r="E22" i="11"/>
  <c r="J6" i="5"/>
  <c r="O17" i="11"/>
  <c r="K10" i="11"/>
  <c r="E17" i="11"/>
  <c r="O21" i="11"/>
  <c r="K11" i="11"/>
  <c r="E19" i="11"/>
  <c r="L6" i="5"/>
  <c r="L10" i="11"/>
  <c r="I10" i="5"/>
  <c r="N22" i="11"/>
  <c r="J18" i="11"/>
  <c r="M6" i="5"/>
  <c r="N18" i="11"/>
  <c r="K17" i="11"/>
  <c r="N21" i="11"/>
  <c r="E18" i="11"/>
  <c r="K15" i="11"/>
  <c r="N15" i="11"/>
  <c r="O10" i="11"/>
  <c r="M7" i="11"/>
  <c r="G7" i="11"/>
  <c r="N11" i="11"/>
  <c r="O15" i="11"/>
  <c r="L21" i="11"/>
  <c r="L12" i="11"/>
  <c r="E12" i="11"/>
  <c r="J12" i="11"/>
  <c r="M12" i="11"/>
  <c r="H19" i="5"/>
  <c r="I16" i="5"/>
  <c r="O13" i="5"/>
  <c r="G13" i="5"/>
  <c r="K22" i="5"/>
  <c r="J22" i="5"/>
  <c r="K23" i="5"/>
  <c r="O22" i="5"/>
  <c r="M23" i="5"/>
  <c r="I23" i="5"/>
  <c r="M17" i="5"/>
  <c r="L17" i="5"/>
  <c r="I19" i="5"/>
  <c r="G14" i="5"/>
  <c r="H14" i="5"/>
  <c r="L24" i="5"/>
  <c r="E19" i="5"/>
  <c r="N20" i="5"/>
  <c r="L14" i="5"/>
  <c r="O15" i="5"/>
  <c r="N13" i="5"/>
  <c r="J17" i="5"/>
  <c r="L22" i="5"/>
  <c r="N23" i="5"/>
  <c r="I13" i="5"/>
  <c r="H17" i="5"/>
  <c r="G17" i="5"/>
  <c r="H18" i="5"/>
  <c r="L13" i="5"/>
  <c r="N22" i="5"/>
  <c r="K17" i="5"/>
  <c r="K24" i="5"/>
  <c r="I14" i="5"/>
  <c r="I20" i="5"/>
  <c r="G15" i="5"/>
  <c r="I24" i="5"/>
  <c r="G19" i="5"/>
  <c r="N24" i="5"/>
  <c r="M19" i="5"/>
  <c r="N19" i="5"/>
  <c r="O14" i="5"/>
  <c r="E20" i="5"/>
  <c r="J16" i="5"/>
  <c r="F22" i="11"/>
  <c r="F10" i="11"/>
  <c r="F21" i="11"/>
  <c r="F17" i="11"/>
  <c r="F18" i="11"/>
  <c r="F15" i="11"/>
  <c r="F16" i="11"/>
  <c r="F7" i="11"/>
  <c r="M15" i="5"/>
  <c r="K15" i="5"/>
  <c r="L21" i="5"/>
  <c r="K21" i="5"/>
  <c r="M21" i="5"/>
  <c r="O25" i="5"/>
  <c r="E25" i="5"/>
  <c r="M24" i="5"/>
  <c r="O24" i="5"/>
  <c r="J13" i="5"/>
  <c r="N17" i="5"/>
  <c r="O17" i="5"/>
  <c r="M22" i="5"/>
  <c r="J18" i="5"/>
  <c r="O18" i="5"/>
  <c r="O23" i="5"/>
  <c r="I22" i="5"/>
  <c r="G22" i="5"/>
  <c r="H23" i="5"/>
  <c r="H24" i="5"/>
  <c r="G23" i="5"/>
  <c r="H22" i="5"/>
  <c r="I18" i="5"/>
  <c r="I17" i="5"/>
  <c r="I25" i="5"/>
  <c r="G18" i="5"/>
  <c r="G21" i="5"/>
  <c r="H16" i="5"/>
  <c r="H20" i="5"/>
  <c r="I15" i="5"/>
  <c r="H15" i="5"/>
  <c r="H25" i="5"/>
  <c r="I21" i="5"/>
  <c r="G20" i="5"/>
  <c r="G16" i="5"/>
  <c r="H13" i="5"/>
  <c r="G24" i="5"/>
  <c r="J24" i="5"/>
  <c r="K13" i="5"/>
  <c r="N18" i="5"/>
  <c r="J23" i="5"/>
  <c r="L23" i="5"/>
  <c r="M13" i="5"/>
  <c r="M18" i="5"/>
  <c r="K19" i="5"/>
  <c r="L18" i="5"/>
  <c r="O19" i="5"/>
  <c r="J19" i="5"/>
  <c r="K20" i="5"/>
  <c r="J14" i="5"/>
  <c r="K14" i="5"/>
  <c r="O20" i="5"/>
  <c r="M14" i="5"/>
  <c r="J20" i="5"/>
  <c r="M25" i="5"/>
  <c r="J15" i="5"/>
  <c r="M16" i="5"/>
  <c r="O21" i="5"/>
  <c r="J25" i="5"/>
  <c r="E21" i="5"/>
  <c r="O16" i="5"/>
  <c r="E15" i="5"/>
  <c r="F20" i="11"/>
  <c r="F19" i="11"/>
  <c r="F12" i="11"/>
  <c r="F13" i="11"/>
  <c r="F6" i="11"/>
  <c r="F14" i="11"/>
  <c r="F9" i="11"/>
  <c r="F11" i="11"/>
  <c r="K16" i="5"/>
  <c r="N15" i="5"/>
  <c r="J21" i="5"/>
  <c r="K25" i="5"/>
  <c r="E14" i="5"/>
  <c r="D4" i="11"/>
  <c r="J7" i="5"/>
  <c r="M7" i="5"/>
  <c r="F7" i="5"/>
  <c r="I7" i="5"/>
  <c r="H7" i="5"/>
  <c r="O7" i="5"/>
  <c r="E7" i="5"/>
  <c r="G7" i="5"/>
  <c r="K7" i="5"/>
  <c r="F21" i="5"/>
  <c r="F17" i="5"/>
  <c r="F12" i="5"/>
  <c r="F22" i="5"/>
  <c r="F25" i="5"/>
  <c r="F16" i="5"/>
  <c r="F9" i="5"/>
  <c r="F13" i="5"/>
  <c r="F15" i="5"/>
  <c r="F23" i="5"/>
  <c r="F18" i="5"/>
  <c r="F14" i="5"/>
  <c r="F10" i="5"/>
  <c r="F8" i="5"/>
  <c r="F19" i="5"/>
  <c r="F24" i="5"/>
  <c r="F20" i="5"/>
  <c r="O12" i="1"/>
  <c r="D4" i="5"/>
  <c r="D11" i="5" s="1"/>
  <c r="E34" i="3"/>
  <c r="F34" i="3" s="1"/>
  <c r="G34" i="3" s="1"/>
  <c r="C26" i="5" s="1"/>
  <c r="P11" i="5" l="1"/>
  <c r="C23" i="11"/>
  <c r="D23" i="11" s="1"/>
  <c r="J26" i="5"/>
  <c r="D6" i="11"/>
  <c r="E6" i="11" s="1"/>
  <c r="D9" i="11"/>
  <c r="P9" i="11" s="1"/>
  <c r="D14" i="11"/>
  <c r="P14" i="11" s="1"/>
  <c r="D7" i="11"/>
  <c r="P7" i="11" s="1"/>
  <c r="D22" i="11"/>
  <c r="P22" i="11" s="1"/>
  <c r="D12" i="11"/>
  <c r="P12" i="11" s="1"/>
  <c r="D17" i="11"/>
  <c r="P17" i="11" s="1"/>
  <c r="D8" i="11"/>
  <c r="P8" i="11" s="1"/>
  <c r="D11" i="11"/>
  <c r="P11" i="11" s="1"/>
  <c r="D20" i="11"/>
  <c r="P20" i="11" s="1"/>
  <c r="D19" i="11"/>
  <c r="P19" i="11" s="1"/>
  <c r="D13" i="11"/>
  <c r="P13" i="11" s="1"/>
  <c r="D18" i="11"/>
  <c r="P18" i="11" s="1"/>
  <c r="D21" i="11"/>
  <c r="P21" i="11" s="1"/>
  <c r="D15" i="11"/>
  <c r="P15" i="11" s="1"/>
  <c r="D10" i="11"/>
  <c r="P10" i="11" s="1"/>
  <c r="D16" i="11"/>
  <c r="P16" i="11" s="1"/>
  <c r="D6" i="5"/>
  <c r="E6" i="5" s="1"/>
  <c r="D21" i="5"/>
  <c r="P21" i="5" s="1"/>
  <c r="D8" i="5"/>
  <c r="P8" i="5" s="1"/>
  <c r="D9" i="5"/>
  <c r="P9" i="5" s="1"/>
  <c r="D10" i="5"/>
  <c r="P10" i="5" s="1"/>
  <c r="D12" i="5"/>
  <c r="P12" i="5" s="1"/>
  <c r="D14" i="5"/>
  <c r="P14" i="5" s="1"/>
  <c r="D16" i="5"/>
  <c r="P16" i="5" s="1"/>
  <c r="D18" i="5"/>
  <c r="P18" i="5" s="1"/>
  <c r="D25" i="5"/>
  <c r="P25" i="5" s="1"/>
  <c r="D7" i="5"/>
  <c r="P7" i="5" s="1"/>
  <c r="D13" i="5"/>
  <c r="P13" i="5" s="1"/>
  <c r="D19" i="5"/>
  <c r="P19" i="5" s="1"/>
  <c r="D15" i="5"/>
  <c r="P15" i="5" s="1"/>
  <c r="D17" i="5"/>
  <c r="P17" i="5" s="1"/>
  <c r="D23" i="5"/>
  <c r="P23" i="5" s="1"/>
  <c r="D20" i="5"/>
  <c r="P20" i="5" s="1"/>
  <c r="D22" i="5"/>
  <c r="P22" i="5" s="1"/>
  <c r="D24" i="5"/>
  <c r="P24" i="5" s="1"/>
  <c r="E35" i="3"/>
  <c r="F35" i="3" s="1"/>
  <c r="G35" i="3" s="1"/>
  <c r="C27" i="5" s="1"/>
  <c r="E26" i="5" l="1"/>
  <c r="I26" i="5"/>
  <c r="G26" i="5"/>
  <c r="F26" i="5"/>
  <c r="L26" i="5"/>
  <c r="O26" i="5"/>
  <c r="P6" i="11"/>
  <c r="C24" i="11"/>
  <c r="E27" i="5"/>
  <c r="D26" i="5"/>
  <c r="H26" i="5"/>
  <c r="M26" i="5"/>
  <c r="N26" i="5"/>
  <c r="K26" i="5"/>
  <c r="N23" i="11"/>
  <c r="M23" i="11"/>
  <c r="E23" i="11"/>
  <c r="J23" i="11"/>
  <c r="H23" i="11"/>
  <c r="G23" i="11"/>
  <c r="L23" i="11"/>
  <c r="O23" i="11"/>
  <c r="K23" i="11"/>
  <c r="I23" i="11"/>
  <c r="F23" i="11"/>
  <c r="P6" i="5"/>
  <c r="E36" i="3"/>
  <c r="F36" i="3" s="1"/>
  <c r="G36" i="3" s="1"/>
  <c r="C28" i="5" s="1"/>
  <c r="D27" i="5" l="1"/>
  <c r="K27" i="5"/>
  <c r="O27" i="5"/>
  <c r="L27" i="5"/>
  <c r="H27" i="5"/>
  <c r="N27" i="5"/>
  <c r="P26" i="5"/>
  <c r="P23" i="11"/>
  <c r="C25" i="11"/>
  <c r="E28" i="5"/>
  <c r="F27" i="5"/>
  <c r="G27" i="5"/>
  <c r="M27" i="5"/>
  <c r="I27" i="5"/>
  <c r="J27" i="5"/>
  <c r="M24" i="11"/>
  <c r="K24" i="11"/>
  <c r="O24" i="11"/>
  <c r="N24" i="11"/>
  <c r="J24" i="11"/>
  <c r="L24" i="11"/>
  <c r="E24" i="11"/>
  <c r="I24" i="11"/>
  <c r="H24" i="11"/>
  <c r="G24" i="11"/>
  <c r="F24" i="11"/>
  <c r="D24" i="11"/>
  <c r="E37" i="3"/>
  <c r="F37" i="3" s="1"/>
  <c r="G37" i="3" s="1"/>
  <c r="C29" i="5" s="1"/>
  <c r="F28" i="5" l="1"/>
  <c r="N28" i="5"/>
  <c r="L28" i="5"/>
  <c r="G28" i="5"/>
  <c r="H28" i="5"/>
  <c r="K28" i="5"/>
  <c r="O28" i="5"/>
  <c r="I28" i="5"/>
  <c r="M28" i="5"/>
  <c r="D28" i="5"/>
  <c r="J28" i="5"/>
  <c r="P24" i="11"/>
  <c r="P27" i="5"/>
  <c r="C26" i="11"/>
  <c r="J29" i="5"/>
  <c r="L25" i="11"/>
  <c r="M25" i="11"/>
  <c r="N25" i="11"/>
  <c r="J25" i="11"/>
  <c r="O25" i="11"/>
  <c r="K25" i="11"/>
  <c r="E25" i="11"/>
  <c r="G25" i="11"/>
  <c r="I25" i="11"/>
  <c r="H25" i="11"/>
  <c r="F25" i="11"/>
  <c r="D25" i="11"/>
  <c r="E38" i="3"/>
  <c r="F38" i="3" s="1"/>
  <c r="G38" i="3" s="1"/>
  <c r="C30" i="5" s="1"/>
  <c r="K29" i="5" l="1"/>
  <c r="E29" i="5"/>
  <c r="D29" i="5"/>
  <c r="H29" i="5"/>
  <c r="M29" i="5"/>
  <c r="G29" i="5"/>
  <c r="O29" i="5"/>
  <c r="P28" i="5"/>
  <c r="F29" i="5"/>
  <c r="N29" i="5"/>
  <c r="L29" i="5"/>
  <c r="I29" i="5"/>
  <c r="C27" i="11"/>
  <c r="E30" i="5"/>
  <c r="J26" i="11"/>
  <c r="N26" i="11"/>
  <c r="L26" i="11"/>
  <c r="O26" i="11"/>
  <c r="K26" i="11"/>
  <c r="M26" i="11"/>
  <c r="E26" i="11"/>
  <c r="I26" i="11"/>
  <c r="G26" i="11"/>
  <c r="H26" i="11"/>
  <c r="F26" i="11"/>
  <c r="D26" i="11"/>
  <c r="P25" i="11"/>
  <c r="E39" i="3"/>
  <c r="F39" i="3" s="1"/>
  <c r="G39" i="3" s="1"/>
  <c r="C31" i="5" s="1"/>
  <c r="D30" i="5" l="1"/>
  <c r="L30" i="5"/>
  <c r="G30" i="5"/>
  <c r="P29" i="5"/>
  <c r="J30" i="5"/>
  <c r="H30" i="5"/>
  <c r="O30" i="5"/>
  <c r="P26" i="11"/>
  <c r="C28" i="11"/>
  <c r="E31" i="5"/>
  <c r="F30" i="5"/>
  <c r="K30" i="5"/>
  <c r="N30" i="5"/>
  <c r="I30" i="5"/>
  <c r="M30" i="5"/>
  <c r="O27" i="11"/>
  <c r="K27" i="11"/>
  <c r="L27" i="11"/>
  <c r="M27" i="11"/>
  <c r="N27" i="11"/>
  <c r="J27" i="11"/>
  <c r="E27" i="11"/>
  <c r="I27" i="11"/>
  <c r="G27" i="11"/>
  <c r="H27" i="11"/>
  <c r="F27" i="11"/>
  <c r="D27" i="11"/>
  <c r="E40" i="3"/>
  <c r="F40" i="3" s="1"/>
  <c r="G40" i="3" s="1"/>
  <c r="C32" i="5" s="1"/>
  <c r="L31" i="5" l="1"/>
  <c r="P30" i="5"/>
  <c r="K31" i="5"/>
  <c r="N31" i="5"/>
  <c r="J31" i="5"/>
  <c r="D31" i="5"/>
  <c r="G31" i="5"/>
  <c r="P27" i="11"/>
  <c r="C29" i="11"/>
  <c r="E32" i="5"/>
  <c r="F31" i="5"/>
  <c r="I31" i="5"/>
  <c r="M31" i="5"/>
  <c r="H31" i="5"/>
  <c r="O31" i="5"/>
  <c r="M28" i="11"/>
  <c r="K28" i="11"/>
  <c r="O28" i="11"/>
  <c r="N28" i="11"/>
  <c r="J28" i="11"/>
  <c r="L28" i="11"/>
  <c r="E28" i="11"/>
  <c r="G28" i="11"/>
  <c r="H28" i="11"/>
  <c r="I28" i="11"/>
  <c r="F28" i="11"/>
  <c r="D28" i="11"/>
  <c r="E41" i="3"/>
  <c r="F41" i="3" s="1"/>
  <c r="G41" i="3" s="1"/>
  <c r="C33" i="5" s="1"/>
  <c r="L32" i="5" l="1"/>
  <c r="D32" i="5"/>
  <c r="O32" i="5"/>
  <c r="G32" i="5"/>
  <c r="M32" i="5"/>
  <c r="J32" i="5"/>
  <c r="P31" i="5"/>
  <c r="C30" i="11"/>
  <c r="C32" i="11" s="1"/>
  <c r="I12" i="6" s="1"/>
  <c r="E33" i="5"/>
  <c r="F32" i="5"/>
  <c r="I32" i="5"/>
  <c r="N32" i="5"/>
  <c r="H32" i="5"/>
  <c r="K32" i="5"/>
  <c r="P28" i="11"/>
  <c r="L29" i="11"/>
  <c r="M29" i="11"/>
  <c r="N29" i="11"/>
  <c r="J29" i="11"/>
  <c r="O29" i="11"/>
  <c r="K29" i="11"/>
  <c r="E29" i="11"/>
  <c r="G29" i="11"/>
  <c r="I29" i="11"/>
  <c r="H29" i="11"/>
  <c r="F29" i="11"/>
  <c r="D29" i="11"/>
  <c r="J33" i="5" l="1"/>
  <c r="I33" i="5"/>
  <c r="H33" i="5"/>
  <c r="L33" i="5"/>
  <c r="D33" i="5"/>
  <c r="N33" i="5"/>
  <c r="P32" i="5"/>
  <c r="P29" i="11"/>
  <c r="F33" i="5"/>
  <c r="M33" i="5"/>
  <c r="K33" i="5"/>
  <c r="G33" i="5"/>
  <c r="O33" i="5"/>
  <c r="I13" i="6"/>
  <c r="I14" i="6"/>
  <c r="J30" i="11"/>
  <c r="N30" i="11"/>
  <c r="L30" i="11"/>
  <c r="O30" i="11"/>
  <c r="K30" i="11"/>
  <c r="M30" i="11"/>
  <c r="E30" i="11"/>
  <c r="G30" i="11"/>
  <c r="H30" i="11"/>
  <c r="I30" i="11"/>
  <c r="F30" i="11"/>
  <c r="D30" i="11"/>
  <c r="I53" i="8"/>
  <c r="P33" i="5" l="1"/>
  <c r="P30" i="11"/>
  <c r="P32" i="11" s="1"/>
  <c r="I15" i="6"/>
  <c r="I16" i="6"/>
  <c r="I17" i="6" s="1"/>
  <c r="I57" i="8"/>
  <c r="I58" i="8" s="1"/>
  <c r="I59" i="8" s="1"/>
  <c r="I61" i="8" s="1"/>
  <c r="I63" i="8" s="1"/>
  <c r="I64" i="8" s="1"/>
  <c r="I65" i="8" l="1"/>
  <c r="I66" i="8" s="1"/>
  <c r="I67" i="8" s="1"/>
  <c r="J63" i="8"/>
  <c r="I68" i="8" l="1"/>
  <c r="I69" i="8" s="1"/>
  <c r="I70" i="8" s="1"/>
  <c r="J70" i="8" s="1"/>
  <c r="J67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Yanuar Chandra W</author>
  </authors>
  <commentList>
    <comment ref="I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Yanuar Chandra W:</t>
        </r>
        <r>
          <rPr>
            <sz val="9"/>
            <color indexed="81"/>
            <rFont val="Tahoma"/>
            <family val="2"/>
          </rPr>
          <t xml:space="preserve">
Pakai mononobe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Yanuar Chandra W</author>
  </authors>
  <commentList>
    <comment ref="A16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Yanuar Chandra W:</t>
        </r>
        <r>
          <rPr>
            <sz val="9"/>
            <color indexed="81"/>
            <rFont val="Tahoma"/>
            <family val="2"/>
          </rPr>
          <t xml:space="preserve">
tp</t>
        </r>
      </text>
    </comment>
    <comment ref="A2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Yanuar Chandra W:</t>
        </r>
        <r>
          <rPr>
            <sz val="9"/>
            <color indexed="81"/>
            <rFont val="Tahoma"/>
            <family val="2"/>
          </rPr>
          <t xml:space="preserve">
tp + t</t>
        </r>
        <r>
          <rPr>
            <vertAlign val="subscript"/>
            <sz val="9"/>
            <color indexed="81"/>
            <rFont val="Tahoma"/>
            <family val="2"/>
          </rPr>
          <t>0.3</t>
        </r>
      </text>
    </comment>
    <comment ref="A27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Yanuar Chandra W:</t>
        </r>
        <r>
          <rPr>
            <sz val="9"/>
            <color indexed="81"/>
            <rFont val="Tahoma"/>
            <family val="2"/>
          </rPr>
          <t xml:space="preserve">
tp + t</t>
        </r>
        <r>
          <rPr>
            <vertAlign val="subscript"/>
            <sz val="9"/>
            <color indexed="81"/>
            <rFont val="Tahoma"/>
            <family val="2"/>
          </rPr>
          <t>0.3</t>
        </r>
        <r>
          <rPr>
            <sz val="9"/>
            <color indexed="81"/>
            <rFont val="Tahoma"/>
            <family val="2"/>
          </rPr>
          <t xml:space="preserve"> +1.5 t</t>
        </r>
        <r>
          <rPr>
            <vertAlign val="subscript"/>
            <sz val="9"/>
            <color indexed="81"/>
            <rFont val="Tahoma"/>
            <family val="2"/>
          </rPr>
          <t>0.3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Yanuar Chandra W</author>
  </authors>
  <commentList>
    <comment ref="C8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Yanuar Chandra W:</t>
        </r>
        <r>
          <rPr>
            <sz val="9"/>
            <color indexed="81"/>
            <rFont val="Tahoma"/>
            <family val="2"/>
          </rPr>
          <t xml:space="preserve">
Diambil dari distribusi hujan jam-jaman efektif dengan durasi hujan 1 tahun.
"Dalam persamaan rasional, intensitas hujan diperoleh dari kurva IDF dimana telah diperhitungkan durasi dan frekuensi (periode ulang) hujan. Dalam hal ini, durasi hujan = waktu konsentrasi (tc)</t>
        </r>
      </text>
    </comment>
    <comment ref="H8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Yanuar Chandra W:</t>
        </r>
        <r>
          <rPr>
            <sz val="9"/>
            <color indexed="81"/>
            <rFont val="Tahoma"/>
            <family val="2"/>
          </rPr>
          <t xml:space="preserve">
Diambil dari distribusi hujan jam-jaman efektif dengan durasi hujan 1 tahun.
"Dalam persamaan rasional, intensitas hujan diperoleh dari kurva IDF dimana telah diperhitungkan durasi dan frekuensi (periode ulang) hujan. Dalam hal ini, durasi hujan = waktu konsentrasi (tc)</t>
        </r>
      </text>
    </comment>
    <comment ref="C10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Yanuar Chandra W:</t>
        </r>
        <r>
          <rPr>
            <sz val="9"/>
            <color indexed="81"/>
            <rFont val="Tahoma"/>
            <family val="2"/>
          </rPr>
          <t xml:space="preserve">
Pakai mononobe</t>
        </r>
      </text>
    </comment>
    <comment ref="H10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Yanuar Chandra W:</t>
        </r>
        <r>
          <rPr>
            <sz val="9"/>
            <color indexed="81"/>
            <rFont val="Tahoma"/>
            <family val="2"/>
          </rPr>
          <t xml:space="preserve">
Pakai mononobe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Yanuar Chandra W</author>
  </authors>
  <commentList>
    <comment ref="C5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Yanuar Chandra W:</t>
        </r>
        <r>
          <rPr>
            <sz val="9"/>
            <color indexed="81"/>
            <rFont val="Tahoma"/>
            <family val="2"/>
          </rPr>
          <t xml:space="preserve">
Diukur di catchment area di google earth</t>
        </r>
      </text>
    </comment>
    <comment ref="H5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Yanuar Chandra W:</t>
        </r>
        <r>
          <rPr>
            <sz val="9"/>
            <color indexed="81"/>
            <rFont val="Tahoma"/>
            <family val="2"/>
          </rPr>
          <t xml:space="preserve">
Diukur di catchment area di google earth</t>
        </r>
      </text>
    </comment>
    <comment ref="M5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Yanuar Chandra W:</t>
        </r>
        <r>
          <rPr>
            <sz val="9"/>
            <color indexed="81"/>
            <rFont val="Tahoma"/>
            <family val="2"/>
          </rPr>
          <t xml:space="preserve">
Diukur di catchment area di google earth</t>
        </r>
      </text>
    </comment>
    <comment ref="C1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Yanuar Chandra W:</t>
        </r>
        <r>
          <rPr>
            <sz val="9"/>
            <color indexed="81"/>
            <rFont val="Tahoma"/>
            <family val="2"/>
          </rPr>
          <t xml:space="preserve">
Kalau luas lahan &lt; 1 ha, gunakan debit limpasan per ha saja</t>
        </r>
      </text>
    </comment>
    <comment ref="H1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Yanuar Chandra W:</t>
        </r>
        <r>
          <rPr>
            <sz val="9"/>
            <color indexed="81"/>
            <rFont val="Tahoma"/>
            <family val="2"/>
          </rPr>
          <t xml:space="preserve">
Kalau luas lahan &lt; 1 ha, gunakan debit limpasan per ha saja</t>
        </r>
      </text>
    </comment>
    <comment ref="M14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Yanuar Chandra W:</t>
        </r>
        <r>
          <rPr>
            <sz val="9"/>
            <color indexed="81"/>
            <rFont val="Tahoma"/>
            <family val="2"/>
          </rPr>
          <t xml:space="preserve">
Kalau luas lahan &lt; 1 ha, gunakan debit limpasan per ha saja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Yanuar Chandra W</author>
  </authors>
  <commentList>
    <comment ref="C16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Yanuar Chandra W:</t>
        </r>
        <r>
          <rPr>
            <sz val="9"/>
            <color indexed="81"/>
            <rFont val="Tahoma"/>
            <family val="2"/>
          </rPr>
          <t xml:space="preserve">
Input disini (luas bidang atap dan bidang perkerasan kedap air (Pergub DKI No. 20 tahun 2013)</t>
        </r>
      </text>
    </comment>
    <comment ref="I36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Yanuar Chandra W:</t>
        </r>
        <r>
          <rPr>
            <sz val="9"/>
            <color indexed="81"/>
            <rFont val="Tahoma"/>
            <family val="2"/>
          </rPr>
          <t xml:space="preserve">
asumsi, P = 2L</t>
        </r>
      </text>
    </comment>
    <comment ref="D39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>Yanuar Chandra W:</t>
        </r>
        <r>
          <rPr>
            <sz val="9"/>
            <color indexed="81"/>
            <rFont val="Tahoma"/>
            <family val="2"/>
          </rPr>
          <t xml:space="preserve">
asumsi, P = 2L</t>
        </r>
      </text>
    </comment>
    <comment ref="I58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Yanuar Chandra W:</t>
        </r>
        <r>
          <rPr>
            <sz val="9"/>
            <color indexed="81"/>
            <rFont val="Tahoma"/>
            <family val="2"/>
          </rPr>
          <t xml:space="preserve">
asumsi, P = 2L</t>
        </r>
      </text>
    </comment>
    <comment ref="I60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>Yanuar Chandra W:</t>
        </r>
        <r>
          <rPr>
            <sz val="9"/>
            <color indexed="81"/>
            <rFont val="Tahoma"/>
            <family val="2"/>
          </rPr>
          <t xml:space="preserve">
SSebisa mungkin 1  kolam resapan saja</t>
        </r>
      </text>
    </comment>
    <comment ref="I90" authorId="0" shapeId="0" xr:uid="{00000000-0006-0000-0700-000006000000}">
      <text>
        <r>
          <rPr>
            <b/>
            <sz val="9"/>
            <color indexed="81"/>
            <rFont val="Tahoma"/>
            <family val="2"/>
          </rPr>
          <t>Yanuar Chandra W:</t>
        </r>
        <r>
          <rPr>
            <sz val="9"/>
            <color indexed="81"/>
            <rFont val="Tahoma"/>
            <family val="2"/>
          </rPr>
          <t xml:space="preserve">
asumsi, P = 2L</t>
        </r>
      </text>
    </comment>
    <comment ref="I92" authorId="0" shapeId="0" xr:uid="{00000000-0006-0000-0700-000007000000}">
      <text>
        <r>
          <rPr>
            <b/>
            <sz val="9"/>
            <color indexed="81"/>
            <rFont val="Tahoma"/>
            <family val="2"/>
          </rPr>
          <t>Yanuar Chandra W:</t>
        </r>
        <r>
          <rPr>
            <sz val="9"/>
            <color indexed="81"/>
            <rFont val="Tahoma"/>
            <family val="2"/>
          </rPr>
          <t xml:space="preserve">
SSebisa mungkin 1  kolam resapan saja</t>
        </r>
      </text>
    </comment>
  </commentList>
</comments>
</file>

<file path=xl/sharedStrings.xml><?xml version="1.0" encoding="utf-8"?>
<sst xmlns="http://schemas.openxmlformats.org/spreadsheetml/2006/main" count="761" uniqueCount="332">
  <si>
    <t>Luas daerah pengaliran sungai (A)</t>
  </si>
  <si>
    <t>Panjang sungai (L)</t>
  </si>
  <si>
    <t>km</t>
  </si>
  <si>
    <t>Koefisien pengaliran {C}</t>
  </si>
  <si>
    <t>Durasi hujan hujan yang digunakan</t>
  </si>
  <si>
    <t>jam</t>
  </si>
  <si>
    <t>Ket:</t>
  </si>
  <si>
    <t>Berdasarkan data lapangan</t>
  </si>
  <si>
    <t>No.</t>
  </si>
  <si>
    <t>Parameter Perhitungan</t>
  </si>
  <si>
    <t>Besaran</t>
  </si>
  <si>
    <t>Sat.</t>
  </si>
  <si>
    <t>Dalam perhitungan ini harga k diambil sebesar</t>
  </si>
  <si>
    <t>Besarnya harga satuan durasi hujan menjadi</t>
  </si>
  <si>
    <t>Parameter hidrograf/alfa (α)</t>
  </si>
  <si>
    <t>Daerah pengaliran biasa α = 2</t>
  </si>
  <si>
    <t>Bagian naik hidrograf yang lambat dan bagian menurun yang cepat α = 1,5</t>
  </si>
  <si>
    <t>Bagian naik hidrograf yang cepat dan bagian menurun yang lambat α = 3</t>
  </si>
  <si>
    <t>Dalam perhitungan ini harga α diambil sebesar</t>
  </si>
  <si>
    <t>A (luas daerah pengaliran sungai)</t>
  </si>
  <si>
    <t>mm</t>
  </si>
  <si>
    <r>
      <t>m</t>
    </r>
    <r>
      <rPr>
        <vertAlign val="superscript"/>
        <sz val="10"/>
        <rFont val="Garamond"/>
        <family val="1"/>
      </rPr>
      <t>3</t>
    </r>
    <r>
      <rPr>
        <sz val="10"/>
        <rFont val="Garamond"/>
        <family val="1"/>
      </rPr>
      <t>/dt/mm</t>
    </r>
  </si>
  <si>
    <t>Data Awal yang Dibutuhkan untuk Membuat Hidrograf</t>
  </si>
  <si>
    <t>Input untuk Membuat UNIT HIDROGRAF Nakayasu</t>
  </si>
  <si>
    <t>Hyetograph</t>
  </si>
  <si>
    <t>mm/jam</t>
  </si>
  <si>
    <t>%</t>
  </si>
  <si>
    <t>Perhitungan Distribusi Hujan Metode Alternating Block Method (Triadmodjo, 2008)</t>
  </si>
  <si>
    <t>0 - 1</t>
  </si>
  <si>
    <t>1 - 2</t>
  </si>
  <si>
    <t>2 - 3</t>
  </si>
  <si>
    <t>3 - 4</t>
  </si>
  <si>
    <t>4 - 5</t>
  </si>
  <si>
    <t>5 - 6</t>
  </si>
  <si>
    <t>Jumlah</t>
  </si>
  <si>
    <t>Resume Analisa Curah Hujan Rencana</t>
  </si>
  <si>
    <t>Periode Ulang</t>
  </si>
  <si>
    <t>Normal</t>
  </si>
  <si>
    <t>Log Normal</t>
  </si>
  <si>
    <t>Gumbel</t>
  </si>
  <si>
    <t>Pearson III</t>
  </si>
  <si>
    <t>Log Pearson III</t>
  </si>
  <si>
    <r>
      <t>Tr</t>
    </r>
    <r>
      <rPr>
        <vertAlign val="subscript"/>
        <sz val="11"/>
        <rFont val="Calibri"/>
        <family val="2"/>
        <scheme val="minor"/>
      </rPr>
      <t>2</t>
    </r>
  </si>
  <si>
    <r>
      <t>Tr</t>
    </r>
    <r>
      <rPr>
        <vertAlign val="subscript"/>
        <sz val="11"/>
        <rFont val="Calibri"/>
        <family val="2"/>
        <scheme val="minor"/>
      </rPr>
      <t>5</t>
    </r>
  </si>
  <si>
    <r>
      <t>Tr</t>
    </r>
    <r>
      <rPr>
        <vertAlign val="subscript"/>
        <sz val="11"/>
        <rFont val="Calibri"/>
        <family val="2"/>
        <scheme val="minor"/>
      </rPr>
      <t>10</t>
    </r>
  </si>
  <si>
    <r>
      <t>Tr</t>
    </r>
    <r>
      <rPr>
        <vertAlign val="subscript"/>
        <sz val="11"/>
        <rFont val="Calibri"/>
        <family val="2"/>
        <scheme val="minor"/>
      </rPr>
      <t>25</t>
    </r>
  </si>
  <si>
    <r>
      <t>Tr</t>
    </r>
    <r>
      <rPr>
        <vertAlign val="subscript"/>
        <sz val="11"/>
        <rFont val="Calibri"/>
        <family val="2"/>
        <scheme val="minor"/>
      </rPr>
      <t>50</t>
    </r>
  </si>
  <si>
    <r>
      <t>Tr</t>
    </r>
    <r>
      <rPr>
        <vertAlign val="subscript"/>
        <sz val="11"/>
        <rFont val="Calibri"/>
        <family val="2"/>
        <scheme val="minor"/>
      </rPr>
      <t>100</t>
    </r>
  </si>
  <si>
    <r>
      <t>Tr</t>
    </r>
    <r>
      <rPr>
        <vertAlign val="subscript"/>
        <sz val="11"/>
        <rFont val="Calibri"/>
        <family val="2"/>
        <scheme val="minor"/>
      </rPr>
      <t>200</t>
    </r>
  </si>
  <si>
    <r>
      <t>Tr</t>
    </r>
    <r>
      <rPr>
        <vertAlign val="subscript"/>
        <sz val="11"/>
        <rFont val="Calibri"/>
        <family val="2"/>
        <scheme val="minor"/>
      </rPr>
      <t>1000</t>
    </r>
  </si>
  <si>
    <t>Tabel faktor reduksi luas</t>
  </si>
  <si>
    <t>No</t>
  </si>
  <si>
    <t>Faktor Reduksi</t>
  </si>
  <si>
    <r>
      <t>Luas DPS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</si>
  <si>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Sumber: Panduan Perencanaan Bendungan Urugan, Vol. II</t>
  </si>
  <si>
    <t>Faktor reduksi</t>
  </si>
  <si>
    <t>Distribusi Hujan</t>
  </si>
  <si>
    <r>
      <t>Q</t>
    </r>
    <r>
      <rPr>
        <vertAlign val="subscript"/>
        <sz val="10"/>
        <rFont val="Garamond"/>
        <family val="1"/>
      </rPr>
      <t>p</t>
    </r>
  </si>
  <si>
    <r>
      <t>t</t>
    </r>
    <r>
      <rPr>
        <vertAlign val="subscript"/>
        <sz val="10"/>
        <rFont val="Garamond"/>
        <family val="1"/>
      </rPr>
      <t>p</t>
    </r>
  </si>
  <si>
    <r>
      <t>t</t>
    </r>
    <r>
      <rPr>
        <vertAlign val="subscript"/>
        <sz val="10"/>
        <rFont val="Garamond"/>
        <family val="1"/>
      </rPr>
      <t>0,3</t>
    </r>
  </si>
  <si>
    <r>
      <t>1.5 * t</t>
    </r>
    <r>
      <rPr>
        <vertAlign val="subscript"/>
        <sz val="10"/>
        <rFont val="Garamond"/>
        <family val="1"/>
      </rPr>
      <t>0,3</t>
    </r>
  </si>
  <si>
    <t>Waktu</t>
  </si>
  <si>
    <t>Naik</t>
  </si>
  <si>
    <t>Turun</t>
  </si>
  <si>
    <t>Debit</t>
  </si>
  <si>
    <t>(t)</t>
  </si>
  <si>
    <r>
      <t>0 &lt; Q</t>
    </r>
    <r>
      <rPr>
        <b/>
        <vertAlign val="subscript"/>
        <sz val="10"/>
        <rFont val="Garamond"/>
        <family val="1"/>
      </rPr>
      <t>d</t>
    </r>
    <r>
      <rPr>
        <b/>
        <sz val="10"/>
        <rFont val="Garamond"/>
        <family val="1"/>
      </rPr>
      <t xml:space="preserve"> ≤ Q</t>
    </r>
    <r>
      <rPr>
        <b/>
        <vertAlign val="subscript"/>
        <sz val="10"/>
        <rFont val="Garamond"/>
        <family val="1"/>
      </rPr>
      <t>p</t>
    </r>
  </si>
  <si>
    <r>
      <t>Q</t>
    </r>
    <r>
      <rPr>
        <b/>
        <vertAlign val="subscript"/>
        <sz val="10"/>
        <rFont val="Garamond"/>
        <family val="1"/>
      </rPr>
      <t xml:space="preserve">d </t>
    </r>
    <r>
      <rPr>
        <b/>
        <sz val="10"/>
        <rFont val="Garamond"/>
        <family val="1"/>
      </rPr>
      <t>&gt; 0,3Q</t>
    </r>
    <r>
      <rPr>
        <b/>
        <vertAlign val="subscript"/>
        <sz val="10"/>
        <rFont val="Garamond"/>
        <family val="1"/>
      </rPr>
      <t>p</t>
    </r>
  </si>
  <si>
    <r>
      <t>0,3Q</t>
    </r>
    <r>
      <rPr>
        <b/>
        <vertAlign val="subscript"/>
        <sz val="10"/>
        <rFont val="Garamond"/>
        <family val="1"/>
      </rPr>
      <t>p</t>
    </r>
    <r>
      <rPr>
        <b/>
        <sz val="10"/>
        <rFont val="Garamond"/>
        <family val="1"/>
      </rPr>
      <t xml:space="preserve"> &gt; Q</t>
    </r>
    <r>
      <rPr>
        <b/>
        <vertAlign val="subscript"/>
        <sz val="10"/>
        <rFont val="Garamond"/>
        <family val="1"/>
      </rPr>
      <t xml:space="preserve">d </t>
    </r>
    <r>
      <rPr>
        <b/>
        <sz val="10"/>
        <rFont val="Garamond"/>
        <family val="1"/>
      </rPr>
      <t>&gt; 0,3</t>
    </r>
    <r>
      <rPr>
        <b/>
        <vertAlign val="superscript"/>
        <sz val="10"/>
        <rFont val="Garamond"/>
        <family val="1"/>
      </rPr>
      <t>2</t>
    </r>
    <r>
      <rPr>
        <b/>
        <sz val="10"/>
        <rFont val="Garamond"/>
        <family val="1"/>
      </rPr>
      <t>Q</t>
    </r>
    <r>
      <rPr>
        <b/>
        <vertAlign val="subscript"/>
        <sz val="10"/>
        <rFont val="Garamond"/>
        <family val="1"/>
      </rPr>
      <t>p</t>
    </r>
  </si>
  <si>
    <r>
      <t>0,3</t>
    </r>
    <r>
      <rPr>
        <b/>
        <vertAlign val="superscript"/>
        <sz val="10"/>
        <rFont val="Garamond"/>
        <family val="1"/>
      </rPr>
      <t>2</t>
    </r>
    <r>
      <rPr>
        <b/>
        <sz val="10"/>
        <rFont val="Garamond"/>
        <family val="1"/>
      </rPr>
      <t>Q</t>
    </r>
    <r>
      <rPr>
        <b/>
        <vertAlign val="subscript"/>
        <sz val="10"/>
        <rFont val="Garamond"/>
        <family val="1"/>
      </rPr>
      <t>p</t>
    </r>
    <r>
      <rPr>
        <b/>
        <sz val="10"/>
        <rFont val="Garamond"/>
        <family val="1"/>
      </rPr>
      <t xml:space="preserve"> &gt; Q</t>
    </r>
    <r>
      <rPr>
        <b/>
        <vertAlign val="subscript"/>
        <sz val="10"/>
        <rFont val="Garamond"/>
        <family val="1"/>
      </rPr>
      <t>d</t>
    </r>
    <r>
      <rPr>
        <b/>
        <sz val="10"/>
        <rFont val="Verdana"/>
        <family val="2"/>
      </rPr>
      <t/>
    </r>
  </si>
  <si>
    <t>Total</t>
  </si>
  <si>
    <t>(jam)</t>
  </si>
  <si>
    <r>
      <t>(t/t</t>
    </r>
    <r>
      <rPr>
        <b/>
        <vertAlign val="subscript"/>
        <sz val="10"/>
        <rFont val="Garamond"/>
        <family val="1"/>
      </rPr>
      <t>p</t>
    </r>
    <r>
      <rPr>
        <b/>
        <sz val="10"/>
        <rFont val="Garamond"/>
        <family val="1"/>
      </rPr>
      <t>)</t>
    </r>
    <r>
      <rPr>
        <b/>
        <vertAlign val="superscript"/>
        <sz val="10"/>
        <rFont val="Garamond"/>
        <family val="1"/>
      </rPr>
      <t>2.4</t>
    </r>
  </si>
  <si>
    <r>
      <t>(t-t</t>
    </r>
    <r>
      <rPr>
        <b/>
        <u/>
        <vertAlign val="subscript"/>
        <sz val="10"/>
        <rFont val="Garamond"/>
        <family val="1"/>
      </rPr>
      <t>p</t>
    </r>
    <r>
      <rPr>
        <b/>
        <u/>
        <sz val="10"/>
        <rFont val="Garamond"/>
        <family val="1"/>
      </rPr>
      <t>)</t>
    </r>
  </si>
  <si>
    <r>
      <t>(t-Tp+0.5T</t>
    </r>
    <r>
      <rPr>
        <b/>
        <u/>
        <vertAlign val="subscript"/>
        <sz val="10"/>
        <rFont val="Garamond"/>
        <family val="1"/>
      </rPr>
      <t>0,3</t>
    </r>
    <r>
      <rPr>
        <b/>
        <u/>
        <sz val="10"/>
        <rFont val="Garamond"/>
        <family val="1"/>
      </rPr>
      <t>)</t>
    </r>
  </si>
  <si>
    <r>
      <t>(t-Tp+1.5T</t>
    </r>
    <r>
      <rPr>
        <b/>
        <u/>
        <vertAlign val="subscript"/>
        <sz val="10"/>
        <rFont val="Garamond"/>
        <family val="1"/>
      </rPr>
      <t>0,3</t>
    </r>
    <r>
      <rPr>
        <b/>
        <u/>
        <sz val="10"/>
        <rFont val="Garamond"/>
        <family val="1"/>
      </rPr>
      <t>)</t>
    </r>
  </si>
  <si>
    <t>Koefisien</t>
  </si>
  <si>
    <r>
      <t>(Q</t>
    </r>
    <r>
      <rPr>
        <b/>
        <vertAlign val="subscript"/>
        <sz val="10"/>
        <rFont val="Garamond"/>
        <family val="1"/>
      </rPr>
      <t>d</t>
    </r>
    <r>
      <rPr>
        <b/>
        <sz val="10"/>
        <rFont val="Garamond"/>
        <family val="1"/>
      </rPr>
      <t>)</t>
    </r>
  </si>
  <si>
    <r>
      <t>t</t>
    </r>
    <r>
      <rPr>
        <b/>
        <vertAlign val="subscript"/>
        <sz val="10"/>
        <rFont val="Garamond"/>
        <family val="1"/>
      </rPr>
      <t>0,3</t>
    </r>
  </si>
  <si>
    <r>
      <t>(1.5T</t>
    </r>
    <r>
      <rPr>
        <b/>
        <vertAlign val="subscript"/>
        <sz val="10"/>
        <rFont val="Garamond"/>
        <family val="1"/>
      </rPr>
      <t>0,3</t>
    </r>
    <r>
      <rPr>
        <b/>
        <sz val="10"/>
        <rFont val="Garamond"/>
        <family val="1"/>
      </rPr>
      <t>)</t>
    </r>
  </si>
  <si>
    <r>
      <t>(2T</t>
    </r>
    <r>
      <rPr>
        <b/>
        <vertAlign val="subscript"/>
        <sz val="10"/>
        <rFont val="Garamond"/>
        <family val="1"/>
      </rPr>
      <t>0,3</t>
    </r>
    <r>
      <rPr>
        <b/>
        <sz val="10"/>
        <rFont val="Garamond"/>
        <family val="1"/>
      </rPr>
      <t>)</t>
    </r>
  </si>
  <si>
    <r>
      <t>(m</t>
    </r>
    <r>
      <rPr>
        <b/>
        <vertAlign val="superscript"/>
        <sz val="10"/>
        <rFont val="Garamond"/>
        <family val="1"/>
      </rPr>
      <t>3</t>
    </r>
    <r>
      <rPr>
        <b/>
        <sz val="10"/>
        <rFont val="Garamond"/>
        <family val="1"/>
      </rPr>
      <t>/dt/mm)</t>
    </r>
  </si>
  <si>
    <t>6 = 2 + 3 + 4 + 5</t>
  </si>
  <si>
    <t>Perhitungan Unit Hidrograf Nakayasu</t>
  </si>
  <si>
    <t>mm/bln</t>
  </si>
  <si>
    <r>
      <t>km</t>
    </r>
    <r>
      <rPr>
        <vertAlign val="superscript"/>
        <sz val="11"/>
        <rFont val="Calibri"/>
        <family val="2"/>
        <scheme val="minor"/>
      </rPr>
      <t>2</t>
    </r>
  </si>
  <si>
    <r>
      <t>Jika L &lt; 15 km t</t>
    </r>
    <r>
      <rPr>
        <vertAlign val="subscript"/>
        <sz val="11"/>
        <rFont val="Calibri"/>
        <family val="2"/>
        <scheme val="minor"/>
      </rPr>
      <t>g</t>
    </r>
    <r>
      <rPr>
        <sz val="11"/>
        <rFont val="Calibri"/>
        <family val="2"/>
        <scheme val="minor"/>
      </rPr>
      <t xml:space="preserve"> = 0,21L</t>
    </r>
    <r>
      <rPr>
        <vertAlign val="superscript"/>
        <sz val="11"/>
        <rFont val="Calibri"/>
        <family val="2"/>
        <scheme val="minor"/>
      </rPr>
      <t>0,7</t>
    </r>
  </si>
  <si>
    <r>
      <t>Jika L &gt; 15 km t</t>
    </r>
    <r>
      <rPr>
        <vertAlign val="subscript"/>
        <sz val="11"/>
        <rFont val="Calibri"/>
        <family val="2"/>
        <scheme val="minor"/>
      </rPr>
      <t>g</t>
    </r>
    <r>
      <rPr>
        <sz val="11"/>
        <rFont val="Calibri"/>
        <family val="2"/>
        <scheme val="minor"/>
      </rPr>
      <t xml:space="preserve"> = 0,4 + 0,058L</t>
    </r>
  </si>
  <si>
    <r>
      <t>Dengan panjang sungai yang ada maka besarnya t</t>
    </r>
    <r>
      <rPr>
        <vertAlign val="subscript"/>
        <sz val="11"/>
        <rFont val="Calibri"/>
        <family val="2"/>
        <scheme val="minor"/>
      </rPr>
      <t xml:space="preserve">g </t>
    </r>
    <r>
      <rPr>
        <sz val="11"/>
        <rFont val="Calibri"/>
        <family val="2"/>
        <scheme val="minor"/>
      </rPr>
      <t>yaitu</t>
    </r>
  </si>
  <si>
    <r>
      <t>t</t>
    </r>
    <r>
      <rPr>
        <vertAlign val="subscript"/>
        <sz val="11"/>
        <rFont val="Calibri"/>
        <family val="2"/>
        <scheme val="minor"/>
      </rPr>
      <t>r</t>
    </r>
    <r>
      <rPr>
        <sz val="11"/>
        <rFont val="Calibri"/>
        <family val="2"/>
        <scheme val="minor"/>
      </rPr>
      <t xml:space="preserve"> = k x t</t>
    </r>
    <r>
      <rPr>
        <vertAlign val="subscript"/>
        <sz val="11"/>
        <rFont val="Calibri"/>
        <family val="2"/>
        <scheme val="minor"/>
      </rPr>
      <t>g</t>
    </r>
    <r>
      <rPr>
        <sz val="11"/>
        <rFont val="Calibri"/>
        <family val="2"/>
        <scheme val="minor"/>
      </rPr>
      <t>, dimana besarnya k dapat diambil 0,5 sampai 1</t>
    </r>
  </si>
  <si>
    <r>
      <t>Waktu awal hujan sampai puncak banjir (t</t>
    </r>
    <r>
      <rPr>
        <vertAlign val="subscript"/>
        <sz val="11"/>
        <rFont val="Calibri"/>
        <family val="2"/>
        <scheme val="minor"/>
      </rPr>
      <t>p</t>
    </r>
    <r>
      <rPr>
        <sz val="11"/>
        <rFont val="Calibri"/>
        <family val="2"/>
        <scheme val="minor"/>
      </rPr>
      <t>)</t>
    </r>
  </si>
  <si>
    <r>
      <t>Waktu penurunan debit dari debit puncak sampai menjadi 30 % debit puncak (t</t>
    </r>
    <r>
      <rPr>
        <vertAlign val="subscript"/>
        <sz val="11"/>
        <rFont val="Calibri"/>
        <family val="2"/>
        <scheme val="minor"/>
      </rPr>
      <t>0,3</t>
    </r>
    <r>
      <rPr>
        <sz val="11"/>
        <rFont val="Calibri"/>
        <family val="2"/>
        <scheme val="minor"/>
      </rPr>
      <t>)</t>
    </r>
  </si>
  <si>
    <r>
      <t>Debit puncak banjir (Q</t>
    </r>
    <r>
      <rPr>
        <vertAlign val="subscript"/>
        <sz val="11"/>
        <rFont val="Calibri"/>
        <family val="2"/>
        <scheme val="minor"/>
      </rPr>
      <t>p</t>
    </r>
    <r>
      <rPr>
        <sz val="11"/>
        <rFont val="Calibri"/>
        <family val="2"/>
        <scheme val="minor"/>
      </rPr>
      <t>)</t>
    </r>
  </si>
  <si>
    <r>
      <t>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/dt/mm</t>
    </r>
  </si>
  <si>
    <r>
      <t>t</t>
    </r>
    <r>
      <rPr>
        <vertAlign val="subscript"/>
        <sz val="10"/>
        <rFont val="Garamond"/>
        <family val="1"/>
      </rPr>
      <t>p</t>
    </r>
    <r>
      <rPr>
        <sz val="10"/>
        <rFont val="Garamond"/>
        <family val="1"/>
      </rPr>
      <t xml:space="preserve"> + t</t>
    </r>
    <r>
      <rPr>
        <vertAlign val="subscript"/>
        <sz val="10"/>
        <rFont val="Garamond"/>
        <family val="1"/>
      </rPr>
      <t>0.3</t>
    </r>
  </si>
  <si>
    <r>
      <t>t</t>
    </r>
    <r>
      <rPr>
        <vertAlign val="subscript"/>
        <sz val="10"/>
        <rFont val="Garamond"/>
        <family val="1"/>
      </rPr>
      <t>p</t>
    </r>
    <r>
      <rPr>
        <sz val="10"/>
        <rFont val="Garamond"/>
        <family val="1"/>
      </rPr>
      <t xml:space="preserve"> + t</t>
    </r>
    <r>
      <rPr>
        <vertAlign val="subscript"/>
        <sz val="10"/>
        <rFont val="Garamond"/>
        <family val="1"/>
      </rPr>
      <t>0.3</t>
    </r>
    <r>
      <rPr>
        <sz val="10"/>
        <rFont val="Garamond"/>
        <family val="1"/>
      </rPr>
      <t xml:space="preserve"> +1.5 t</t>
    </r>
    <r>
      <rPr>
        <vertAlign val="subscript"/>
        <sz val="10"/>
        <rFont val="Garamond"/>
        <family val="1"/>
      </rPr>
      <t>0.3</t>
    </r>
  </si>
  <si>
    <r>
      <t>( t</t>
    </r>
    <r>
      <rPr>
        <b/>
        <vertAlign val="subscript"/>
        <sz val="10"/>
        <rFont val="Garamond"/>
        <family val="1"/>
      </rPr>
      <t>p</t>
    </r>
    <r>
      <rPr>
        <b/>
        <sz val="10"/>
        <rFont val="Garamond"/>
        <family val="1"/>
      </rPr>
      <t xml:space="preserve"> + t</t>
    </r>
    <r>
      <rPr>
        <b/>
        <vertAlign val="subscript"/>
        <sz val="10"/>
        <rFont val="Garamond"/>
        <family val="1"/>
      </rPr>
      <t>0.3</t>
    </r>
    <r>
      <rPr>
        <b/>
        <sz val="10"/>
        <rFont val="Garamond"/>
        <family val="1"/>
      </rPr>
      <t xml:space="preserve">) </t>
    </r>
    <r>
      <rPr>
        <b/>
        <sz val="10"/>
        <rFont val="Symbol"/>
        <family val="1"/>
        <charset val="2"/>
      </rPr>
      <t>£</t>
    </r>
    <r>
      <rPr>
        <b/>
        <sz val="10"/>
        <rFont val="Garamond"/>
        <family val="1"/>
      </rPr>
      <t xml:space="preserve"> t &lt;( tp + t</t>
    </r>
    <r>
      <rPr>
        <b/>
        <vertAlign val="subscript"/>
        <sz val="10"/>
        <rFont val="Garamond"/>
        <family val="1"/>
      </rPr>
      <t xml:space="preserve">0.3 </t>
    </r>
    <r>
      <rPr>
        <b/>
        <sz val="10"/>
        <rFont val="Garamond"/>
        <family val="1"/>
      </rPr>
      <t>+ 1.5 T</t>
    </r>
    <r>
      <rPr>
        <b/>
        <vertAlign val="subscript"/>
        <sz val="10"/>
        <rFont val="Garamond"/>
        <family val="1"/>
      </rPr>
      <t>0.3</t>
    </r>
    <r>
      <rPr>
        <b/>
        <sz val="10"/>
        <rFont val="Garamond"/>
        <family val="1"/>
      </rPr>
      <t>)</t>
    </r>
  </si>
  <si>
    <r>
      <t xml:space="preserve">t </t>
    </r>
    <r>
      <rPr>
        <b/>
        <sz val="10"/>
        <rFont val="Symbol"/>
        <family val="1"/>
        <charset val="2"/>
      </rPr>
      <t>³</t>
    </r>
    <r>
      <rPr>
        <b/>
        <sz val="10"/>
        <rFont val="Garamond"/>
        <family val="1"/>
      </rPr>
      <t xml:space="preserve"> 1.5 t</t>
    </r>
    <r>
      <rPr>
        <b/>
        <vertAlign val="subscript"/>
        <sz val="10"/>
        <rFont val="Garamond"/>
        <family val="1"/>
      </rPr>
      <t>0.3</t>
    </r>
  </si>
  <si>
    <r>
      <t xml:space="preserve">0 </t>
    </r>
    <r>
      <rPr>
        <b/>
        <sz val="10"/>
        <rFont val="Symbol"/>
        <family val="1"/>
        <charset val="2"/>
      </rPr>
      <t>£</t>
    </r>
    <r>
      <rPr>
        <b/>
        <sz val="10"/>
        <rFont val="Garamond"/>
        <family val="1"/>
      </rPr>
      <t xml:space="preserve"> t </t>
    </r>
    <r>
      <rPr>
        <b/>
        <sz val="10"/>
        <rFont val="Symbol"/>
        <family val="1"/>
        <charset val="2"/>
      </rPr>
      <t>£</t>
    </r>
    <r>
      <rPr>
        <b/>
        <sz val="10"/>
        <rFont val="Garamond"/>
        <family val="1"/>
      </rPr>
      <t xml:space="preserve"> t</t>
    </r>
    <r>
      <rPr>
        <b/>
        <vertAlign val="subscript"/>
        <sz val="10"/>
        <rFont val="Garamond"/>
        <family val="1"/>
      </rPr>
      <t>p</t>
    </r>
  </si>
  <si>
    <r>
      <t>t</t>
    </r>
    <r>
      <rPr>
        <b/>
        <vertAlign val="subscript"/>
        <sz val="10"/>
        <rFont val="Garamond"/>
        <family val="1"/>
      </rPr>
      <t>p</t>
    </r>
    <r>
      <rPr>
        <b/>
        <sz val="10"/>
        <rFont val="Garamond"/>
        <family val="1"/>
      </rPr>
      <t xml:space="preserve"> &lt; t </t>
    </r>
    <r>
      <rPr>
        <b/>
        <sz val="10"/>
        <rFont val="Symbol"/>
        <family val="1"/>
        <charset val="2"/>
      </rPr>
      <t>£</t>
    </r>
    <r>
      <rPr>
        <b/>
        <sz val="10"/>
        <rFont val="Garamond"/>
        <family val="1"/>
      </rPr>
      <t xml:space="preserve"> ( t</t>
    </r>
    <r>
      <rPr>
        <b/>
        <vertAlign val="subscript"/>
        <sz val="10"/>
        <rFont val="Garamond"/>
        <family val="1"/>
      </rPr>
      <t>p</t>
    </r>
    <r>
      <rPr>
        <b/>
        <sz val="10"/>
        <rFont val="Garamond"/>
        <family val="1"/>
      </rPr>
      <t xml:space="preserve"> + t</t>
    </r>
    <r>
      <rPr>
        <b/>
        <vertAlign val="subscript"/>
        <sz val="10"/>
        <rFont val="Garamond"/>
        <family val="1"/>
      </rPr>
      <t>0.3</t>
    </r>
    <r>
      <rPr>
        <b/>
        <sz val="10"/>
        <rFont val="Garamond"/>
        <family val="1"/>
      </rPr>
      <t>)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</si>
  <si>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d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</si>
  <si>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</si>
  <si>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</si>
  <si>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 xml:space="preserve">t </t>
    </r>
    <r>
      <rPr>
        <b/>
        <sz val="11"/>
        <color theme="1"/>
        <rFont val="Calibri"/>
        <family val="2"/>
        <scheme val="minor"/>
      </rPr>
      <t>x T</t>
    </r>
    <r>
      <rPr>
        <b/>
        <vertAlign val="subscript"/>
        <sz val="11"/>
        <color theme="1"/>
        <rFont val="Calibri"/>
        <family val="2"/>
        <scheme val="minor"/>
      </rPr>
      <t>d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</si>
  <si>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p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</si>
  <si>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t</t>
    </r>
  </si>
  <si>
    <t>Distribusi Hujan Jam-jaman Efektif</t>
  </si>
  <si>
    <t>Durasi</t>
  </si>
  <si>
    <t>Unit</t>
  </si>
  <si>
    <t>Curah Hujan Efektif</t>
  </si>
  <si>
    <t>Hidrograf</t>
  </si>
  <si>
    <t>Runoff</t>
  </si>
  <si>
    <t>(mm)</t>
  </si>
  <si>
    <r>
      <t>(m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/dt)</t>
    </r>
  </si>
  <si>
    <r>
      <t>Satuan waktu hujan effektif (R</t>
    </r>
    <r>
      <rPr>
        <vertAlign val="sub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)</t>
    </r>
  </si>
  <si>
    <r>
      <t>Waktu konsentrasi/time lag (t</t>
    </r>
    <r>
      <rPr>
        <vertAlign val="subscript"/>
        <sz val="11"/>
        <rFont val="Calibri"/>
        <family val="2"/>
        <scheme val="minor"/>
      </rPr>
      <t>g</t>
    </r>
    <r>
      <rPr>
        <sz val="11"/>
        <rFont val="Calibri"/>
        <family val="2"/>
        <scheme val="minor"/>
      </rPr>
      <t>)</t>
    </r>
  </si>
  <si>
    <r>
      <t>Satuan durasi hujan efektif (t</t>
    </r>
    <r>
      <rPr>
        <vertAlign val="subscript"/>
        <sz val="11"/>
        <rFont val="Calibri"/>
        <family val="2"/>
        <scheme val="minor"/>
      </rPr>
      <t>r</t>
    </r>
    <r>
      <rPr>
        <sz val="11"/>
        <rFont val="Calibri"/>
        <family val="2"/>
        <scheme val="minor"/>
      </rPr>
      <t>)</t>
    </r>
  </si>
  <si>
    <t>Koefisien pengaliran (C)</t>
  </si>
  <si>
    <t>Periode ulang yang dipilih</t>
  </si>
  <si>
    <t>tahun</t>
  </si>
  <si>
    <t>Analisa Frekuensi Curah Hujan Rencana (mm/hari)</t>
  </si>
  <si>
    <t>Metode Distribusi Terpilih</t>
  </si>
  <si>
    <t>mm/hari</t>
  </si>
  <si>
    <t>Isi manual</t>
  </si>
  <si>
    <t>Indeks Kolom</t>
  </si>
  <si>
    <t>Curah hujan rencana</t>
  </si>
  <si>
    <t>:</t>
  </si>
  <si>
    <r>
      <t>(m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/dt/mm)</t>
    </r>
  </si>
  <si>
    <t>Parameter</t>
  </si>
  <si>
    <t>Besar</t>
  </si>
  <si>
    <t>Satuan</t>
  </si>
  <si>
    <t>Jenis Daerah</t>
  </si>
  <si>
    <t>Koefisien C</t>
  </si>
  <si>
    <t>Daerah Perdagangan</t>
  </si>
  <si>
    <t>m</t>
  </si>
  <si>
    <t>Perkotaan</t>
  </si>
  <si>
    <t>0.70 - 0.90</t>
  </si>
  <si>
    <t>Waktu konsentrasi, Tc</t>
  </si>
  <si>
    <t>Pinggiran</t>
  </si>
  <si>
    <t>0.50 - 0.70</t>
  </si>
  <si>
    <t>menit</t>
  </si>
  <si>
    <t>Pemukiman</t>
  </si>
  <si>
    <t>Intensitas hujan, I</t>
  </si>
  <si>
    <t>Perumahan satu keluarga</t>
  </si>
  <si>
    <t>0.30 - 0.50</t>
  </si>
  <si>
    <t>Koefisien limpasan, C</t>
  </si>
  <si>
    <t>Perumahan berkelompok, terpisah-pisah</t>
  </si>
  <si>
    <t>0.40 - 0.60</t>
  </si>
  <si>
    <t>Perumahan berkelompok, bersambungan</t>
  </si>
  <si>
    <t>0.60 - 0.75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</si>
  <si>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</si>
  <si>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Suburban</t>
  </si>
  <si>
    <t>0.25 - 0.40</t>
  </si>
  <si>
    <t>Ha</t>
  </si>
  <si>
    <t>Daerah apartemen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</si>
  <si>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/dt</t>
    </r>
  </si>
  <si>
    <t>Industri</t>
  </si>
  <si>
    <r>
      <t>Debit kawasan per hektar, Q</t>
    </r>
    <r>
      <rPr>
        <vertAlign val="subscript"/>
        <sz val="11"/>
        <color theme="1"/>
        <rFont val="Calibri"/>
        <family val="2"/>
        <scheme val="minor"/>
      </rPr>
      <t>r5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</si>
  <si>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/dt/ha</t>
    </r>
  </si>
  <si>
    <t>Daerah industri ringan</t>
  </si>
  <si>
    <t>0.50 - 0.80</t>
  </si>
  <si>
    <t>lt/dt/ha</t>
  </si>
  <si>
    <t>Daerah industri berat</t>
  </si>
  <si>
    <t>0.60 - 0.90</t>
  </si>
  <si>
    <t>Taman, pemakaman</t>
  </si>
  <si>
    <t>0.10 - 0.25</t>
  </si>
  <si>
    <t>Tempat bermain</t>
  </si>
  <si>
    <t>0.20 - 0.35</t>
  </si>
  <si>
    <t>Daerah stasiun kereta api</t>
  </si>
  <si>
    <t>0.20 - 0.40</t>
  </si>
  <si>
    <t>Daerah belum diperbaiki</t>
  </si>
  <si>
    <t>0.10 - 0.30</t>
  </si>
  <si>
    <t>Jalan</t>
  </si>
  <si>
    <t>0.70 - 0.95</t>
  </si>
  <si>
    <t>Pavling block</t>
  </si>
  <si>
    <t>Jalan, hamparan</t>
  </si>
  <si>
    <t>0.75 - 0.85</t>
  </si>
  <si>
    <t>Atap</t>
  </si>
  <si>
    <t>0.75 - 0.95</t>
  </si>
  <si>
    <t>Sumber: Arsyad 2006</t>
  </si>
  <si>
    <t>Perhitungan debit limpasan dengan Metode Rasional</t>
  </si>
  <si>
    <t>Luas catchment area, Ac</t>
  </si>
  <si>
    <t>Luas lahan kajian, A</t>
  </si>
  <si>
    <t>Input manual</t>
  </si>
  <si>
    <t>Nilai koefisien C untuk daerah urban</t>
  </si>
  <si>
    <t>Debit yang bisa ditampung oleh saluran eksisting</t>
  </si>
  <si>
    <t>Sub Catchment Area</t>
  </si>
  <si>
    <t>Kemiringan lahan, S</t>
  </si>
  <si>
    <t>Lebar saluran, B</t>
  </si>
  <si>
    <t>Koefisien Manning, n</t>
  </si>
  <si>
    <t>Kedalaman saluran, y</t>
  </si>
  <si>
    <t>Kedalaman saluran minimal, y</t>
  </si>
  <si>
    <t>Luas penampang saluran, Ac</t>
  </si>
  <si>
    <t>Lebar saluran minimal, B</t>
  </si>
  <si>
    <t>Perimeter basah, P</t>
  </si>
  <si>
    <t>Jari-jari hidrolik, R</t>
  </si>
  <si>
    <t>Kesimpulan</t>
  </si>
  <si>
    <t>Dimensi saluran drainase minimal yang disarankan tiap sub catchment area</t>
  </si>
  <si>
    <r>
      <t>AR</t>
    </r>
    <r>
      <rPr>
        <vertAlign val="superscript"/>
        <sz val="11"/>
        <color theme="1"/>
        <rFont val="Calibri"/>
        <family val="2"/>
        <scheme val="minor"/>
      </rPr>
      <t>2/3</t>
    </r>
  </si>
  <si>
    <t>Debit yang bisa ditampung oleh saluran drainase yang baru</t>
  </si>
  <si>
    <t>ha</t>
  </si>
  <si>
    <t>Debit tertampung saluran eksisting, Qt</t>
  </si>
  <si>
    <t>Potensi limpasan di lahan kajian, Qk</t>
  </si>
  <si>
    <t>Debit tertampung saluran baru, Qt</t>
  </si>
  <si>
    <t>Pergub DKI Jakarta, No. 20 tahun 2013 tentang Sumur Resapan</t>
  </si>
  <si>
    <r>
      <t>Luas Penampang Maksimal Tutupan Bangunan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</si>
  <si>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Volume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</si>
  <si>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Volume sumur resapan minimal, Vol</t>
    </r>
    <r>
      <rPr>
        <vertAlign val="subscript"/>
        <sz val="11"/>
        <color theme="1"/>
        <rFont val="Calibri"/>
        <family val="2"/>
        <scheme val="minor"/>
      </rPr>
      <t>min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</si>
  <si>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</si>
  <si>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Dimensi sumur resapan rencana</t>
  </si>
  <si>
    <t>Panjang, P</t>
  </si>
  <si>
    <t>Lebar, L</t>
  </si>
  <si>
    <t>Kedalaman, D</t>
  </si>
  <si>
    <r>
      <t>Volume sumur resapan rencana, Vol</t>
    </r>
    <r>
      <rPr>
        <vertAlign val="subscript"/>
        <sz val="11"/>
        <color theme="1"/>
        <rFont val="Calibri"/>
        <family val="2"/>
        <scheme val="minor"/>
      </rPr>
      <t>r</t>
    </r>
  </si>
  <si>
    <t>Jumlah sumur resapan minimal</t>
  </si>
  <si>
    <t>buah</t>
  </si>
  <si>
    <t>(pembulatan)</t>
  </si>
  <si>
    <t>Satuan durasi hujan rencana,</t>
  </si>
  <si>
    <r>
      <t>Debit limpasan total, Q</t>
    </r>
    <r>
      <rPr>
        <vertAlign val="subscript"/>
        <sz val="11"/>
        <color theme="1"/>
        <rFont val="Calibri"/>
        <family val="2"/>
        <scheme val="minor"/>
      </rPr>
      <t>rtot</t>
    </r>
  </si>
  <si>
    <t>Dimensi kolam resapan rencana</t>
  </si>
  <si>
    <t>Jenis Unit</t>
  </si>
  <si>
    <t>Jumlah yang Disarankan (unit)</t>
  </si>
  <si>
    <t>Keterangan</t>
  </si>
  <si>
    <t>Kolam retensi</t>
  </si>
  <si>
    <t>Setiap tambahan luas bangunan 25 - 50 m2, diperlukan tambahan 1 unit atau volume 1.5 m3</t>
  </si>
  <si>
    <t>Sumur resapan dangkal</t>
  </si>
  <si>
    <t>Setiap tambahan luas bangunan 25 - 50 m2, diperlukan tambahan 1 unit atau volume 1 m3</t>
  </si>
  <si>
    <t>Sumur resapan dalam</t>
  </si>
  <si>
    <t xml:space="preserve">Setiap tambahan luas bangunan 50 - 1000 m2, diperlukan tambahan 1 unit </t>
  </si>
  <si>
    <r>
      <t>Luas Bangunan (m</t>
    </r>
    <r>
      <rPr>
        <b/>
        <vertAlign val="superscript"/>
        <sz val="11"/>
        <color rgb="FF000000"/>
        <rFont val="Calibri"/>
        <family val="2"/>
        <scheme val="minor"/>
      </rPr>
      <t>2</t>
    </r>
    <r>
      <rPr>
        <b/>
        <sz val="11"/>
        <color rgb="FF000000"/>
        <rFont val="Calibri"/>
        <family val="2"/>
        <scheme val="minor"/>
      </rPr>
      <t>)</t>
    </r>
  </si>
  <si>
    <r>
      <t>Volume yang Disarankan (m</t>
    </r>
    <r>
      <rPr>
        <b/>
        <vertAlign val="superscript"/>
        <sz val="11"/>
        <color rgb="FF000000"/>
        <rFont val="Calibri"/>
        <family val="2"/>
        <scheme val="minor"/>
      </rPr>
      <t>3</t>
    </r>
    <r>
      <rPr>
        <b/>
        <sz val="11"/>
        <color rgb="FF000000"/>
        <rFont val="Calibri"/>
        <family val="2"/>
        <scheme val="minor"/>
      </rPr>
      <t>)</t>
    </r>
  </si>
  <si>
    <t xml:space="preserve">Kriteria kolam dan sumur resapan berdasarkan Permen LH No. 12 tahun 2009 </t>
  </si>
  <si>
    <t>Tabel perhitungan dimensi dan jumlah sumur resapan berdasarkan Permen LH</t>
  </si>
  <si>
    <t>Luas bangunan, A</t>
  </si>
  <si>
    <t>Tabel perhitungan dimensi dan volume kolam resapan</t>
  </si>
  <si>
    <r>
      <t>Volume kolam resapan minimal, Vol</t>
    </r>
    <r>
      <rPr>
        <vertAlign val="subscript"/>
        <sz val="11"/>
        <color theme="1"/>
        <rFont val="Calibri"/>
        <family val="2"/>
        <scheme val="minor"/>
      </rPr>
      <t>min</t>
    </r>
  </si>
  <si>
    <t>Tabel perhitungan dimensi dan volume kolam resapan berdasarkan Permen LH</t>
  </si>
  <si>
    <t>ATAU DENGAN CARA MENENTUKAN JUMLAH SUMUR RESAPAN YG DIINGINKAN</t>
  </si>
  <si>
    <t>Jumlah sumur resapan yang diinginkan</t>
  </si>
  <si>
    <t>Volume yg dapat ditampung sumur resapan</t>
  </si>
  <si>
    <t>Sumur Resapan</t>
  </si>
  <si>
    <t>Kolam Resapan</t>
  </si>
  <si>
    <t>Sisa volume limpasan yg harus diresapkan</t>
  </si>
  <si>
    <t>Alternatif kebutuhan bangunan peresap</t>
  </si>
  <si>
    <t>Dimensi Sumur Resapan (m)</t>
  </si>
  <si>
    <t>Alternatif 1</t>
  </si>
  <si>
    <t>Alternatif</t>
  </si>
  <si>
    <t>Alternatif 2</t>
  </si>
  <si>
    <t>Alternatif 3</t>
  </si>
  <si>
    <t>Jumlah rencana</t>
  </si>
  <si>
    <t>Alternatif 4</t>
  </si>
  <si>
    <t>Alternatif 5</t>
  </si>
  <si>
    <r>
      <t>Volume kolam resapan rencana, Vol</t>
    </r>
    <r>
      <rPr>
        <vertAlign val="subscript"/>
        <sz val="11"/>
        <color theme="1"/>
        <rFont val="Calibri"/>
        <family val="2"/>
        <scheme val="minor"/>
      </rPr>
      <t>r</t>
    </r>
  </si>
  <si>
    <t>Jumlah kolam resapan minimal</t>
  </si>
  <si>
    <t>Jumlah kolam resapan yang diinginkan</t>
  </si>
  <si>
    <t>Volume yg dapat ditampung kolam resapan</t>
  </si>
  <si>
    <t>Dimensi Kolam Resapan (m)</t>
  </si>
  <si>
    <t>Berdasarkan data lapangan dan hasil penelitian/percobaan sebelumnya (Input manual)</t>
  </si>
  <si>
    <t>Debit limpasan di lahan kajian per hektar, Q</t>
  </si>
  <si>
    <t>Nilai koefisien Manning untuk saluran dengan beberapa jenis bahan</t>
  </si>
  <si>
    <t>Tipe Saluran dan jenis bahan</t>
  </si>
  <si>
    <t>Harga, n</t>
  </si>
  <si>
    <t>Minimum</t>
  </si>
  <si>
    <t>Maksimum</t>
  </si>
  <si>
    <t>Beton</t>
  </si>
  <si>
    <t>Gorong-gorong lurus dan bebas dari kotoran</t>
  </si>
  <si>
    <t>Gorong-gorong dengan lengkungan dan sedikit kotoran</t>
  </si>
  <si>
    <t>Beton dipoles</t>
  </si>
  <si>
    <t>Saluran pembuang dengan bak kontrol</t>
  </si>
  <si>
    <t>Tanah, lurus dan seragam</t>
  </si>
  <si>
    <t>Bersih baru</t>
  </si>
  <si>
    <t>Bersih telah melapuk</t>
  </si>
  <si>
    <t>Berkerikil</t>
  </si>
  <si>
    <t>Berumput pendek, sedikit tanaman pengganggu</t>
  </si>
  <si>
    <t>Saluran alam</t>
  </si>
  <si>
    <t>Bersih lurus</t>
  </si>
  <si>
    <t>Bersih, berkelok-kelok</t>
  </si>
  <si>
    <t>Banyak tanaman pengganggu</t>
  </si>
  <si>
    <t>Dataran banjir berumput pendek-tingg</t>
  </si>
  <si>
    <t>Saluran di belukar</t>
  </si>
  <si>
    <t>Sumber: Van te Chow</t>
  </si>
  <si>
    <t>Diameter, D</t>
  </si>
  <si>
    <t>Kedalaman, h</t>
  </si>
  <si>
    <t>Volume sumur resapan yg disarankan</t>
  </si>
  <si>
    <t>Volume kolam resapan yang disarankan</t>
  </si>
  <si>
    <t>Lebar kolam resapan seharusnya</t>
  </si>
  <si>
    <t>Panjang kolam resapan reharusnya</t>
  </si>
  <si>
    <t>Volume kolam resapan revisi</t>
  </si>
  <si>
    <t>Sisa volume yang diresapkan</t>
  </si>
  <si>
    <t>Tambahan sumur resapan yg diperlukan</t>
  </si>
  <si>
    <t>Total sumur resapan yang diperlukan</t>
  </si>
  <si>
    <t>Sisa volume limpasan yang diresapkan</t>
  </si>
  <si>
    <t>Cek Ulang</t>
  </si>
  <si>
    <r>
      <t>m</t>
    </r>
    <r>
      <rPr>
        <strike/>
        <vertAlign val="superscript"/>
        <sz val="11"/>
        <color theme="1"/>
        <rFont val="Calibri"/>
        <family val="2"/>
        <scheme val="minor"/>
      </rPr>
      <t>3</t>
    </r>
  </si>
  <si>
    <t>Alternatif 6</t>
  </si>
  <si>
    <t>Alternatif 7</t>
  </si>
  <si>
    <t>Luas DPS (ha)</t>
  </si>
  <si>
    <t>Debit yang bisa ditampung oleh saluran drainase yang direncanakan</t>
  </si>
  <si>
    <t>(untuk kolam resapan, mengacu pada volume sumur resapan yg disarankan)</t>
  </si>
  <si>
    <t>Tabel perhitungan dimensi dan jumlah sumur resapan berdasarkan Pergub DKI</t>
  </si>
  <si>
    <t>Debit limpasan di catchment area, Qca</t>
  </si>
  <si>
    <t>Debit limpasan di lahan kajian, Qk</t>
  </si>
  <si>
    <t>lt/dt</t>
  </si>
  <si>
    <t>Nilai</t>
  </si>
  <si>
    <t>Cek</t>
  </si>
  <si>
    <t>-</t>
  </si>
  <si>
    <t>Debit yang bisa ditampung oleh gorong-gorong (LINGKARAN)</t>
  </si>
  <si>
    <t>Diameter gorong-gorong</t>
  </si>
  <si>
    <t>Kedalaman air, y</t>
  </si>
  <si>
    <t>Dimensi gorong-gorong minimal yang disarankan</t>
  </si>
  <si>
    <t>Diameter saluran minimal, y</t>
  </si>
  <si>
    <t>Perhitungan debit limpasan dengan Metode Hidrograf Nakayasu</t>
  </si>
  <si>
    <t>MAX</t>
  </si>
  <si>
    <t>Debit yang bisa ditampung oleh saluran beton</t>
  </si>
  <si>
    <t>tc</t>
  </si>
  <si>
    <t>Luas DPS</t>
  </si>
  <si>
    <t>JAJAR</t>
  </si>
  <si>
    <t>TUNTANG</t>
  </si>
  <si>
    <t>Panjang</t>
  </si>
  <si>
    <t>Luas Total (HA)</t>
  </si>
  <si>
    <t>km2</t>
  </si>
  <si>
    <t>Sungai Jajar</t>
  </si>
  <si>
    <t>Sungai Tuntang</t>
  </si>
  <si>
    <r>
      <t>Tr</t>
    </r>
    <r>
      <rPr>
        <vertAlign val="subscript"/>
        <sz val="10"/>
        <rFont val="Times New Roman"/>
        <family val="1"/>
      </rPr>
      <t>2</t>
    </r>
  </si>
  <si>
    <r>
      <t>Tr</t>
    </r>
    <r>
      <rPr>
        <vertAlign val="subscript"/>
        <sz val="10"/>
        <rFont val="Times New Roman"/>
        <family val="1"/>
      </rPr>
      <t>5</t>
    </r>
  </si>
  <si>
    <r>
      <t>Tr</t>
    </r>
    <r>
      <rPr>
        <vertAlign val="subscript"/>
        <sz val="10"/>
        <rFont val="Times New Roman"/>
        <family val="1"/>
      </rPr>
      <t>10</t>
    </r>
  </si>
  <si>
    <r>
      <t>Tr</t>
    </r>
    <r>
      <rPr>
        <vertAlign val="subscript"/>
        <sz val="10"/>
        <rFont val="Times New Roman"/>
        <family val="1"/>
      </rPr>
      <t>25</t>
    </r>
  </si>
  <si>
    <r>
      <t>Tr</t>
    </r>
    <r>
      <rPr>
        <vertAlign val="subscript"/>
        <sz val="10"/>
        <rFont val="Times New Roman"/>
        <family val="1"/>
      </rPr>
      <t>50</t>
    </r>
  </si>
  <si>
    <r>
      <t>Tr</t>
    </r>
    <r>
      <rPr>
        <vertAlign val="subscript"/>
        <sz val="10"/>
        <rFont val="Times New Roman"/>
        <family val="1"/>
      </rPr>
      <t>100</t>
    </r>
  </si>
  <si>
    <r>
      <t>Tr</t>
    </r>
    <r>
      <rPr>
        <vertAlign val="subscript"/>
        <sz val="10"/>
        <rFont val="Times New Roman"/>
        <family val="1"/>
      </rPr>
      <t>200</t>
    </r>
  </si>
  <si>
    <r>
      <t>Tr</t>
    </r>
    <r>
      <rPr>
        <vertAlign val="subscript"/>
        <sz val="10"/>
        <rFont val="Times New Roman"/>
        <family val="1"/>
      </rPr>
      <t>1000</t>
    </r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</si>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</sst>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"/>
    <numFmt numFmtId="167" formatCode="#,##0.000"/>
    <numFmt numFmtId="168" formatCode="&quot;&lt; &quot;0"/>
    <numFmt numFmtId="169" formatCode="0.0000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Garamond"/>
      <family val="1"/>
    </font>
    <font>
      <sz val="10"/>
      <name val="Garamond"/>
      <family val="1"/>
    </font>
    <font>
      <vertAlign val="superscript"/>
      <sz val="10"/>
      <name val="Garamond"/>
      <family val="1"/>
    </font>
    <font>
      <b/>
      <vertAlign val="subscript"/>
      <sz val="10"/>
      <name val="Garamond"/>
      <family val="1"/>
    </font>
    <font>
      <vertAlign val="subscript"/>
      <sz val="10"/>
      <name val="Garamond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4"/>
      <name val="Bodoni MT Black"/>
      <family val="1"/>
    </font>
    <font>
      <b/>
      <sz val="12"/>
      <name val="Garamond"/>
      <family val="1"/>
    </font>
    <font>
      <b/>
      <vertAlign val="superscript"/>
      <sz val="10"/>
      <name val="Garamond"/>
      <family val="1"/>
    </font>
    <font>
      <b/>
      <sz val="10"/>
      <name val="Verdana"/>
      <family val="2"/>
    </font>
    <font>
      <b/>
      <u/>
      <sz val="10"/>
      <name val="Garamond"/>
      <family val="1"/>
    </font>
    <font>
      <b/>
      <u/>
      <vertAlign val="subscript"/>
      <sz val="10"/>
      <name val="Garamond"/>
      <family val="1"/>
    </font>
    <font>
      <sz val="10"/>
      <color indexed="48"/>
      <name val="Garamond"/>
      <family val="1"/>
    </font>
    <font>
      <b/>
      <sz val="14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color rgb="FFFF0000"/>
      <name val="Garamond"/>
      <family val="1"/>
    </font>
    <font>
      <b/>
      <sz val="10"/>
      <name val="Symbol"/>
      <family val="1"/>
      <charset val="2"/>
    </font>
    <font>
      <vertAlign val="subscript"/>
      <sz val="9"/>
      <color indexed="81"/>
      <name val="Tahoma"/>
      <family val="2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5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  <font>
      <vertAlign val="subscript"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theme="1"/>
      <name val="Times New Roman"/>
      <family val="1"/>
    </font>
    <font>
      <sz val="9"/>
      <color theme="1"/>
      <name val="Tahoma"/>
      <family val="2"/>
    </font>
    <font>
      <b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vertAlign val="superscript"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vertAlign val="subscript"/>
      <sz val="1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8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1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0" borderId="15" xfId="0" applyNumberFormat="1" applyFont="1" applyBorder="1" applyAlignment="1">
      <alignment vertical="center"/>
    </xf>
    <xf numFmtId="164" fontId="4" fillId="0" borderId="15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2" fontId="0" fillId="0" borderId="42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2" fontId="0" fillId="0" borderId="44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2" fontId="0" fillId="0" borderId="33" xfId="0" applyNumberForma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25" xfId="1" applyNumberFormat="1" applyFont="1" applyBorder="1" applyAlignment="1">
      <alignment horizontal="center"/>
    </xf>
    <xf numFmtId="10" fontId="0" fillId="0" borderId="22" xfId="1" applyNumberFormat="1" applyFont="1" applyBorder="1" applyAlignment="1">
      <alignment horizontal="center"/>
    </xf>
    <xf numFmtId="10" fontId="0" fillId="0" borderId="23" xfId="1" applyNumberFormat="1" applyFont="1" applyBorder="1" applyAlignment="1">
      <alignment horizontal="center"/>
    </xf>
    <xf numFmtId="0" fontId="15" fillId="0" borderId="0" xfId="0" applyFont="1" applyAlignment="1">
      <alignment vertical="center"/>
    </xf>
    <xf numFmtId="164" fontId="4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2" fontId="20" fillId="0" borderId="52" xfId="0" applyNumberFormat="1" applyFont="1" applyBorder="1" applyAlignment="1">
      <alignment horizontal="center" vertical="center"/>
    </xf>
    <xf numFmtId="164" fontId="4" fillId="0" borderId="53" xfId="0" applyNumberFormat="1" applyFont="1" applyBorder="1" applyAlignment="1">
      <alignment horizontal="center" vertical="center"/>
    </xf>
    <xf numFmtId="164" fontId="4" fillId="0" borderId="53" xfId="0" applyNumberFormat="1" applyFont="1" applyBorder="1" applyAlignment="1">
      <alignment vertical="center"/>
    </xf>
    <xf numFmtId="2" fontId="20" fillId="0" borderId="12" xfId="0" applyNumberFormat="1" applyFont="1" applyBorder="1" applyAlignment="1">
      <alignment horizontal="center" vertical="center"/>
    </xf>
    <xf numFmtId="164" fontId="4" fillId="5" borderId="16" xfId="0" applyNumberFormat="1" applyFont="1" applyFill="1" applyBorder="1" applyAlignment="1">
      <alignment horizontal="center" vertical="center"/>
    </xf>
    <xf numFmtId="164" fontId="4" fillId="6" borderId="16" xfId="0" applyNumberFormat="1" applyFont="1" applyFill="1" applyBorder="1" applyAlignment="1">
      <alignment horizontal="center" vertical="center"/>
    </xf>
    <xf numFmtId="0" fontId="0" fillId="0" borderId="25" xfId="0" quotePrefix="1" applyBorder="1" applyAlignment="1">
      <alignment horizontal="center" vertical="center"/>
    </xf>
    <xf numFmtId="165" fontId="0" fillId="0" borderId="25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/>
    </xf>
    <xf numFmtId="10" fontId="0" fillId="0" borderId="25" xfId="0" applyNumberFormat="1" applyBorder="1" applyAlignment="1">
      <alignment horizontal="center"/>
    </xf>
    <xf numFmtId="0" fontId="0" fillId="0" borderId="22" xfId="0" quotePrefix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/>
    </xf>
    <xf numFmtId="10" fontId="0" fillId="0" borderId="22" xfId="0" applyNumberFormat="1" applyBorder="1" applyAlignment="1">
      <alignment horizontal="center"/>
    </xf>
    <xf numFmtId="0" fontId="0" fillId="0" borderId="23" xfId="0" quotePrefix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/>
    </xf>
    <xf numFmtId="10" fontId="0" fillId="0" borderId="23" xfId="0" applyNumberForma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164" fontId="11" fillId="0" borderId="15" xfId="0" applyNumberFormat="1" applyFont="1" applyBorder="1" applyAlignment="1">
      <alignment vertical="center"/>
    </xf>
    <xf numFmtId="0" fontId="11" fillId="0" borderId="16" xfId="0" applyFont="1" applyBorder="1" applyAlignment="1">
      <alignment horizontal="center" vertical="center"/>
    </xf>
    <xf numFmtId="164" fontId="11" fillId="0" borderId="15" xfId="0" applyNumberFormat="1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164" fontId="11" fillId="0" borderId="20" xfId="0" applyNumberFormat="1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2" fontId="20" fillId="0" borderId="17" xfId="0" applyNumberFormat="1" applyFont="1" applyBorder="1" applyAlignment="1">
      <alignment horizontal="center" vertical="center"/>
    </xf>
    <xf numFmtId="2" fontId="23" fillId="0" borderId="12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left" vertical="center"/>
    </xf>
    <xf numFmtId="0" fontId="3" fillId="2" borderId="23" xfId="0" applyFont="1" applyFill="1" applyBorder="1" applyAlignment="1">
      <alignment horizontal="center" vertical="center"/>
    </xf>
    <xf numFmtId="164" fontId="4" fillId="7" borderId="16" xfId="0" applyNumberFormat="1" applyFont="1" applyFill="1" applyBorder="1" applyAlignment="1">
      <alignment horizontal="center" vertical="center"/>
    </xf>
    <xf numFmtId="164" fontId="4" fillId="5" borderId="54" xfId="0" applyNumberFormat="1" applyFont="1" applyFill="1" applyBorder="1" applyAlignment="1">
      <alignment horizontal="center" vertical="center"/>
    </xf>
    <xf numFmtId="164" fontId="4" fillId="8" borderId="16" xfId="0" applyNumberFormat="1" applyFont="1" applyFill="1" applyBorder="1" applyAlignment="1">
      <alignment horizontal="center" vertical="center"/>
    </xf>
    <xf numFmtId="164" fontId="4" fillId="7" borderId="21" xfId="0" applyNumberFormat="1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0" fontId="10" fillId="0" borderId="34" xfId="0" applyFont="1" applyBorder="1" applyAlignment="1">
      <alignment horizontal="center" vertical="center"/>
    </xf>
    <xf numFmtId="0" fontId="10" fillId="0" borderId="22" xfId="0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0" fontId="11" fillId="0" borderId="42" xfId="0" applyFont="1" applyBorder="1" applyAlignment="1">
      <alignment vertical="center"/>
    </xf>
    <xf numFmtId="0" fontId="10" fillId="0" borderId="35" xfId="0" applyFont="1" applyBorder="1" applyAlignment="1">
      <alignment horizontal="center" vertical="center"/>
    </xf>
    <xf numFmtId="0" fontId="10" fillId="0" borderId="43" xfId="0" applyFont="1" applyBorder="1" applyAlignment="1">
      <alignment vertical="center"/>
    </xf>
    <xf numFmtId="0" fontId="11" fillId="0" borderId="43" xfId="0" applyFont="1" applyBorder="1" applyAlignment="1">
      <alignment vertical="center"/>
    </xf>
    <xf numFmtId="0" fontId="11" fillId="0" borderId="44" xfId="0" applyFont="1" applyBorder="1" applyAlignment="1">
      <alignment vertical="center"/>
    </xf>
    <xf numFmtId="0" fontId="10" fillId="0" borderId="32" xfId="0" applyFont="1" applyBorder="1" applyAlignment="1">
      <alignment horizontal="center" vertical="center"/>
    </xf>
    <xf numFmtId="0" fontId="10" fillId="0" borderId="25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0" fontId="11" fillId="0" borderId="33" xfId="0" applyFont="1" applyBorder="1" applyAlignment="1">
      <alignment vertical="center"/>
    </xf>
    <xf numFmtId="0" fontId="10" fillId="9" borderId="45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2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2" fontId="0" fillId="0" borderId="42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2" fontId="0" fillId="0" borderId="39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2" fontId="0" fillId="0" borderId="57" xfId="0" applyNumberFormat="1" applyBorder="1" applyAlignment="1">
      <alignment horizontal="center"/>
    </xf>
    <xf numFmtId="9" fontId="0" fillId="0" borderId="57" xfId="1" applyFont="1" applyBorder="1" applyAlignment="1">
      <alignment horizontal="center"/>
    </xf>
    <xf numFmtId="2" fontId="0" fillId="0" borderId="55" xfId="0" applyNumberFormat="1" applyBorder="1" applyAlignment="1">
      <alignment horizontal="center"/>
    </xf>
    <xf numFmtId="0" fontId="2" fillId="9" borderId="26" xfId="0" applyFont="1" applyFill="1" applyBorder="1" applyAlignment="1">
      <alignment horizontal="center" vertical="center"/>
    </xf>
    <xf numFmtId="0" fontId="2" fillId="9" borderId="40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 wrapText="1"/>
    </xf>
    <xf numFmtId="0" fontId="2" fillId="9" borderId="41" xfId="0" applyFont="1" applyFill="1" applyBorder="1" applyAlignment="1">
      <alignment horizontal="center" vertical="center" wrapText="1"/>
    </xf>
    <xf numFmtId="0" fontId="2" fillId="9" borderId="34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9" borderId="42" xfId="0" applyFont="1" applyFill="1" applyBorder="1" applyAlignment="1">
      <alignment horizontal="center" vertical="center"/>
    </xf>
    <xf numFmtId="0" fontId="2" fillId="9" borderId="30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0" fillId="0" borderId="58" xfId="0" applyBorder="1"/>
    <xf numFmtId="2" fontId="11" fillId="0" borderId="22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2" fontId="11" fillId="0" borderId="43" xfId="0" applyNumberFormat="1" applyFont="1" applyBorder="1" applyAlignment="1">
      <alignment horizontal="center" vertical="center"/>
    </xf>
    <xf numFmtId="0" fontId="10" fillId="2" borderId="40" xfId="0" applyFont="1" applyFill="1" applyBorder="1" applyAlignment="1">
      <alignment horizontal="center" vertical="center"/>
    </xf>
    <xf numFmtId="0" fontId="10" fillId="2" borderId="49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1" fontId="10" fillId="2" borderId="22" xfId="0" applyNumberFormat="1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165" fontId="10" fillId="2" borderId="24" xfId="0" applyNumberFormat="1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164" fontId="11" fillId="0" borderId="10" xfId="0" applyNumberFormat="1" applyFont="1" applyBorder="1" applyAlignment="1">
      <alignment horizontal="center" vertical="center"/>
    </xf>
    <xf numFmtId="164" fontId="11" fillId="4" borderId="10" xfId="0" applyNumberFormat="1" applyFont="1" applyFill="1" applyBorder="1" applyAlignment="1">
      <alignment horizontal="center" vertical="center"/>
    </xf>
    <xf numFmtId="164" fontId="11" fillId="4" borderId="15" xfId="0" applyNumberFormat="1" applyFont="1" applyFill="1" applyBorder="1" applyAlignment="1">
      <alignment horizontal="center" vertical="center"/>
    </xf>
    <xf numFmtId="2" fontId="11" fillId="0" borderId="54" xfId="0" applyNumberFormat="1" applyFont="1" applyBorder="1" applyAlignment="1">
      <alignment horizontal="center" vertical="center"/>
    </xf>
    <xf numFmtId="2" fontId="11" fillId="0" borderId="16" xfId="0" applyNumberFormat="1" applyFont="1" applyBorder="1" applyAlignment="1">
      <alignment horizontal="center" vertical="center"/>
    </xf>
    <xf numFmtId="164" fontId="11" fillId="4" borderId="20" xfId="0" applyNumberFormat="1" applyFont="1" applyFill="1" applyBorder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1" fillId="7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164" fontId="11" fillId="6" borderId="10" xfId="0" applyNumberFormat="1" applyFont="1" applyFill="1" applyBorder="1" applyAlignment="1">
      <alignment horizontal="center" vertical="center"/>
    </xf>
    <xf numFmtId="164" fontId="11" fillId="6" borderId="15" xfId="0" applyNumberFormat="1" applyFont="1" applyFill="1" applyBorder="1" applyAlignment="1">
      <alignment horizontal="center" vertical="center"/>
    </xf>
    <xf numFmtId="164" fontId="11" fillId="7" borderId="15" xfId="0" applyNumberFormat="1" applyFont="1" applyFill="1" applyBorder="1" applyAlignment="1">
      <alignment horizontal="center" vertical="center"/>
    </xf>
    <xf numFmtId="2" fontId="11" fillId="0" borderId="21" xfId="0" applyNumberFormat="1" applyFont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 wrapText="1"/>
    </xf>
    <xf numFmtId="0" fontId="10" fillId="9" borderId="39" xfId="0" applyFont="1" applyFill="1" applyBorder="1" applyAlignment="1">
      <alignment horizontal="center" vertical="center" wrapText="1"/>
    </xf>
    <xf numFmtId="0" fontId="0" fillId="5" borderId="0" xfId="0" applyFill="1"/>
    <xf numFmtId="0" fontId="0" fillId="5" borderId="25" xfId="0" applyFill="1" applyBorder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0" fillId="0" borderId="22" xfId="0" applyBorder="1"/>
    <xf numFmtId="0" fontId="0" fillId="0" borderId="22" xfId="0" applyBorder="1" applyAlignment="1">
      <alignment horizontal="left"/>
    </xf>
    <xf numFmtId="0" fontId="33" fillId="10" borderId="6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3" fontId="0" fillId="5" borderId="22" xfId="0" applyNumberFormat="1" applyFill="1" applyBorder="1" applyAlignment="1">
      <alignment horizontal="center"/>
    </xf>
    <xf numFmtId="0" fontId="34" fillId="0" borderId="0" xfId="0" applyFont="1" applyAlignment="1">
      <alignment horizontal="left" vertical="center" indent="1"/>
    </xf>
    <xf numFmtId="164" fontId="0" fillId="0" borderId="22" xfId="0" applyNumberFormat="1" applyBorder="1" applyAlignment="1">
      <alignment horizontal="center"/>
    </xf>
    <xf numFmtId="0" fontId="34" fillId="0" borderId="67" xfId="0" applyFont="1" applyBorder="1" applyAlignment="1">
      <alignment horizontal="center" vertical="center"/>
    </xf>
    <xf numFmtId="0" fontId="34" fillId="0" borderId="67" xfId="0" applyFont="1" applyBorder="1" applyAlignment="1">
      <alignment horizontal="left" vertical="center" indent="1"/>
    </xf>
    <xf numFmtId="4" fontId="0" fillId="0" borderId="22" xfId="0" applyNumberFormat="1" applyBorder="1" applyAlignment="1">
      <alignment horizontal="center"/>
    </xf>
    <xf numFmtId="0" fontId="0" fillId="0" borderId="22" xfId="0" applyBorder="1" applyAlignment="1">
      <alignment horizontal="left" vertical="center"/>
    </xf>
    <xf numFmtId="2" fontId="0" fillId="0" borderId="22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7" fontId="0" fillId="0" borderId="22" xfId="0" applyNumberFormat="1" applyBorder="1" applyAlignment="1">
      <alignment horizontal="center" vertical="center" wrapText="1"/>
    </xf>
    <xf numFmtId="2" fontId="0" fillId="5" borderId="22" xfId="0" applyNumberFormat="1" applyFill="1" applyBorder="1" applyAlignment="1">
      <alignment horizontal="center" vertical="center"/>
    </xf>
    <xf numFmtId="164" fontId="0" fillId="5" borderId="22" xfId="0" applyNumberFormat="1" applyFill="1" applyBorder="1" applyAlignment="1">
      <alignment horizontal="center" vertical="center"/>
    </xf>
    <xf numFmtId="166" fontId="0" fillId="0" borderId="22" xfId="0" applyNumberFormat="1" applyBorder="1" applyAlignment="1">
      <alignment horizontal="center" vertical="center" wrapText="1"/>
    </xf>
    <xf numFmtId="1" fontId="0" fillId="0" borderId="22" xfId="0" applyNumberFormat="1" applyBorder="1" applyAlignment="1">
      <alignment horizontal="center" vertical="center"/>
    </xf>
    <xf numFmtId="1" fontId="0" fillId="0" borderId="22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1" fontId="0" fillId="11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7" fillId="10" borderId="63" xfId="0" applyFont="1" applyFill="1" applyBorder="1" applyAlignment="1">
      <alignment horizontal="center" vertical="center" wrapText="1"/>
    </xf>
    <xf numFmtId="0" fontId="39" fillId="0" borderId="0" xfId="0" applyFont="1" applyAlignment="1">
      <alignment vertical="center" wrapText="1"/>
    </xf>
    <xf numFmtId="0" fontId="39" fillId="0" borderId="0" xfId="0" applyFont="1" applyAlignment="1">
      <alignment horizontal="center" vertical="center"/>
    </xf>
    <xf numFmtId="0" fontId="39" fillId="0" borderId="67" xfId="0" applyFont="1" applyBorder="1" applyAlignment="1">
      <alignment vertical="center" wrapText="1"/>
    </xf>
    <xf numFmtId="0" fontId="39" fillId="0" borderId="67" xfId="0" applyFont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3" fontId="0" fillId="0" borderId="22" xfId="0" applyNumberFormat="1" applyBorder="1" applyAlignment="1">
      <alignment horizontal="center" vertical="center"/>
    </xf>
    <xf numFmtId="3" fontId="0" fillId="5" borderId="0" xfId="0" applyNumberFormat="1" applyFill="1" applyAlignment="1">
      <alignment horizontal="center" vertical="center"/>
    </xf>
    <xf numFmtId="168" fontId="39" fillId="0" borderId="0" xfId="0" applyNumberFormat="1" applyFont="1" applyAlignment="1">
      <alignment horizontal="center" vertical="center"/>
    </xf>
    <xf numFmtId="168" fontId="39" fillId="0" borderId="67" xfId="0" applyNumberFormat="1" applyFont="1" applyBorder="1" applyAlignment="1">
      <alignment horizontal="center" vertical="center"/>
    </xf>
    <xf numFmtId="0" fontId="37" fillId="10" borderId="26" xfId="0" applyFont="1" applyFill="1" applyBorder="1" applyAlignment="1">
      <alignment horizontal="center" vertical="center" wrapText="1"/>
    </xf>
    <xf numFmtId="0" fontId="37" fillId="10" borderId="40" xfId="0" applyFont="1" applyFill="1" applyBorder="1" applyAlignment="1">
      <alignment horizontal="center" vertical="center" wrapText="1"/>
    </xf>
    <xf numFmtId="0" fontId="37" fillId="10" borderId="41" xfId="0" applyFont="1" applyFill="1" applyBorder="1" applyAlignment="1">
      <alignment horizontal="center" vertical="center" wrapText="1"/>
    </xf>
    <xf numFmtId="0" fontId="0" fillId="0" borderId="34" xfId="0" applyBorder="1"/>
    <xf numFmtId="3" fontId="0" fillId="0" borderId="22" xfId="0" applyNumberFormat="1" applyBorder="1"/>
    <xf numFmtId="0" fontId="0" fillId="0" borderId="35" xfId="0" applyBorder="1"/>
    <xf numFmtId="3" fontId="0" fillId="0" borderId="43" xfId="0" applyNumberFormat="1" applyBorder="1"/>
    <xf numFmtId="0" fontId="0" fillId="0" borderId="0" xfId="0" applyAlignment="1">
      <alignment horizontal="center"/>
    </xf>
    <xf numFmtId="1" fontId="0" fillId="5" borderId="22" xfId="0" applyNumberFormat="1" applyFill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11" fillId="0" borderId="73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/>
    </xf>
    <xf numFmtId="0" fontId="11" fillId="0" borderId="75" xfId="0" applyFont="1" applyBorder="1" applyAlignment="1">
      <alignment horizontal="center" vertical="center"/>
    </xf>
    <xf numFmtId="0" fontId="11" fillId="5" borderId="0" xfId="0" applyFont="1" applyFill="1" applyAlignment="1">
      <alignment vertical="center"/>
    </xf>
    <xf numFmtId="10" fontId="0" fillId="0" borderId="0" xfId="1" applyNumberFormat="1" applyFon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40" fillId="14" borderId="22" xfId="0" applyFont="1" applyFill="1" applyBorder="1" applyAlignment="1">
      <alignment horizontal="center"/>
    </xf>
    <xf numFmtId="0" fontId="40" fillId="14" borderId="22" xfId="0" applyFont="1" applyFill="1" applyBorder="1" applyAlignment="1">
      <alignment horizontal="center" vertical="center"/>
    </xf>
    <xf numFmtId="1" fontId="0" fillId="8" borderId="22" xfId="0" applyNumberFormat="1" applyFill="1" applyBorder="1" applyAlignment="1">
      <alignment horizontal="center"/>
    </xf>
    <xf numFmtId="2" fontId="39" fillId="0" borderId="42" xfId="0" applyNumberFormat="1" applyFont="1" applyBorder="1" applyAlignment="1">
      <alignment horizontal="center" vertical="center"/>
    </xf>
    <xf numFmtId="2" fontId="39" fillId="0" borderId="44" xfId="0" applyNumberFormat="1" applyFont="1" applyBorder="1" applyAlignment="1">
      <alignment horizontal="center" vertical="center"/>
    </xf>
    <xf numFmtId="2" fontId="0" fillId="0" borderId="0" xfId="0" applyNumberFormat="1"/>
    <xf numFmtId="0" fontId="41" fillId="0" borderId="22" xfId="0" applyFont="1" applyBorder="1" applyAlignment="1">
      <alignment horizontal="center" vertical="center"/>
    </xf>
    <xf numFmtId="165" fontId="41" fillId="0" borderId="22" xfId="0" applyNumberFormat="1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0" fontId="42" fillId="0" borderId="22" xfId="0" applyFont="1" applyBorder="1" applyAlignment="1">
      <alignment horizontal="left" vertical="center"/>
    </xf>
    <xf numFmtId="2" fontId="42" fillId="0" borderId="22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0" fillId="0" borderId="76" xfId="0" applyNumberFormat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2" xfId="0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164" fontId="11" fillId="5" borderId="22" xfId="0" applyNumberFormat="1" applyFont="1" applyFill="1" applyBorder="1" applyAlignment="1">
      <alignment horizontal="center" vertical="center"/>
    </xf>
    <xf numFmtId="164" fontId="11" fillId="0" borderId="25" xfId="0" applyNumberFormat="1" applyFont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/>
    </xf>
    <xf numFmtId="166" fontId="0" fillId="0" borderId="0" xfId="0" applyNumberFormat="1" applyAlignment="1">
      <alignment horizontal="center" vertical="center" wrapText="1"/>
    </xf>
    <xf numFmtId="167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/>
    </xf>
    <xf numFmtId="0" fontId="11" fillId="0" borderId="77" xfId="0" applyFont="1" applyBorder="1" applyAlignment="1">
      <alignment horizontal="center" vertical="center"/>
    </xf>
    <xf numFmtId="0" fontId="11" fillId="0" borderId="78" xfId="0" applyFont="1" applyBorder="1" applyAlignment="1">
      <alignment horizontal="center" vertical="center"/>
    </xf>
    <xf numFmtId="2" fontId="11" fillId="15" borderId="79" xfId="0" applyNumberFormat="1" applyFont="1" applyFill="1" applyBorder="1" applyAlignment="1">
      <alignment horizontal="center" vertical="center"/>
    </xf>
    <xf numFmtId="169" fontId="11" fillId="15" borderId="79" xfId="0" applyNumberFormat="1" applyFont="1" applyFill="1" applyBorder="1" applyAlignment="1">
      <alignment horizontal="center" vertical="center"/>
    </xf>
    <xf numFmtId="0" fontId="0" fillId="0" borderId="23" xfId="0" applyBorder="1"/>
    <xf numFmtId="164" fontId="0" fillId="0" borderId="23" xfId="0" applyNumberFormat="1" applyBorder="1" applyAlignment="1">
      <alignment horizontal="center"/>
    </xf>
    <xf numFmtId="0" fontId="0" fillId="0" borderId="23" xfId="0" applyBorder="1" applyAlignment="1">
      <alignment horizontal="left"/>
    </xf>
    <xf numFmtId="0" fontId="0" fillId="0" borderId="80" xfId="0" applyBorder="1"/>
    <xf numFmtId="164" fontId="0" fillId="0" borderId="80" xfId="0" applyNumberFormat="1" applyBorder="1" applyAlignment="1">
      <alignment horizontal="center"/>
    </xf>
    <xf numFmtId="0" fontId="0" fillId="0" borderId="80" xfId="0" applyBorder="1" applyAlignment="1">
      <alignment horizontal="left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169" fontId="11" fillId="0" borderId="54" xfId="0" applyNumberFormat="1" applyFont="1" applyBorder="1" applyAlignment="1">
      <alignment horizontal="center" vertical="center"/>
    </xf>
    <xf numFmtId="169" fontId="11" fillId="0" borderId="16" xfId="0" applyNumberFormat="1" applyFont="1" applyBorder="1" applyAlignment="1">
      <alignment horizontal="center" vertical="center"/>
    </xf>
    <xf numFmtId="0" fontId="29" fillId="9" borderId="60" xfId="0" applyFont="1" applyFill="1" applyBorder="1" applyAlignment="1">
      <alignment horizontal="center" vertical="center" wrapText="1"/>
    </xf>
    <xf numFmtId="0" fontId="29" fillId="9" borderId="63" xfId="0" applyFont="1" applyFill="1" applyBorder="1" applyAlignment="1">
      <alignment horizontal="center" vertical="center" wrapText="1"/>
    </xf>
    <xf numFmtId="0" fontId="29" fillId="9" borderId="62" xfId="0" applyFont="1" applyFill="1" applyBorder="1" applyAlignment="1">
      <alignment horizontal="center" vertical="center" wrapText="1"/>
    </xf>
    <xf numFmtId="0" fontId="30" fillId="5" borderId="60" xfId="0" applyFont="1" applyFill="1" applyBorder="1" applyAlignment="1">
      <alignment horizontal="center" vertical="center"/>
    </xf>
    <xf numFmtId="0" fontId="29" fillId="9" borderId="61" xfId="0" applyFont="1" applyFill="1" applyBorder="1" applyAlignment="1">
      <alignment horizontal="center" vertical="center" wrapText="1"/>
    </xf>
    <xf numFmtId="0" fontId="30" fillId="5" borderId="63" xfId="0" applyFont="1" applyFill="1" applyBorder="1" applyAlignment="1">
      <alignment horizontal="center" vertical="center"/>
    </xf>
    <xf numFmtId="0" fontId="30" fillId="5" borderId="64" xfId="0" applyFont="1" applyFill="1" applyBorder="1" applyAlignment="1">
      <alignment horizontal="center" vertical="center"/>
    </xf>
    <xf numFmtId="0" fontId="30" fillId="9" borderId="63" xfId="0" applyFont="1" applyFill="1" applyBorder="1" applyAlignment="1">
      <alignment horizontal="center" vertical="center"/>
    </xf>
    <xf numFmtId="0" fontId="30" fillId="9" borderId="64" xfId="0" applyFont="1" applyFill="1" applyBorder="1" applyAlignment="1">
      <alignment horizontal="center" vertical="center"/>
    </xf>
    <xf numFmtId="0" fontId="29" fillId="9" borderId="65" xfId="0" applyFont="1" applyFill="1" applyBorder="1" applyAlignment="1">
      <alignment horizontal="center" vertical="center" wrapText="1"/>
    </xf>
    <xf numFmtId="0" fontId="29" fillId="9" borderId="4" xfId="0" applyFont="1" applyFill="1" applyBorder="1" applyAlignment="1">
      <alignment horizontal="center" vertical="center" wrapText="1"/>
    </xf>
    <xf numFmtId="0" fontId="30" fillId="9" borderId="4" xfId="0" applyFont="1" applyFill="1" applyBorder="1" applyAlignment="1">
      <alignment horizontal="center" vertical="center"/>
    </xf>
    <xf numFmtId="0" fontId="30" fillId="9" borderId="66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26" xfId="0" applyFont="1" applyFill="1" applyBorder="1" applyAlignment="1">
      <alignment horizontal="center" vertical="center" wrapText="1"/>
    </xf>
    <xf numFmtId="0" fontId="11" fillId="9" borderId="38" xfId="0" applyFont="1" applyFill="1" applyBorder="1" applyAlignment="1">
      <alignment horizontal="center" vertical="center" wrapText="1"/>
    </xf>
    <xf numFmtId="0" fontId="10" fillId="9" borderId="27" xfId="0" applyFont="1" applyFill="1" applyBorder="1" applyAlignment="1">
      <alignment horizontal="center" vertical="center"/>
    </xf>
    <xf numFmtId="0" fontId="10" fillId="9" borderId="28" xfId="0" applyFont="1" applyFill="1" applyBorder="1" applyAlignment="1">
      <alignment horizontal="center" vertical="center"/>
    </xf>
    <xf numFmtId="0" fontId="10" fillId="9" borderId="29" xfId="0" applyFont="1" applyFill="1" applyBorder="1" applyAlignment="1">
      <alignment horizontal="center" vertical="center"/>
    </xf>
    <xf numFmtId="0" fontId="29" fillId="9" borderId="59" xfId="0" applyFont="1" applyFill="1" applyBorder="1" applyAlignment="1">
      <alignment horizontal="center" vertical="center" wrapText="1"/>
    </xf>
    <xf numFmtId="0" fontId="36" fillId="0" borderId="68" xfId="0" applyFont="1" applyBorder="1" applyAlignment="1">
      <alignment horizontal="left" vertical="center"/>
    </xf>
    <xf numFmtId="0" fontId="21" fillId="5" borderId="1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readingOrder="1"/>
    </xf>
    <xf numFmtId="0" fontId="10" fillId="2" borderId="28" xfId="0" applyFont="1" applyFill="1" applyBorder="1" applyAlignment="1">
      <alignment horizontal="center" vertical="center" readingOrder="1"/>
    </xf>
    <xf numFmtId="0" fontId="2" fillId="17" borderId="69" xfId="0" applyFont="1" applyFill="1" applyBorder="1" applyAlignment="1">
      <alignment horizontal="left"/>
    </xf>
    <xf numFmtId="0" fontId="2" fillId="12" borderId="69" xfId="0" applyFont="1" applyFill="1" applyBorder="1" applyAlignment="1">
      <alignment horizontal="left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" fillId="13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8" borderId="69" xfId="0" applyFont="1" applyFill="1" applyBorder="1" applyAlignment="1">
      <alignment horizontal="left"/>
    </xf>
    <xf numFmtId="0" fontId="2" fillId="12" borderId="71" xfId="0" applyFont="1" applyFill="1" applyBorder="1" applyAlignment="1">
      <alignment horizontal="left" vertical="center"/>
    </xf>
    <xf numFmtId="0" fontId="2" fillId="12" borderId="70" xfId="0" applyFont="1" applyFill="1" applyBorder="1" applyAlignment="1">
      <alignment horizontal="left" vertical="center"/>
    </xf>
    <xf numFmtId="0" fontId="2" fillId="12" borderId="72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9" borderId="0" xfId="0" applyFont="1" applyFill="1" applyAlignment="1">
      <alignment horizontal="center"/>
    </xf>
    <xf numFmtId="0" fontId="2" fillId="12" borderId="71" xfId="0" applyFont="1" applyFill="1" applyBorder="1" applyAlignment="1">
      <alignment horizontal="left"/>
    </xf>
    <xf numFmtId="0" fontId="2" fillId="12" borderId="70" xfId="0" applyFont="1" applyFill="1" applyBorder="1" applyAlignment="1">
      <alignment horizontal="left"/>
    </xf>
    <xf numFmtId="0" fontId="2" fillId="12" borderId="72" xfId="0" applyFont="1" applyFill="1" applyBorder="1" applyAlignment="1">
      <alignment horizontal="left"/>
    </xf>
    <xf numFmtId="0" fontId="2" fillId="15" borderId="69" xfId="0" applyFont="1" applyFill="1" applyBorder="1" applyAlignment="1">
      <alignment horizontal="left"/>
    </xf>
    <xf numFmtId="0" fontId="2" fillId="15" borderId="0" xfId="0" applyFont="1" applyFill="1" applyAlignment="1">
      <alignment horizontal="center" wrapText="1"/>
    </xf>
    <xf numFmtId="0" fontId="2" fillId="16" borderId="69" xfId="0" applyFont="1" applyFill="1" applyBorder="1"/>
    <xf numFmtId="0" fontId="2" fillId="16" borderId="69" xfId="0" applyFont="1" applyFill="1" applyBorder="1" applyAlignment="1">
      <alignment horizontal="left"/>
    </xf>
    <xf numFmtId="0" fontId="2" fillId="0" borderId="69" xfId="0" applyFont="1" applyBorder="1" applyAlignment="1">
      <alignment horizontal="left"/>
    </xf>
    <xf numFmtId="164" fontId="11" fillId="0" borderId="0" xfId="0" applyNumberFormat="1" applyFont="1" applyFill="1" applyBorder="1" applyAlignment="1">
      <alignment horizontal="center" vertical="center"/>
    </xf>
    <xf numFmtId="0" fontId="44" fillId="0" borderId="0" xfId="0" applyFont="1"/>
    <xf numFmtId="0" fontId="44" fillId="0" borderId="22" xfId="0" applyFont="1" applyBorder="1"/>
    <xf numFmtId="1" fontId="45" fillId="19" borderId="22" xfId="0" applyNumberFormat="1" applyFont="1" applyFill="1" applyBorder="1" applyAlignment="1">
      <alignment horizontal="center" vertical="center"/>
    </xf>
    <xf numFmtId="0" fontId="45" fillId="20" borderId="22" xfId="0" applyFont="1" applyFill="1" applyBorder="1" applyAlignment="1">
      <alignment horizontal="center" vertical="center"/>
    </xf>
    <xf numFmtId="0" fontId="44" fillId="19" borderId="22" xfId="0" applyFont="1" applyFill="1" applyBorder="1" applyAlignment="1">
      <alignment horizontal="center" vertical="center"/>
    </xf>
    <xf numFmtId="0" fontId="44" fillId="20" borderId="22" xfId="0" applyFont="1" applyFill="1" applyBorder="1" applyAlignment="1">
      <alignment horizontal="center" vertical="center"/>
    </xf>
    <xf numFmtId="0" fontId="44" fillId="18" borderId="71" xfId="0" applyFont="1" applyFill="1" applyBorder="1" applyAlignment="1">
      <alignment horizontal="center" vertical="center"/>
    </xf>
    <xf numFmtId="0" fontId="44" fillId="18" borderId="70" xfId="0" applyFont="1" applyFill="1" applyBorder="1" applyAlignment="1">
      <alignment horizontal="center" vertical="center"/>
    </xf>
    <xf numFmtId="0" fontId="44" fillId="18" borderId="72" xfId="0" applyFont="1" applyFill="1" applyBorder="1" applyAlignment="1">
      <alignment horizontal="center" vertical="center"/>
    </xf>
    <xf numFmtId="0" fontId="44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FF"/>
      <color rgb="FFFF66FF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1.2802338098630735E-2"/>
                  <c:y val="8.12553303248179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Referensi!$C$17:$C$32</c:f>
              <c:numCache>
                <c:formatCode>General</c:formatCode>
                <c:ptCount val="16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  <c:pt idx="12">
                  <c:v>2000</c:v>
                </c:pt>
                <c:pt idx="13">
                  <c:v>3000</c:v>
                </c:pt>
                <c:pt idx="14">
                  <c:v>4000</c:v>
                </c:pt>
                <c:pt idx="15">
                  <c:v>5000</c:v>
                </c:pt>
              </c:numCache>
            </c:numRef>
          </c:xVal>
          <c:yVal>
            <c:numRef>
              <c:f>Referensi!$D$17:$D$32</c:f>
              <c:numCache>
                <c:formatCode>0.00</c:formatCode>
                <c:ptCount val="16"/>
                <c:pt idx="0">
                  <c:v>1</c:v>
                </c:pt>
                <c:pt idx="1">
                  <c:v>0.98</c:v>
                </c:pt>
                <c:pt idx="2">
                  <c:v>0.93500000000000005</c:v>
                </c:pt>
                <c:pt idx="3">
                  <c:v>0.89</c:v>
                </c:pt>
                <c:pt idx="4">
                  <c:v>0.85799999999999998</c:v>
                </c:pt>
                <c:pt idx="5">
                  <c:v>0.83199999999999996</c:v>
                </c:pt>
                <c:pt idx="6">
                  <c:v>0.81899999999999995</c:v>
                </c:pt>
                <c:pt idx="7">
                  <c:v>0.78900000000000003</c:v>
                </c:pt>
                <c:pt idx="8">
                  <c:v>0.77</c:v>
                </c:pt>
                <c:pt idx="9">
                  <c:v>0.752</c:v>
                </c:pt>
                <c:pt idx="10">
                  <c:v>0.73499999999999999</c:v>
                </c:pt>
                <c:pt idx="11">
                  <c:v>0.72</c:v>
                </c:pt>
                <c:pt idx="12">
                  <c:v>0.61</c:v>
                </c:pt>
                <c:pt idx="13">
                  <c:v>0.51500000000000001</c:v>
                </c:pt>
                <c:pt idx="14">
                  <c:v>0.435</c:v>
                </c:pt>
                <c:pt idx="15">
                  <c:v>0.37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4C-4605-AB1E-5AF16D852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995016"/>
        <c:axId val="281995408"/>
      </c:scatterChart>
      <c:valAx>
        <c:axId val="281995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Luas DPS (km2)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995408"/>
        <c:crosses val="autoZero"/>
        <c:crossBetween val="midCat"/>
      </c:valAx>
      <c:valAx>
        <c:axId val="28199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Faktor Reduksi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995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numRef>
              <c:f>'Input Data Nakayasu'!$G$6:$G$11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'Input Data Nakayasu'!$O$6:$O$11</c:f>
              <c:numCache>
                <c:formatCode>0.00</c:formatCode>
                <c:ptCount val="6"/>
                <c:pt idx="0">
                  <c:v>14.267865609094542</c:v>
                </c:pt>
                <c:pt idx="1">
                  <c:v>21.223259723271493</c:v>
                </c:pt>
                <c:pt idx="2">
                  <c:v>116.40120632390337</c:v>
                </c:pt>
                <c:pt idx="3">
                  <c:v>30.255123756738737</c:v>
                </c:pt>
                <c:pt idx="4">
                  <c:v>16.895807565018028</c:v>
                </c:pt>
                <c:pt idx="5">
                  <c:v>12.47176606364131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77-4A67-BA2E-5279B5640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43"/>
        <c:axId val="281995800"/>
        <c:axId val="281996584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'Input Data Nakayasu'!$O$6:$O$11</c:f>
              <c:numCache>
                <c:formatCode>0.00</c:formatCode>
                <c:ptCount val="6"/>
                <c:pt idx="0">
                  <c:v>14.267865609094542</c:v>
                </c:pt>
                <c:pt idx="1">
                  <c:v>21.223259723271493</c:v>
                </c:pt>
                <c:pt idx="2">
                  <c:v>116.40120632390337</c:v>
                </c:pt>
                <c:pt idx="3">
                  <c:v>30.255123756738737</c:v>
                </c:pt>
                <c:pt idx="4">
                  <c:v>16.895807565018028</c:v>
                </c:pt>
                <c:pt idx="5">
                  <c:v>12.47176606364131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E77-4A67-BA2E-5279B5640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995800"/>
        <c:axId val="281996584"/>
      </c:lineChart>
      <c:catAx>
        <c:axId val="281995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r>
                  <a:rPr lang="en-US"/>
                  <a:t>Durasi Hujan Jam-jaman Efektif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281996584"/>
        <c:crosses val="autoZero"/>
        <c:auto val="1"/>
        <c:lblAlgn val="ctr"/>
        <c:lblOffset val="100"/>
        <c:noMultiLvlLbl val="0"/>
      </c:catAx>
      <c:valAx>
        <c:axId val="281996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r>
                  <a:rPr lang="en-US"/>
                  <a:t>Kedalaman Hujan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281995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ahoma" panose="020B0604030504040204" pitchFamily="34" charset="0"/>
          <a:ea typeface="Tahoma" panose="020B0604030504040204" pitchFamily="34" charset="0"/>
          <a:cs typeface="Tahom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id-ID" sz="1100" b="1" i="0" u="none" strike="noStrike" baseline="0">
                <a:solidFill>
                  <a:srgbClr val="000000"/>
                </a:solidFill>
                <a:latin typeface="Bookman Old Style"/>
                <a:ea typeface="Bookman Old Style"/>
                <a:cs typeface="Bookman Old Style"/>
              </a:defRPr>
            </a:pPr>
            <a:r>
              <a:rPr lang="en-US"/>
              <a:t>Unit Hidrograf Nakayasu</a:t>
            </a:r>
          </a:p>
        </c:rich>
      </c:tx>
      <c:layout>
        <c:manualLayout>
          <c:xMode val="edge"/>
          <c:yMode val="edge"/>
          <c:x val="0.27562673025823331"/>
          <c:y val="1.57233187257969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945348031468062"/>
          <c:y val="0.11949722231605719"/>
          <c:w val="0.79954530843504013"/>
          <c:h val="0.75471929883825561"/>
        </c:manualLayout>
      </c:layout>
      <c:scatterChart>
        <c:scatterStyle val="smoothMarker"/>
        <c:varyColors val="0"/>
        <c:ser>
          <c:idx val="0"/>
          <c:order val="0"/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'UH Nakayasu'!$A$14:$A$41</c:f>
              <c:numCache>
                <c:formatCode>0.00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0.773844123390242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1.7411492776280446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3.1921070089847481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  <c:pt idx="24">
                  <c:v>21</c:v>
                </c:pt>
                <c:pt idx="25">
                  <c:v>22</c:v>
                </c:pt>
                <c:pt idx="26">
                  <c:v>23</c:v>
                </c:pt>
                <c:pt idx="27">
                  <c:v>24</c:v>
                </c:pt>
              </c:numCache>
            </c:numRef>
          </c:xVal>
          <c:yVal>
            <c:numRef>
              <c:f>'UH Nakayasu'!$G$14:$G$41</c:f>
              <c:numCache>
                <c:formatCode>0.000</c:formatCode>
                <c:ptCount val="28"/>
                <c:pt idx="0">
                  <c:v>0</c:v>
                </c:pt>
                <c:pt idx="1">
                  <c:v>0.15333996387688015</c:v>
                </c:pt>
                <c:pt idx="2">
                  <c:v>1.4227036934128392</c:v>
                </c:pt>
                <c:pt idx="3">
                  <c:v>0.30925265401773849</c:v>
                </c:pt>
                <c:pt idx="4">
                  <c:v>8.9076147466301756E-2</c:v>
                </c:pt>
                <c:pt idx="5">
                  <c:v>2.5657209224737066E-2</c:v>
                </c:pt>
                <c:pt idx="6">
                  <c:v>7.3902206586894618E-3</c:v>
                </c:pt>
                <c:pt idx="7">
                  <c:v>0.42681110802385158</c:v>
                </c:pt>
                <c:pt idx="8">
                  <c:v>1.2458970816164703E-2</c:v>
                </c:pt>
                <c:pt idx="9">
                  <c:v>5.43393153191015E-3</c:v>
                </c:pt>
                <c:pt idx="10">
                  <c:v>2.3699880454954819E-3</c:v>
                </c:pt>
                <c:pt idx="11">
                  <c:v>1.0336610431705309E-3</c:v>
                </c:pt>
                <c:pt idx="12">
                  <c:v>4.5082723273611028E-4</c:v>
                </c:pt>
                <c:pt idx="13">
                  <c:v>0.12804333240715551</c:v>
                </c:pt>
                <c:pt idx="14">
                  <c:v>9.9327806265111195E-4</c:v>
                </c:pt>
                <c:pt idx="15">
                  <c:v>5.3308300710671783E-4</c:v>
                </c:pt>
                <c:pt idx="16">
                  <c:v>2.8610064306409429E-4</c:v>
                </c:pt>
                <c:pt idx="17">
                  <c:v>1.5354752800308678E-4</c:v>
                </c:pt>
                <c:pt idx="18">
                  <c:v>8.2407516122138841E-5</c:v>
                </c:pt>
                <c:pt idx="19">
                  <c:v>4.4227339910572035E-5</c:v>
                </c:pt>
                <c:pt idx="20">
                  <c:v>2.3736397935670558E-5</c:v>
                </c:pt>
                <c:pt idx="21">
                  <c:v>1.2739101833837112E-5</c:v>
                </c:pt>
                <c:pt idx="22">
                  <c:v>6.8369563053623236E-6</c:v>
                </c:pt>
                <c:pt idx="23">
                  <c:v>3.6693302346696201E-6</c:v>
                </c:pt>
                <c:pt idx="24">
                  <c:v>1.9692950736719734E-6</c:v>
                </c:pt>
                <c:pt idx="25">
                  <c:v>1.0569021699236337E-6</c:v>
                </c:pt>
                <c:pt idx="26">
                  <c:v>5.6722946790621377E-7</c:v>
                </c:pt>
                <c:pt idx="27">
                  <c:v>3.0442672786301071E-7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5E-4B47-AED7-19B648305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57760"/>
        <c:axId val="199758152"/>
      </c:scatterChart>
      <c:valAx>
        <c:axId val="199757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id-ID" sz="925" b="1" i="0" u="none" strike="noStrike" baseline="0">
                    <a:solidFill>
                      <a:srgbClr val="000000"/>
                    </a:solidFill>
                    <a:latin typeface="Bookman Old Style"/>
                    <a:ea typeface="Bookman Old Style"/>
                    <a:cs typeface="Bookman Old Style"/>
                  </a:defRPr>
                </a:pPr>
                <a:r>
                  <a:rPr lang="en-US"/>
                  <a:t>Durasi (jam)</a:t>
                </a:r>
              </a:p>
            </c:rich>
          </c:tx>
          <c:layout>
            <c:manualLayout>
              <c:xMode val="edge"/>
              <c:yMode val="edge"/>
              <c:x val="0.47380462722076527"/>
              <c:y val="0.91824181358654589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_);_(@_)" sourceLinked="0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id-ID" sz="8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99758152"/>
        <c:crosses val="autoZero"/>
        <c:crossBetween val="midCat"/>
      </c:valAx>
      <c:valAx>
        <c:axId val="199758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lang="id-ID" sz="900" b="1" i="0" u="none" strike="noStrike" baseline="0">
                    <a:solidFill>
                      <a:srgbClr val="000000"/>
                    </a:solidFill>
                    <a:latin typeface="Bookman Old Style"/>
                    <a:ea typeface="Bookman Old Style"/>
                    <a:cs typeface="Bookman Old Style"/>
                  </a:defRPr>
                </a:pPr>
                <a:r>
                  <a:rPr lang="en-US" sz="900" b="1" i="0" strike="noStrike">
                    <a:solidFill>
                      <a:srgbClr val="000000"/>
                    </a:solidFill>
                    <a:latin typeface="Bookman Old Style"/>
                  </a:rPr>
                  <a:t>Debit (m</a:t>
                </a:r>
                <a:r>
                  <a:rPr lang="en-US" sz="900" b="1" i="0" strike="noStrike" baseline="30000">
                    <a:solidFill>
                      <a:srgbClr val="000000"/>
                    </a:solidFill>
                    <a:latin typeface="Bookman Old Style"/>
                  </a:rPr>
                  <a:t>3</a:t>
                </a:r>
                <a:r>
                  <a:rPr lang="en-US" sz="900" b="1" i="0" strike="noStrike">
                    <a:solidFill>
                      <a:srgbClr val="000000"/>
                    </a:solidFill>
                    <a:latin typeface="Bookman Old Style"/>
                  </a:rPr>
                  <a:t>/dt)</a:t>
                </a:r>
              </a:p>
            </c:rich>
          </c:tx>
          <c:layout>
            <c:manualLayout>
              <c:xMode val="edge"/>
              <c:yMode val="edge"/>
              <c:x val="1.1389534308191463E-2"/>
              <c:y val="0.35220233945785306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id-ID" sz="825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99757760"/>
        <c:crossesAt val="0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8100">
      <a:solidFill>
        <a:srgbClr val="0000FF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11" r="0.75000000000000111" t="1" header="0.5" footer="0.5"/>
    <c:pageSetup orientation="landscape" horizontalDpi="-3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'Hidrograf Nakayasu'!$B$6:$B$33</c:f>
              <c:numCache>
                <c:formatCode>0.000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0.773844123390242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1.7411492776280446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3.1921070089847481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  <c:pt idx="24">
                  <c:v>21</c:v>
                </c:pt>
                <c:pt idx="25">
                  <c:v>22</c:v>
                </c:pt>
                <c:pt idx="26">
                  <c:v>23</c:v>
                </c:pt>
                <c:pt idx="27">
                  <c:v>24</c:v>
                </c:pt>
              </c:numCache>
            </c:numRef>
          </c:xVal>
          <c:yVal>
            <c:numRef>
              <c:f>'Hidrograf Nakayasu'!$P$6:$P$33</c:f>
              <c:numCache>
                <c:formatCode>0.00</c:formatCode>
                <c:ptCount val="28"/>
                <c:pt idx="0">
                  <c:v>0</c:v>
                </c:pt>
                <c:pt idx="1">
                  <c:v>32.433706912666544</c:v>
                </c:pt>
                <c:pt idx="2">
                  <c:v>300.92321302990428</c:v>
                </c:pt>
                <c:pt idx="3">
                  <c:v>65.411584095774714</c:v>
                </c:pt>
                <c:pt idx="4">
                  <c:v>18.840943918254673</c:v>
                </c:pt>
                <c:pt idx="5">
                  <c:v>5.4268853542983999</c:v>
                </c:pt>
                <c:pt idx="6">
                  <c:v>1.5631427372470326</c:v>
                </c:pt>
                <c:pt idx="7">
                  <c:v>90.276963908971254</c:v>
                </c:pt>
                <c:pt idx="8">
                  <c:v>2.635259574010365</c:v>
                </c:pt>
                <c:pt idx="9">
                  <c:v>1.1493581857824078</c:v>
                </c:pt>
                <c:pt idx="10">
                  <c:v>0.50128809027138166</c:v>
                </c:pt>
                <c:pt idx="11">
                  <c:v>0.21863484556545512</c:v>
                </c:pt>
                <c:pt idx="12">
                  <c:v>9.5356735224952943E-2</c:v>
                </c:pt>
                <c:pt idx="13">
                  <c:v>27.08308917269138</c:v>
                </c:pt>
                <c:pt idx="14">
                  <c:v>0.21009323826810117</c:v>
                </c:pt>
                <c:pt idx="15">
                  <c:v>0.11275506772979686</c:v>
                </c:pt>
                <c:pt idx="16">
                  <c:v>6.0514585826541636E-2</c:v>
                </c:pt>
                <c:pt idx="17">
                  <c:v>3.2477609844849153E-2</c:v>
                </c:pt>
                <c:pt idx="18">
                  <c:v>1.7430428165825875E-2</c:v>
                </c:pt>
                <c:pt idx="19">
                  <c:v>9.3547470856203425E-3</c:v>
                </c:pt>
                <c:pt idx="20">
                  <c:v>5.0206048987079333E-3</c:v>
                </c:pt>
                <c:pt idx="21">
                  <c:v>2.6945114943488164E-3</c:v>
                </c:pt>
                <c:pt idx="22">
                  <c:v>1.4461190114853234E-3</c:v>
                </c:pt>
                <c:pt idx="23">
                  <c:v>7.7611849114961329E-4</c:v>
                </c:pt>
                <c:pt idx="24">
                  <c:v>4.165355046993401E-4</c:v>
                </c:pt>
                <c:pt idx="25">
                  <c:v>2.2355069316559877E-4</c:v>
                </c:pt>
                <c:pt idx="26">
                  <c:v>1.1997755737747239E-4</c:v>
                </c:pt>
                <c:pt idx="27">
                  <c:v>6.4390828185004501E-5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2A-47C0-A1F2-4FC05E3B4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168808"/>
        <c:axId val="336169200"/>
      </c:scatterChart>
      <c:valAx>
        <c:axId val="336168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r>
                  <a:rPr lang="en-US"/>
                  <a:t>Durasi hujan (jam)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336169200"/>
        <c:crosses val="autoZero"/>
        <c:crossBetween val="midCat"/>
      </c:valAx>
      <c:valAx>
        <c:axId val="33616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r>
                  <a:rPr lang="en-US"/>
                  <a:t>Total runoff (m</a:t>
                </a:r>
                <a:r>
                  <a:rPr lang="en-US" baseline="30000"/>
                  <a:t>3</a:t>
                </a:r>
                <a:r>
                  <a:rPr lang="en-US"/>
                  <a:t>/dtk)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336168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ahoma" panose="020B0604030504040204" pitchFamily="34" charset="0"/>
          <a:ea typeface="Tahoma" panose="020B0604030504040204" pitchFamily="34" charset="0"/>
          <a:cs typeface="Tahom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'Hidrograf Nakayasu HECRAS'!$B$6:$B$30</c:f>
              <c:numCache>
                <c:formatCode>0.000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'Hidrograf Nakayasu HECRAS'!$P$6:$P$30</c:f>
              <c:numCache>
                <c:formatCode>0.0000</c:formatCode>
                <c:ptCount val="25"/>
                <c:pt idx="0">
                  <c:v>0</c:v>
                </c:pt>
                <c:pt idx="1">
                  <c:v>32.433706912666544</c:v>
                </c:pt>
                <c:pt idx="2">
                  <c:v>65.411584095774714</c:v>
                </c:pt>
                <c:pt idx="3">
                  <c:v>18.840943918254673</c:v>
                </c:pt>
                <c:pt idx="4">
                  <c:v>5.4268853542983999</c:v>
                </c:pt>
                <c:pt idx="5">
                  <c:v>1.5631427372470326</c:v>
                </c:pt>
                <c:pt idx="6">
                  <c:v>2.635259574010365</c:v>
                </c:pt>
                <c:pt idx="7">
                  <c:v>1.1493581857824078</c:v>
                </c:pt>
                <c:pt idx="8">
                  <c:v>0.50128809027138166</c:v>
                </c:pt>
                <c:pt idx="9">
                  <c:v>0.21863484556545512</c:v>
                </c:pt>
                <c:pt idx="10">
                  <c:v>9.5356735224952943E-2</c:v>
                </c:pt>
                <c:pt idx="11">
                  <c:v>0.21009323826810117</c:v>
                </c:pt>
                <c:pt idx="12">
                  <c:v>0.11275506772979686</c:v>
                </c:pt>
                <c:pt idx="13">
                  <c:v>6.0514585826541636E-2</c:v>
                </c:pt>
                <c:pt idx="14">
                  <c:v>3.2477609844849153E-2</c:v>
                </c:pt>
                <c:pt idx="15">
                  <c:v>1.7430428165825875E-2</c:v>
                </c:pt>
                <c:pt idx="16">
                  <c:v>9.3547470856203425E-3</c:v>
                </c:pt>
                <c:pt idx="17">
                  <c:v>5.0206048987079333E-3</c:v>
                </c:pt>
                <c:pt idx="18">
                  <c:v>2.6945114943488164E-3</c:v>
                </c:pt>
                <c:pt idx="19">
                  <c:v>1.4461190114853234E-3</c:v>
                </c:pt>
                <c:pt idx="20">
                  <c:v>7.7611849114961329E-4</c:v>
                </c:pt>
                <c:pt idx="21">
                  <c:v>4.165355046993401E-4</c:v>
                </c:pt>
                <c:pt idx="22">
                  <c:v>2.2355069316559877E-4</c:v>
                </c:pt>
                <c:pt idx="23">
                  <c:v>1.1997755737747239E-4</c:v>
                </c:pt>
                <c:pt idx="24">
                  <c:v>6.4390828185004501E-5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27-468B-B060-BF4FE85F8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169984"/>
        <c:axId val="336170376"/>
      </c:scatterChart>
      <c:valAx>
        <c:axId val="336169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r>
                  <a:rPr lang="en-US"/>
                  <a:t>Durasi hujan (jam)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336170376"/>
        <c:crosses val="autoZero"/>
        <c:crossBetween val="midCat"/>
      </c:valAx>
      <c:valAx>
        <c:axId val="3361703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r>
                  <a:rPr lang="en-US"/>
                  <a:t>Total runoff (m</a:t>
                </a:r>
                <a:r>
                  <a:rPr lang="en-US" baseline="30000"/>
                  <a:t>3</a:t>
                </a:r>
                <a:r>
                  <a:rPr lang="en-US"/>
                  <a:t>/dtk)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defRPr>
              </a:pPr>
              <a:endParaRPr lang="en-US"/>
            </a:p>
          </c:txPr>
        </c:title>
        <c:numFmt formatCode="0.000" sourceLinked="0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33616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ahoma" panose="020B0604030504040204" pitchFamily="34" charset="0"/>
          <a:ea typeface="Tahoma" panose="020B0604030504040204" pitchFamily="34" charset="0"/>
          <a:cs typeface="Tahom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Distribusi Debit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Banjir Metode Nakayasu Tiap Kala Ulang Sungai Jajar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Tr2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Sheet1!$C$3:$C$27</c:f>
              <c:numCache>
                <c:formatCode>General</c:formatCode>
                <c:ptCount val="25"/>
                <c:pt idx="0">
                  <c:v>0</c:v>
                </c:pt>
                <c:pt idx="1">
                  <c:v>36.622733669901443</c:v>
                </c:pt>
                <c:pt idx="2">
                  <c:v>48.51807558285676</c:v>
                </c:pt>
                <c:pt idx="3">
                  <c:v>17.838372958167877</c:v>
                </c:pt>
                <c:pt idx="4">
                  <c:v>6.5585360913846644</c:v>
                </c:pt>
                <c:pt idx="5">
                  <c:v>2.4113407519209691</c:v>
                </c:pt>
                <c:pt idx="6">
                  <c:v>3.1847816745611728</c:v>
                </c:pt>
                <c:pt idx="7">
                  <c:v>1.6344844040746662</c:v>
                </c:pt>
                <c:pt idx="8">
                  <c:v>0.83884534016964529</c:v>
                </c:pt>
                <c:pt idx="9">
                  <c:v>0.43050976991285062</c:v>
                </c:pt>
                <c:pt idx="10">
                  <c:v>0.22094497413901509</c:v>
                </c:pt>
                <c:pt idx="11">
                  <c:v>0.36616250056889987</c:v>
                </c:pt>
                <c:pt idx="12">
                  <c:v>0.22202388708587667</c:v>
                </c:pt>
                <c:pt idx="13">
                  <c:v>0.13462494482677514</c:v>
                </c:pt>
                <c:pt idx="14">
                  <c:v>8.1630296665340787E-2</c:v>
                </c:pt>
                <c:pt idx="15">
                  <c:v>4.9496810136083043E-2</c:v>
                </c:pt>
                <c:pt idx="16">
                  <c:v>3.0012560455236818E-2</c:v>
                </c:pt>
                <c:pt idx="17">
                  <c:v>1.8198218887293401E-2</c:v>
                </c:pt>
                <c:pt idx="18">
                  <c:v>1.1034552388950108E-2</c:v>
                </c:pt>
                <c:pt idx="19">
                  <c:v>6.6908386572656466E-3</c:v>
                </c:pt>
                <c:pt idx="20">
                  <c:v>4.0570129498311066E-3</c:v>
                </c:pt>
                <c:pt idx="21">
                  <c:v>2.4599837058130116E-3</c:v>
                </c:pt>
                <c:pt idx="22">
                  <c:v>1.4916195505655068E-3</c:v>
                </c:pt>
                <c:pt idx="23">
                  <c:v>9.0444862637572556E-4</c:v>
                </c:pt>
                <c:pt idx="24">
                  <c:v>5.4841552421514179E-4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63-40F3-9B7D-6A52789A00B5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Tr5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Sheet1!$C$3:$C$27</c:f>
              <c:numCache>
                <c:formatCode>General</c:formatCode>
                <c:ptCount val="25"/>
                <c:pt idx="0">
                  <c:v>0</c:v>
                </c:pt>
                <c:pt idx="1">
                  <c:v>36.622733669901443</c:v>
                </c:pt>
                <c:pt idx="2">
                  <c:v>48.51807558285676</c:v>
                </c:pt>
                <c:pt idx="3">
                  <c:v>17.838372958167877</c:v>
                </c:pt>
                <c:pt idx="4">
                  <c:v>6.5585360913846644</c:v>
                </c:pt>
                <c:pt idx="5">
                  <c:v>2.4113407519209691</c:v>
                </c:pt>
                <c:pt idx="6">
                  <c:v>3.1847816745611728</c:v>
                </c:pt>
                <c:pt idx="7">
                  <c:v>1.6344844040746662</c:v>
                </c:pt>
                <c:pt idx="8">
                  <c:v>0.83884534016964529</c:v>
                </c:pt>
                <c:pt idx="9">
                  <c:v>0.43050976991285062</c:v>
                </c:pt>
                <c:pt idx="10">
                  <c:v>0.22094497413901509</c:v>
                </c:pt>
                <c:pt idx="11">
                  <c:v>0.36616250056889987</c:v>
                </c:pt>
                <c:pt idx="12">
                  <c:v>0.22202388708587667</c:v>
                </c:pt>
                <c:pt idx="13">
                  <c:v>0.13462494482677514</c:v>
                </c:pt>
                <c:pt idx="14">
                  <c:v>8.1630296665340787E-2</c:v>
                </c:pt>
                <c:pt idx="15">
                  <c:v>4.9496810136083043E-2</c:v>
                </c:pt>
                <c:pt idx="16">
                  <c:v>3.0012560455236818E-2</c:v>
                </c:pt>
                <c:pt idx="17">
                  <c:v>1.8198218887293401E-2</c:v>
                </c:pt>
                <c:pt idx="18">
                  <c:v>1.1034552388950108E-2</c:v>
                </c:pt>
                <c:pt idx="19">
                  <c:v>6.6908386572656466E-3</c:v>
                </c:pt>
                <c:pt idx="20">
                  <c:v>4.0570129498311066E-3</c:v>
                </c:pt>
                <c:pt idx="21">
                  <c:v>2.4599837058130116E-3</c:v>
                </c:pt>
                <c:pt idx="22">
                  <c:v>1.4916195505655068E-3</c:v>
                </c:pt>
                <c:pt idx="23">
                  <c:v>9.0444862637572556E-4</c:v>
                </c:pt>
                <c:pt idx="24">
                  <c:v>5.4841552421514179E-4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663-40F3-9B7D-6A52789A00B5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Tr10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Sheet1!$E$3:$E$27</c:f>
              <c:numCache>
                <c:formatCode>General</c:formatCode>
                <c:ptCount val="25"/>
                <c:pt idx="0">
                  <c:v>0</c:v>
                </c:pt>
                <c:pt idx="1">
                  <c:v>48.362902167361675</c:v>
                </c:pt>
                <c:pt idx="2">
                  <c:v>64.071539932335014</c:v>
                </c:pt>
                <c:pt idx="3">
                  <c:v>23.556829317463258</c:v>
                </c:pt>
                <c:pt idx="4">
                  <c:v>8.6610093666882939</c:v>
                </c:pt>
                <c:pt idx="5">
                  <c:v>3.1843454922965067</c:v>
                </c:pt>
                <c:pt idx="6">
                  <c:v>4.2057287678061739</c:v>
                </c:pt>
                <c:pt idx="7">
                  <c:v>2.1584519069724117</c:v>
                </c:pt>
                <c:pt idx="8">
                  <c:v>1.1077544206786938</c:v>
                </c:pt>
                <c:pt idx="9">
                  <c:v>0.56851850744009758</c:v>
                </c:pt>
                <c:pt idx="10">
                  <c:v>0.29177341770741161</c:v>
                </c:pt>
                <c:pt idx="11">
                  <c:v>0.48354340099205023</c:v>
                </c:pt>
                <c:pt idx="12">
                  <c:v>0.29319819833046629</c:v>
                </c:pt>
                <c:pt idx="13">
                  <c:v>0.17778173236955169</c:v>
                </c:pt>
                <c:pt idx="14">
                  <c:v>0.10779856269340066</c:v>
                </c:pt>
                <c:pt idx="15">
                  <c:v>6.5364027922776902E-2</c:v>
                </c:pt>
                <c:pt idx="16">
                  <c:v>3.9633702338325527E-2</c:v>
                </c:pt>
                <c:pt idx="17">
                  <c:v>2.4032031240467818E-2</c:v>
                </c:pt>
                <c:pt idx="18">
                  <c:v>1.4571904502203073E-2</c:v>
                </c:pt>
                <c:pt idx="19">
                  <c:v>8.8357242339034484E-3</c:v>
                </c:pt>
                <c:pt idx="20">
                  <c:v>5.3575716699066711E-3</c:v>
                </c:pt>
                <c:pt idx="21">
                  <c:v>3.2485819428415886E-3</c:v>
                </c:pt>
                <c:pt idx="22">
                  <c:v>1.9697887941721674E-3</c:v>
                </c:pt>
                <c:pt idx="23">
                  <c:v>1.1943881859579268E-3</c:v>
                </c:pt>
                <c:pt idx="24">
                  <c:v>7.2422136981208714E-4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663-40F3-9B7D-6A52789A00B5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Tr25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Sheet1!$C$3:$C$27</c:f>
              <c:numCache>
                <c:formatCode>General</c:formatCode>
                <c:ptCount val="25"/>
                <c:pt idx="0">
                  <c:v>0</c:v>
                </c:pt>
                <c:pt idx="1">
                  <c:v>36.622733669901443</c:v>
                </c:pt>
                <c:pt idx="2">
                  <c:v>48.51807558285676</c:v>
                </c:pt>
                <c:pt idx="3">
                  <c:v>17.838372958167877</c:v>
                </c:pt>
                <c:pt idx="4">
                  <c:v>6.5585360913846644</c:v>
                </c:pt>
                <c:pt idx="5">
                  <c:v>2.4113407519209691</c:v>
                </c:pt>
                <c:pt idx="6">
                  <c:v>3.1847816745611728</c:v>
                </c:pt>
                <c:pt idx="7">
                  <c:v>1.6344844040746662</c:v>
                </c:pt>
                <c:pt idx="8">
                  <c:v>0.83884534016964529</c:v>
                </c:pt>
                <c:pt idx="9">
                  <c:v>0.43050976991285062</c:v>
                </c:pt>
                <c:pt idx="10">
                  <c:v>0.22094497413901509</c:v>
                </c:pt>
                <c:pt idx="11">
                  <c:v>0.36616250056889987</c:v>
                </c:pt>
                <c:pt idx="12">
                  <c:v>0.22202388708587667</c:v>
                </c:pt>
                <c:pt idx="13">
                  <c:v>0.13462494482677514</c:v>
                </c:pt>
                <c:pt idx="14">
                  <c:v>8.1630296665340787E-2</c:v>
                </c:pt>
                <c:pt idx="15">
                  <c:v>4.9496810136083043E-2</c:v>
                </c:pt>
                <c:pt idx="16">
                  <c:v>3.0012560455236818E-2</c:v>
                </c:pt>
                <c:pt idx="17">
                  <c:v>1.8198218887293401E-2</c:v>
                </c:pt>
                <c:pt idx="18">
                  <c:v>1.1034552388950108E-2</c:v>
                </c:pt>
                <c:pt idx="19">
                  <c:v>6.6908386572656466E-3</c:v>
                </c:pt>
                <c:pt idx="20">
                  <c:v>4.0570129498311066E-3</c:v>
                </c:pt>
                <c:pt idx="21">
                  <c:v>2.4599837058130116E-3</c:v>
                </c:pt>
                <c:pt idx="22">
                  <c:v>1.4916195505655068E-3</c:v>
                </c:pt>
                <c:pt idx="23">
                  <c:v>9.0444862637572556E-4</c:v>
                </c:pt>
                <c:pt idx="24">
                  <c:v>5.4841552421514179E-4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663-40F3-9B7D-6A52789A00B5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Tr50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Sheet1!$G$3:$G$27</c:f>
              <c:numCache>
                <c:formatCode>General</c:formatCode>
                <c:ptCount val="25"/>
                <c:pt idx="0">
                  <c:v>0</c:v>
                </c:pt>
                <c:pt idx="1">
                  <c:v>55.406514521610035</c:v>
                </c:pt>
                <c:pt idx="2">
                  <c:v>73.402971049958779</c:v>
                </c:pt>
                <c:pt idx="3">
                  <c:v>26.987665073208728</c:v>
                </c:pt>
                <c:pt idx="4">
                  <c:v>9.9224058057265694</c:v>
                </c:pt>
                <c:pt idx="5">
                  <c:v>3.6481161562677746</c:v>
                </c:pt>
                <c:pt idx="6">
                  <c:v>4.8182545216375718</c:v>
                </c:pt>
                <c:pt idx="7">
                  <c:v>2.4728105958986935</c:v>
                </c:pt>
                <c:pt idx="8">
                  <c:v>1.2690886742758938</c:v>
                </c:pt>
                <c:pt idx="9">
                  <c:v>0.65131800464079181</c:v>
                </c:pt>
                <c:pt idx="10">
                  <c:v>0.33426753525423103</c:v>
                </c:pt>
                <c:pt idx="11">
                  <c:v>0.55396705466892548</c:v>
                </c:pt>
                <c:pt idx="12">
                  <c:v>0.33589982208450037</c:v>
                </c:pt>
                <c:pt idx="13">
                  <c:v>0.20367400827442766</c:v>
                </c:pt>
                <c:pt idx="14">
                  <c:v>0.12349843292306339</c:v>
                </c:pt>
                <c:pt idx="15">
                  <c:v>7.4883698041147376E-2</c:v>
                </c:pt>
                <c:pt idx="16">
                  <c:v>4.5405986939211815E-2</c:v>
                </c:pt>
                <c:pt idx="17">
                  <c:v>2.7532075790260728E-2</c:v>
                </c:pt>
                <c:pt idx="18">
                  <c:v>1.6694168509881094E-2</c:v>
                </c:pt>
                <c:pt idx="19">
                  <c:v>1.0122566288114464E-2</c:v>
                </c:pt>
                <c:pt idx="20">
                  <c:v>6.1378527595802521E-3</c:v>
                </c:pt>
                <c:pt idx="21">
                  <c:v>3.7217080556460687E-3</c:v>
                </c:pt>
                <c:pt idx="22">
                  <c:v>2.2566704341092847E-3</c:v>
                </c:pt>
                <c:pt idx="23">
                  <c:v>1.3683398514983589E-3</c:v>
                </c:pt>
                <c:pt idx="24">
                  <c:v>8.2969755835772942E-4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663-40F3-9B7D-6A52789A00B5}"/>
            </c:ext>
          </c:extLst>
        </c:ser>
        <c:ser>
          <c:idx val="5"/>
          <c:order val="5"/>
          <c:tx>
            <c:strRef>
              <c:f>Sheet1!$H$2</c:f>
              <c:strCache>
                <c:ptCount val="1"/>
                <c:pt idx="0">
                  <c:v>Tr100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Sheet1!$H$3:$H$27</c:f>
              <c:numCache>
                <c:formatCode>General</c:formatCode>
                <c:ptCount val="25"/>
                <c:pt idx="0">
                  <c:v>0</c:v>
                </c:pt>
                <c:pt idx="1">
                  <c:v>57.980129999253393</c:v>
                </c:pt>
                <c:pt idx="2">
                  <c:v>76.81251637202557</c:v>
                </c:pt>
                <c:pt idx="3">
                  <c:v>28.241233776050972</c:v>
                </c:pt>
                <c:pt idx="4">
                  <c:v>10.383298489151301</c:v>
                </c:pt>
                <c:pt idx="5">
                  <c:v>3.8175700243747386</c:v>
                </c:pt>
                <c:pt idx="6">
                  <c:v>5.0420609552163356</c:v>
                </c:pt>
                <c:pt idx="7">
                  <c:v>2.5876718839229236</c:v>
                </c:pt>
                <c:pt idx="8">
                  <c:v>1.3280374510184636</c:v>
                </c:pt>
                <c:pt idx="9">
                  <c:v>0.68157152468413529</c:v>
                </c:pt>
                <c:pt idx="10">
                  <c:v>0.34979415897044502</c:v>
                </c:pt>
                <c:pt idx="11">
                  <c:v>0.57969865316975511</c:v>
                </c:pt>
                <c:pt idx="12">
                  <c:v>0.35150226501956616</c:v>
                </c:pt>
                <c:pt idx="13">
                  <c:v>0.21313460301882878</c:v>
                </c:pt>
                <c:pt idx="14">
                  <c:v>0.12923489696848772</c:v>
                </c:pt>
                <c:pt idx="15">
                  <c:v>7.8362022674376211E-2</c:v>
                </c:pt>
                <c:pt idx="16">
                  <c:v>4.751508100104547E-2</c:v>
                </c:pt>
                <c:pt idx="17">
                  <c:v>2.8810932202674625E-2</c:v>
                </c:pt>
                <c:pt idx="18">
                  <c:v>1.7469607478283612E-2</c:v>
                </c:pt>
                <c:pt idx="19">
                  <c:v>1.0592756364091927E-2</c:v>
                </c:pt>
                <c:pt idx="20">
                  <c:v>6.4229541235252922E-3</c:v>
                </c:pt>
                <c:pt idx="21">
                  <c:v>3.8945802447375682E-3</c:v>
                </c:pt>
                <c:pt idx="22">
                  <c:v>2.3614920784106709E-3</c:v>
                </c:pt>
                <c:pt idx="23">
                  <c:v>1.4318988147520189E-3</c:v>
                </c:pt>
                <c:pt idx="24">
                  <c:v>8.6823675354784607E-4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663-40F3-9B7D-6A52789A00B5}"/>
            </c:ext>
          </c:extLst>
        </c:ser>
        <c:ser>
          <c:idx val="6"/>
          <c:order val="6"/>
          <c:tx>
            <c:strRef>
              <c:f>Sheet1!$I$2</c:f>
              <c:strCache>
                <c:ptCount val="1"/>
                <c:pt idx="0">
                  <c:v>Tr200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Sheet1!$I$3:$I$27</c:f>
              <c:numCache>
                <c:formatCode>General</c:formatCode>
                <c:ptCount val="25"/>
                <c:pt idx="0">
                  <c:v>0</c:v>
                </c:pt>
                <c:pt idx="1">
                  <c:v>60.198656172038902</c:v>
                </c:pt>
                <c:pt idx="2">
                  <c:v>79.751636687399966</c:v>
                </c:pt>
                <c:pt idx="3">
                  <c:v>29.32184391412293</c:v>
                </c:pt>
                <c:pt idx="4">
                  <c:v>10.780600452053472</c:v>
                </c:pt>
                <c:pt idx="5">
                  <c:v>3.9636438433817998</c:v>
                </c:pt>
                <c:pt idx="6">
                  <c:v>5.234988156208666</c:v>
                </c:pt>
                <c:pt idx="7">
                  <c:v>2.6866854218563176</c:v>
                </c:pt>
                <c:pt idx="8">
                  <c:v>1.378852891473008</c:v>
                </c:pt>
                <c:pt idx="9">
                  <c:v>0.70765087749270172</c:v>
                </c:pt>
                <c:pt idx="10">
                  <c:v>0.36317852869802958</c:v>
                </c:pt>
                <c:pt idx="11">
                  <c:v>0.60187998726476599</c:v>
                </c:pt>
                <c:pt idx="12">
                  <c:v>0.3649519929651458</c:v>
                </c:pt>
                <c:pt idx="13">
                  <c:v>0.22128989165184171</c:v>
                </c:pt>
                <c:pt idx="14">
                  <c:v>0.13417988417989138</c:v>
                </c:pt>
                <c:pt idx="15">
                  <c:v>8.1360432616847084E-2</c:v>
                </c:pt>
                <c:pt idx="16">
                  <c:v>4.9333177145434934E-2</c:v>
                </c:pt>
                <c:pt idx="17">
                  <c:v>2.9913341030574903E-2</c:v>
                </c:pt>
                <c:pt idx="18">
                  <c:v>1.8138056849117387E-2</c:v>
                </c:pt>
                <c:pt idx="19">
                  <c:v>1.0998072930922337E-2</c:v>
                </c:pt>
                <c:pt idx="20">
                  <c:v>6.6687192128727117E-3</c:v>
                </c:pt>
                <c:pt idx="21">
                  <c:v>4.0436007489184824E-3</c:v>
                </c:pt>
                <c:pt idx="22">
                  <c:v>2.4518511718250387E-3</c:v>
                </c:pt>
                <c:pt idx="23">
                  <c:v>1.4866883607111054E-3</c:v>
                </c:pt>
                <c:pt idx="24">
                  <c:v>9.0145858250795729E-4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663-40F3-9B7D-6A52789A00B5}"/>
            </c:ext>
          </c:extLst>
        </c:ser>
        <c:ser>
          <c:idx val="7"/>
          <c:order val="7"/>
          <c:tx>
            <c:strRef>
              <c:f>Sheet1!$J$2</c:f>
              <c:strCache>
                <c:ptCount val="1"/>
                <c:pt idx="0">
                  <c:v>Tr1000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Sheet1!$J$3:$J$27</c:f>
              <c:numCache>
                <c:formatCode>General</c:formatCode>
                <c:ptCount val="25"/>
                <c:pt idx="0">
                  <c:v>0</c:v>
                </c:pt>
                <c:pt idx="1">
                  <c:v>64.671036304016809</c:v>
                </c:pt>
                <c:pt idx="2">
                  <c:v>85.676679837767153</c:v>
                </c:pt>
                <c:pt idx="3">
                  <c:v>31.500271814235962</c:v>
                </c:pt>
                <c:pt idx="4">
                  <c:v>11.581531009951055</c:v>
                </c:pt>
                <c:pt idx="5">
                  <c:v>4.2581175592852976</c:v>
                </c:pt>
                <c:pt idx="6">
                  <c:v>5.6239147288227915</c:v>
                </c:pt>
                <c:pt idx="7">
                  <c:v>2.8862891882135817</c:v>
                </c:pt>
                <c:pt idx="8">
                  <c:v>1.4812929568977329</c:v>
                </c:pt>
                <c:pt idx="9">
                  <c:v>0.76022487043749987</c:v>
                </c:pt>
                <c:pt idx="10">
                  <c:v>0.39016040070972552</c:v>
                </c:pt>
                <c:pt idx="11">
                  <c:v>0.64659587077527481</c:v>
                </c:pt>
                <c:pt idx="12">
                  <c:v>0.39206562217637708</c:v>
                </c:pt>
                <c:pt idx="13">
                  <c:v>0.23773033364448093</c:v>
                </c:pt>
                <c:pt idx="14">
                  <c:v>0.14414860252473674</c:v>
                </c:pt>
                <c:pt idx="15">
                  <c:v>8.7404999148777876E-2</c:v>
                </c:pt>
                <c:pt idx="16">
                  <c:v>5.2998320777246949E-2</c:v>
                </c:pt>
                <c:pt idx="17">
                  <c:v>3.2135713432441954E-2</c:v>
                </c:pt>
                <c:pt idx="18">
                  <c:v>1.9485599971223785E-2</c:v>
                </c:pt>
                <c:pt idx="19">
                  <c:v>1.1815160321141322E-2</c:v>
                </c:pt>
                <c:pt idx="20">
                  <c:v>7.1641629521508061E-3</c:v>
                </c:pt>
                <c:pt idx="21">
                  <c:v>4.3440147581520292E-3</c:v>
                </c:pt>
                <c:pt idx="22">
                  <c:v>2.6340082358647901E-3</c:v>
                </c:pt>
                <c:pt idx="23">
                  <c:v>1.5971399207573163E-3</c:v>
                </c:pt>
                <c:pt idx="24">
                  <c:v>9.6843126446762853E-4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663-40F3-9B7D-6A52789A0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787551"/>
        <c:axId val="550786591"/>
      </c:scatterChart>
      <c:valAx>
        <c:axId val="550787551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rgbClr val="0070C0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Durasi hujan (jam)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86591"/>
        <c:crosses val="autoZero"/>
        <c:crossBetween val="midCat"/>
        <c:majorUnit val="2"/>
        <c:minorUnit val="1"/>
      </c:valAx>
      <c:valAx>
        <c:axId val="550786591"/>
        <c:scaling>
          <c:orientation val="minMax"/>
          <c:max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ea typeface="Tahoma" panose="020B0604030504040204" pitchFamily="34" charset="0"/>
                    <a:cs typeface="Times New Roman" panose="02020603050405020304" pitchFamily="18" charset="0"/>
                  </a:rPr>
                  <a:t>Debit (m</a:t>
                </a:r>
                <a:r>
                  <a:rPr lang="en-US" baseline="30000">
                    <a:latin typeface="Times New Roman" panose="02020603050405020304" pitchFamily="18" charset="0"/>
                    <a:ea typeface="Tahoma" panose="020B0604030504040204" pitchFamily="34" charset="0"/>
                    <a:cs typeface="Times New Roman" panose="02020603050405020304" pitchFamily="18" charset="0"/>
                  </a:rPr>
                  <a:t>3</a:t>
                </a:r>
                <a:r>
                  <a:rPr lang="en-US">
                    <a:latin typeface="Times New Roman" panose="02020603050405020304" pitchFamily="18" charset="0"/>
                    <a:ea typeface="Tahoma" panose="020B0604030504040204" pitchFamily="34" charset="0"/>
                    <a:cs typeface="Times New Roman" panose="02020603050405020304" pitchFamily="18" charset="0"/>
                  </a:rPr>
                  <a:t>/dtk)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87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>
          <a:alpha val="96000"/>
        </a:srgb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Tr2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Sheet1!$C$3:$C$27</c:f>
              <c:numCache>
                <c:formatCode>General</c:formatCode>
                <c:ptCount val="25"/>
                <c:pt idx="0">
                  <c:v>0</c:v>
                </c:pt>
                <c:pt idx="1">
                  <c:v>36.622733669901443</c:v>
                </c:pt>
                <c:pt idx="2">
                  <c:v>48.51807558285676</c:v>
                </c:pt>
                <c:pt idx="3">
                  <c:v>17.838372958167877</c:v>
                </c:pt>
                <c:pt idx="4">
                  <c:v>6.5585360913846644</c:v>
                </c:pt>
                <c:pt idx="5">
                  <c:v>2.4113407519209691</c:v>
                </c:pt>
                <c:pt idx="6">
                  <c:v>3.1847816745611728</c:v>
                </c:pt>
                <c:pt idx="7">
                  <c:v>1.6344844040746662</c:v>
                </c:pt>
                <c:pt idx="8">
                  <c:v>0.83884534016964529</c:v>
                </c:pt>
                <c:pt idx="9">
                  <c:v>0.43050976991285062</c:v>
                </c:pt>
                <c:pt idx="10">
                  <c:v>0.22094497413901509</c:v>
                </c:pt>
                <c:pt idx="11">
                  <c:v>0.36616250056889987</c:v>
                </c:pt>
                <c:pt idx="12">
                  <c:v>0.22202388708587667</c:v>
                </c:pt>
                <c:pt idx="13">
                  <c:v>0.13462494482677514</c:v>
                </c:pt>
                <c:pt idx="14">
                  <c:v>8.1630296665340787E-2</c:v>
                </c:pt>
                <c:pt idx="15">
                  <c:v>4.9496810136083043E-2</c:v>
                </c:pt>
                <c:pt idx="16">
                  <c:v>3.0012560455236818E-2</c:v>
                </c:pt>
                <c:pt idx="17">
                  <c:v>1.8198218887293401E-2</c:v>
                </c:pt>
                <c:pt idx="18">
                  <c:v>1.1034552388950108E-2</c:v>
                </c:pt>
                <c:pt idx="19">
                  <c:v>6.6908386572656466E-3</c:v>
                </c:pt>
                <c:pt idx="20">
                  <c:v>4.0570129498311066E-3</c:v>
                </c:pt>
                <c:pt idx="21">
                  <c:v>2.4599837058130116E-3</c:v>
                </c:pt>
                <c:pt idx="22">
                  <c:v>1.4916195505655068E-3</c:v>
                </c:pt>
                <c:pt idx="23">
                  <c:v>9.0444862637572556E-4</c:v>
                </c:pt>
                <c:pt idx="24">
                  <c:v>5.4841552421514179E-4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88-4B5C-AD64-D52DA417FB33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Tr5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Sheet1!$C$3:$C$27</c:f>
              <c:numCache>
                <c:formatCode>General</c:formatCode>
                <c:ptCount val="25"/>
                <c:pt idx="0">
                  <c:v>0</c:v>
                </c:pt>
                <c:pt idx="1">
                  <c:v>36.622733669901443</c:v>
                </c:pt>
                <c:pt idx="2">
                  <c:v>48.51807558285676</c:v>
                </c:pt>
                <c:pt idx="3">
                  <c:v>17.838372958167877</c:v>
                </c:pt>
                <c:pt idx="4">
                  <c:v>6.5585360913846644</c:v>
                </c:pt>
                <c:pt idx="5">
                  <c:v>2.4113407519209691</c:v>
                </c:pt>
                <c:pt idx="6">
                  <c:v>3.1847816745611728</c:v>
                </c:pt>
                <c:pt idx="7">
                  <c:v>1.6344844040746662</c:v>
                </c:pt>
                <c:pt idx="8">
                  <c:v>0.83884534016964529</c:v>
                </c:pt>
                <c:pt idx="9">
                  <c:v>0.43050976991285062</c:v>
                </c:pt>
                <c:pt idx="10">
                  <c:v>0.22094497413901509</c:v>
                </c:pt>
                <c:pt idx="11">
                  <c:v>0.36616250056889987</c:v>
                </c:pt>
                <c:pt idx="12">
                  <c:v>0.22202388708587667</c:v>
                </c:pt>
                <c:pt idx="13">
                  <c:v>0.13462494482677514</c:v>
                </c:pt>
                <c:pt idx="14">
                  <c:v>8.1630296665340787E-2</c:v>
                </c:pt>
                <c:pt idx="15">
                  <c:v>4.9496810136083043E-2</c:v>
                </c:pt>
                <c:pt idx="16">
                  <c:v>3.0012560455236818E-2</c:v>
                </c:pt>
                <c:pt idx="17">
                  <c:v>1.8198218887293401E-2</c:v>
                </c:pt>
                <c:pt idx="18">
                  <c:v>1.1034552388950108E-2</c:v>
                </c:pt>
                <c:pt idx="19">
                  <c:v>6.6908386572656466E-3</c:v>
                </c:pt>
                <c:pt idx="20">
                  <c:v>4.0570129498311066E-3</c:v>
                </c:pt>
                <c:pt idx="21">
                  <c:v>2.4599837058130116E-3</c:v>
                </c:pt>
                <c:pt idx="22">
                  <c:v>1.4916195505655068E-3</c:v>
                </c:pt>
                <c:pt idx="23">
                  <c:v>9.0444862637572556E-4</c:v>
                </c:pt>
                <c:pt idx="24">
                  <c:v>5.4841552421514179E-4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88-4B5C-AD64-D52DA417FB33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Tr10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Sheet1!$E$3:$E$27</c:f>
              <c:numCache>
                <c:formatCode>General</c:formatCode>
                <c:ptCount val="25"/>
                <c:pt idx="0">
                  <c:v>0</c:v>
                </c:pt>
                <c:pt idx="1">
                  <c:v>48.362902167361675</c:v>
                </c:pt>
                <c:pt idx="2">
                  <c:v>64.071539932335014</c:v>
                </c:pt>
                <c:pt idx="3">
                  <c:v>23.556829317463258</c:v>
                </c:pt>
                <c:pt idx="4">
                  <c:v>8.6610093666882939</c:v>
                </c:pt>
                <c:pt idx="5">
                  <c:v>3.1843454922965067</c:v>
                </c:pt>
                <c:pt idx="6">
                  <c:v>4.2057287678061739</c:v>
                </c:pt>
                <c:pt idx="7">
                  <c:v>2.1584519069724117</c:v>
                </c:pt>
                <c:pt idx="8">
                  <c:v>1.1077544206786938</c:v>
                </c:pt>
                <c:pt idx="9">
                  <c:v>0.56851850744009758</c:v>
                </c:pt>
                <c:pt idx="10">
                  <c:v>0.29177341770741161</c:v>
                </c:pt>
                <c:pt idx="11">
                  <c:v>0.48354340099205023</c:v>
                </c:pt>
                <c:pt idx="12">
                  <c:v>0.29319819833046629</c:v>
                </c:pt>
                <c:pt idx="13">
                  <c:v>0.17778173236955169</c:v>
                </c:pt>
                <c:pt idx="14">
                  <c:v>0.10779856269340066</c:v>
                </c:pt>
                <c:pt idx="15">
                  <c:v>6.5364027922776902E-2</c:v>
                </c:pt>
                <c:pt idx="16">
                  <c:v>3.9633702338325527E-2</c:v>
                </c:pt>
                <c:pt idx="17">
                  <c:v>2.4032031240467818E-2</c:v>
                </c:pt>
                <c:pt idx="18">
                  <c:v>1.4571904502203073E-2</c:v>
                </c:pt>
                <c:pt idx="19">
                  <c:v>8.8357242339034484E-3</c:v>
                </c:pt>
                <c:pt idx="20">
                  <c:v>5.3575716699066711E-3</c:v>
                </c:pt>
                <c:pt idx="21">
                  <c:v>3.2485819428415886E-3</c:v>
                </c:pt>
                <c:pt idx="22">
                  <c:v>1.9697887941721674E-3</c:v>
                </c:pt>
                <c:pt idx="23">
                  <c:v>1.1943881859579268E-3</c:v>
                </c:pt>
                <c:pt idx="24">
                  <c:v>7.2422136981208714E-4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88-4B5C-AD64-D52DA417FB33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Tr25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Sheet1!$C$3:$C$27</c:f>
              <c:numCache>
                <c:formatCode>General</c:formatCode>
                <c:ptCount val="25"/>
                <c:pt idx="0">
                  <c:v>0</c:v>
                </c:pt>
                <c:pt idx="1">
                  <c:v>36.622733669901443</c:v>
                </c:pt>
                <c:pt idx="2">
                  <c:v>48.51807558285676</c:v>
                </c:pt>
                <c:pt idx="3">
                  <c:v>17.838372958167877</c:v>
                </c:pt>
                <c:pt idx="4">
                  <c:v>6.5585360913846644</c:v>
                </c:pt>
                <c:pt idx="5">
                  <c:v>2.4113407519209691</c:v>
                </c:pt>
                <c:pt idx="6">
                  <c:v>3.1847816745611728</c:v>
                </c:pt>
                <c:pt idx="7">
                  <c:v>1.6344844040746662</c:v>
                </c:pt>
                <c:pt idx="8">
                  <c:v>0.83884534016964529</c:v>
                </c:pt>
                <c:pt idx="9">
                  <c:v>0.43050976991285062</c:v>
                </c:pt>
                <c:pt idx="10">
                  <c:v>0.22094497413901509</c:v>
                </c:pt>
                <c:pt idx="11">
                  <c:v>0.36616250056889987</c:v>
                </c:pt>
                <c:pt idx="12">
                  <c:v>0.22202388708587667</c:v>
                </c:pt>
                <c:pt idx="13">
                  <c:v>0.13462494482677514</c:v>
                </c:pt>
                <c:pt idx="14">
                  <c:v>8.1630296665340787E-2</c:v>
                </c:pt>
                <c:pt idx="15">
                  <c:v>4.9496810136083043E-2</c:v>
                </c:pt>
                <c:pt idx="16">
                  <c:v>3.0012560455236818E-2</c:v>
                </c:pt>
                <c:pt idx="17">
                  <c:v>1.8198218887293401E-2</c:v>
                </c:pt>
                <c:pt idx="18">
                  <c:v>1.1034552388950108E-2</c:v>
                </c:pt>
                <c:pt idx="19">
                  <c:v>6.6908386572656466E-3</c:v>
                </c:pt>
                <c:pt idx="20">
                  <c:v>4.0570129498311066E-3</c:v>
                </c:pt>
                <c:pt idx="21">
                  <c:v>2.4599837058130116E-3</c:v>
                </c:pt>
                <c:pt idx="22">
                  <c:v>1.4916195505655068E-3</c:v>
                </c:pt>
                <c:pt idx="23">
                  <c:v>9.0444862637572556E-4</c:v>
                </c:pt>
                <c:pt idx="24">
                  <c:v>5.4841552421514179E-4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D88-4B5C-AD64-D52DA417FB33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Tr50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Sheet1!$G$3:$G$27</c:f>
              <c:numCache>
                <c:formatCode>General</c:formatCode>
                <c:ptCount val="25"/>
                <c:pt idx="0">
                  <c:v>0</c:v>
                </c:pt>
                <c:pt idx="1">
                  <c:v>55.406514521610035</c:v>
                </c:pt>
                <c:pt idx="2">
                  <c:v>73.402971049958779</c:v>
                </c:pt>
                <c:pt idx="3">
                  <c:v>26.987665073208728</c:v>
                </c:pt>
                <c:pt idx="4">
                  <c:v>9.9224058057265694</c:v>
                </c:pt>
                <c:pt idx="5">
                  <c:v>3.6481161562677746</c:v>
                </c:pt>
                <c:pt idx="6">
                  <c:v>4.8182545216375718</c:v>
                </c:pt>
                <c:pt idx="7">
                  <c:v>2.4728105958986935</c:v>
                </c:pt>
                <c:pt idx="8">
                  <c:v>1.2690886742758938</c:v>
                </c:pt>
                <c:pt idx="9">
                  <c:v>0.65131800464079181</c:v>
                </c:pt>
                <c:pt idx="10">
                  <c:v>0.33426753525423103</c:v>
                </c:pt>
                <c:pt idx="11">
                  <c:v>0.55396705466892548</c:v>
                </c:pt>
                <c:pt idx="12">
                  <c:v>0.33589982208450037</c:v>
                </c:pt>
                <c:pt idx="13">
                  <c:v>0.20367400827442766</c:v>
                </c:pt>
                <c:pt idx="14">
                  <c:v>0.12349843292306339</c:v>
                </c:pt>
                <c:pt idx="15">
                  <c:v>7.4883698041147376E-2</c:v>
                </c:pt>
                <c:pt idx="16">
                  <c:v>4.5405986939211815E-2</c:v>
                </c:pt>
                <c:pt idx="17">
                  <c:v>2.7532075790260728E-2</c:v>
                </c:pt>
                <c:pt idx="18">
                  <c:v>1.6694168509881094E-2</c:v>
                </c:pt>
                <c:pt idx="19">
                  <c:v>1.0122566288114464E-2</c:v>
                </c:pt>
                <c:pt idx="20">
                  <c:v>6.1378527595802521E-3</c:v>
                </c:pt>
                <c:pt idx="21">
                  <c:v>3.7217080556460687E-3</c:v>
                </c:pt>
                <c:pt idx="22">
                  <c:v>2.2566704341092847E-3</c:v>
                </c:pt>
                <c:pt idx="23">
                  <c:v>1.3683398514983589E-3</c:v>
                </c:pt>
                <c:pt idx="24">
                  <c:v>8.2969755835772942E-4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D88-4B5C-AD64-D52DA417FB33}"/>
            </c:ext>
          </c:extLst>
        </c:ser>
        <c:ser>
          <c:idx val="5"/>
          <c:order val="5"/>
          <c:tx>
            <c:strRef>
              <c:f>Sheet1!$H$2</c:f>
              <c:strCache>
                <c:ptCount val="1"/>
                <c:pt idx="0">
                  <c:v>Tr100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Sheet1!$H$3:$H$27</c:f>
              <c:numCache>
                <c:formatCode>General</c:formatCode>
                <c:ptCount val="25"/>
                <c:pt idx="0">
                  <c:v>0</c:v>
                </c:pt>
                <c:pt idx="1">
                  <c:v>57.980129999253393</c:v>
                </c:pt>
                <c:pt idx="2">
                  <c:v>76.81251637202557</c:v>
                </c:pt>
                <c:pt idx="3">
                  <c:v>28.241233776050972</c:v>
                </c:pt>
                <c:pt idx="4">
                  <c:v>10.383298489151301</c:v>
                </c:pt>
                <c:pt idx="5">
                  <c:v>3.8175700243747386</c:v>
                </c:pt>
                <c:pt idx="6">
                  <c:v>5.0420609552163356</c:v>
                </c:pt>
                <c:pt idx="7">
                  <c:v>2.5876718839229236</c:v>
                </c:pt>
                <c:pt idx="8">
                  <c:v>1.3280374510184636</c:v>
                </c:pt>
                <c:pt idx="9">
                  <c:v>0.68157152468413529</c:v>
                </c:pt>
                <c:pt idx="10">
                  <c:v>0.34979415897044502</c:v>
                </c:pt>
                <c:pt idx="11">
                  <c:v>0.57969865316975511</c:v>
                </c:pt>
                <c:pt idx="12">
                  <c:v>0.35150226501956616</c:v>
                </c:pt>
                <c:pt idx="13">
                  <c:v>0.21313460301882878</c:v>
                </c:pt>
                <c:pt idx="14">
                  <c:v>0.12923489696848772</c:v>
                </c:pt>
                <c:pt idx="15">
                  <c:v>7.8362022674376211E-2</c:v>
                </c:pt>
                <c:pt idx="16">
                  <c:v>4.751508100104547E-2</c:v>
                </c:pt>
                <c:pt idx="17">
                  <c:v>2.8810932202674625E-2</c:v>
                </c:pt>
                <c:pt idx="18">
                  <c:v>1.7469607478283612E-2</c:v>
                </c:pt>
                <c:pt idx="19">
                  <c:v>1.0592756364091927E-2</c:v>
                </c:pt>
                <c:pt idx="20">
                  <c:v>6.4229541235252922E-3</c:v>
                </c:pt>
                <c:pt idx="21">
                  <c:v>3.8945802447375682E-3</c:v>
                </c:pt>
                <c:pt idx="22">
                  <c:v>2.3614920784106709E-3</c:v>
                </c:pt>
                <c:pt idx="23">
                  <c:v>1.4318988147520189E-3</c:v>
                </c:pt>
                <c:pt idx="24">
                  <c:v>8.6823675354784607E-4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D88-4B5C-AD64-D52DA417FB33}"/>
            </c:ext>
          </c:extLst>
        </c:ser>
        <c:ser>
          <c:idx val="6"/>
          <c:order val="6"/>
          <c:tx>
            <c:strRef>
              <c:f>Sheet1!$I$2</c:f>
              <c:strCache>
                <c:ptCount val="1"/>
                <c:pt idx="0">
                  <c:v>Tr200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Sheet1!$I$3:$I$27</c:f>
              <c:numCache>
                <c:formatCode>General</c:formatCode>
                <c:ptCount val="25"/>
                <c:pt idx="0">
                  <c:v>0</c:v>
                </c:pt>
                <c:pt idx="1">
                  <c:v>60.198656172038902</c:v>
                </c:pt>
                <c:pt idx="2">
                  <c:v>79.751636687399966</c:v>
                </c:pt>
                <c:pt idx="3">
                  <c:v>29.32184391412293</c:v>
                </c:pt>
                <c:pt idx="4">
                  <c:v>10.780600452053472</c:v>
                </c:pt>
                <c:pt idx="5">
                  <c:v>3.9636438433817998</c:v>
                </c:pt>
                <c:pt idx="6">
                  <c:v>5.234988156208666</c:v>
                </c:pt>
                <c:pt idx="7">
                  <c:v>2.6866854218563176</c:v>
                </c:pt>
                <c:pt idx="8">
                  <c:v>1.378852891473008</c:v>
                </c:pt>
                <c:pt idx="9">
                  <c:v>0.70765087749270172</c:v>
                </c:pt>
                <c:pt idx="10">
                  <c:v>0.36317852869802958</c:v>
                </c:pt>
                <c:pt idx="11">
                  <c:v>0.60187998726476599</c:v>
                </c:pt>
                <c:pt idx="12">
                  <c:v>0.3649519929651458</c:v>
                </c:pt>
                <c:pt idx="13">
                  <c:v>0.22128989165184171</c:v>
                </c:pt>
                <c:pt idx="14">
                  <c:v>0.13417988417989138</c:v>
                </c:pt>
                <c:pt idx="15">
                  <c:v>8.1360432616847084E-2</c:v>
                </c:pt>
                <c:pt idx="16">
                  <c:v>4.9333177145434934E-2</c:v>
                </c:pt>
                <c:pt idx="17">
                  <c:v>2.9913341030574903E-2</c:v>
                </c:pt>
                <c:pt idx="18">
                  <c:v>1.8138056849117387E-2</c:v>
                </c:pt>
                <c:pt idx="19">
                  <c:v>1.0998072930922337E-2</c:v>
                </c:pt>
                <c:pt idx="20">
                  <c:v>6.6687192128727117E-3</c:v>
                </c:pt>
                <c:pt idx="21">
                  <c:v>4.0436007489184824E-3</c:v>
                </c:pt>
                <c:pt idx="22">
                  <c:v>2.4518511718250387E-3</c:v>
                </c:pt>
                <c:pt idx="23">
                  <c:v>1.4866883607111054E-3</c:v>
                </c:pt>
                <c:pt idx="24">
                  <c:v>9.0145858250795729E-4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D88-4B5C-AD64-D52DA417FB33}"/>
            </c:ext>
          </c:extLst>
        </c:ser>
        <c:ser>
          <c:idx val="7"/>
          <c:order val="7"/>
          <c:tx>
            <c:strRef>
              <c:f>Sheet1!$J$2</c:f>
              <c:strCache>
                <c:ptCount val="1"/>
                <c:pt idx="0">
                  <c:v>Tr1000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Sheet1!$J$3:$J$27</c:f>
              <c:numCache>
                <c:formatCode>General</c:formatCode>
                <c:ptCount val="25"/>
                <c:pt idx="0">
                  <c:v>0</c:v>
                </c:pt>
                <c:pt idx="1">
                  <c:v>64.671036304016809</c:v>
                </c:pt>
                <c:pt idx="2">
                  <c:v>85.676679837767153</c:v>
                </c:pt>
                <c:pt idx="3">
                  <c:v>31.500271814235962</c:v>
                </c:pt>
                <c:pt idx="4">
                  <c:v>11.581531009951055</c:v>
                </c:pt>
                <c:pt idx="5">
                  <c:v>4.2581175592852976</c:v>
                </c:pt>
                <c:pt idx="6">
                  <c:v>5.6239147288227915</c:v>
                </c:pt>
                <c:pt idx="7">
                  <c:v>2.8862891882135817</c:v>
                </c:pt>
                <c:pt idx="8">
                  <c:v>1.4812929568977329</c:v>
                </c:pt>
                <c:pt idx="9">
                  <c:v>0.76022487043749987</c:v>
                </c:pt>
                <c:pt idx="10">
                  <c:v>0.39016040070972552</c:v>
                </c:pt>
                <c:pt idx="11">
                  <c:v>0.64659587077527481</c:v>
                </c:pt>
                <c:pt idx="12">
                  <c:v>0.39206562217637708</c:v>
                </c:pt>
                <c:pt idx="13">
                  <c:v>0.23773033364448093</c:v>
                </c:pt>
                <c:pt idx="14">
                  <c:v>0.14414860252473674</c:v>
                </c:pt>
                <c:pt idx="15">
                  <c:v>8.7404999148777876E-2</c:v>
                </c:pt>
                <c:pt idx="16">
                  <c:v>5.2998320777246949E-2</c:v>
                </c:pt>
                <c:pt idx="17">
                  <c:v>3.2135713432441954E-2</c:v>
                </c:pt>
                <c:pt idx="18">
                  <c:v>1.9485599971223785E-2</c:v>
                </c:pt>
                <c:pt idx="19">
                  <c:v>1.1815160321141322E-2</c:v>
                </c:pt>
                <c:pt idx="20">
                  <c:v>7.1641629521508061E-3</c:v>
                </c:pt>
                <c:pt idx="21">
                  <c:v>4.3440147581520292E-3</c:v>
                </c:pt>
                <c:pt idx="22">
                  <c:v>2.6340082358647901E-3</c:v>
                </c:pt>
                <c:pt idx="23">
                  <c:v>1.5971399207573163E-3</c:v>
                </c:pt>
                <c:pt idx="24">
                  <c:v>9.6843126446762853E-4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D88-4B5C-AD64-D52DA417F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787551"/>
        <c:axId val="550786591"/>
      </c:scatterChart>
      <c:valAx>
        <c:axId val="550787551"/>
        <c:scaling>
          <c:orientation val="minMax"/>
          <c:max val="24"/>
          <c:min val="10"/>
        </c:scaling>
        <c:delete val="0"/>
        <c:axPos val="b"/>
        <c:majorGridlines>
          <c:spPr>
            <a:ln w="9525" cap="flat" cmpd="sng" algn="ctr">
              <a:solidFill>
                <a:srgbClr val="0070C0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86591"/>
        <c:crosses val="autoZero"/>
        <c:crossBetween val="midCat"/>
        <c:majorUnit val="2"/>
        <c:minorUnit val="1"/>
      </c:valAx>
      <c:valAx>
        <c:axId val="550786591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8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>
          <a:alpha val="96000"/>
        </a:srgb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Distribusi Debit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Banjir Metode Nakayasu Tiap Kala Ulang Sungai Tuntang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Tr2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Sheet1!$M$3:$M$27</c:f>
              <c:numCache>
                <c:formatCode>General</c:formatCode>
                <c:ptCount val="25"/>
                <c:pt idx="0">
                  <c:v>0</c:v>
                </c:pt>
                <c:pt idx="1">
                  <c:v>18.36697041015951</c:v>
                </c:pt>
                <c:pt idx="2">
                  <c:v>37.042100454436763</c:v>
                </c:pt>
                <c:pt idx="3">
                  <c:v>10.66948839298146</c:v>
                </c:pt>
                <c:pt idx="4">
                  <c:v>3.0732053844514398</c:v>
                </c:pt>
                <c:pt idx="5">
                  <c:v>0.88519627063225415</c:v>
                </c:pt>
                <c:pt idx="6">
                  <c:v>1.4923281741821277</c:v>
                </c:pt>
                <c:pt idx="7">
                  <c:v>0.6508731131406934</c:v>
                </c:pt>
                <c:pt idx="8">
                  <c:v>0.28387576991343255</c:v>
                </c:pt>
                <c:pt idx="9">
                  <c:v>0.12381130994194953</c:v>
                </c:pt>
                <c:pt idx="10">
                  <c:v>5.3999819971306907E-2</c:v>
                </c:pt>
                <c:pt idx="11">
                  <c:v>0.1189742603592996</c:v>
                </c:pt>
                <c:pt idx="12">
                  <c:v>6.3852368098569728E-2</c:v>
                </c:pt>
                <c:pt idx="13">
                  <c:v>3.426896624095345E-2</c:v>
                </c:pt>
                <c:pt idx="14">
                  <c:v>1.8391832318743948E-2</c:v>
                </c:pt>
                <c:pt idx="15">
                  <c:v>9.8707236647411038E-3</c:v>
                </c:pt>
                <c:pt idx="16">
                  <c:v>5.2975246825398611E-3</c:v>
                </c:pt>
                <c:pt idx="17">
                  <c:v>2.8431317414309445E-3</c:v>
                </c:pt>
                <c:pt idx="18">
                  <c:v>1.5258821022154495E-3</c:v>
                </c:pt>
                <c:pt idx="19">
                  <c:v>8.1892659278940078E-4</c:v>
                </c:pt>
                <c:pt idx="20">
                  <c:v>4.3951021078492613E-4</c:v>
                </c:pt>
                <c:pt idx="21">
                  <c:v>2.3588100213749666E-4</c:v>
                </c:pt>
                <c:pt idx="22">
                  <c:v>1.2659511839331809E-4</c:v>
                </c:pt>
                <c:pt idx="23">
                  <c:v>6.7942411028406211E-5</c:v>
                </c:pt>
                <c:pt idx="24">
                  <c:v>3.6464053866681801E-5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82-43D8-A0DA-43977FDE6EC9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Tr5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Sheet1!$N$3:$N$27</c:f>
              <c:numCache>
                <c:formatCode>General</c:formatCode>
                <c:ptCount val="25"/>
                <c:pt idx="0">
                  <c:v>0</c:v>
                </c:pt>
                <c:pt idx="1">
                  <c:v>22.203849278661796</c:v>
                </c:pt>
                <c:pt idx="2">
                  <c:v>44.780233053591594</c:v>
                </c:pt>
                <c:pt idx="3">
                  <c:v>12.89835541016339</c:v>
                </c:pt>
                <c:pt idx="4">
                  <c:v>3.7152011265280325</c:v>
                </c:pt>
                <c:pt idx="5">
                  <c:v>1.0701146752150397</c:v>
                </c:pt>
                <c:pt idx="6">
                  <c:v>1.8040770532037211</c:v>
                </c:pt>
                <c:pt idx="7">
                  <c:v>0.78684117091599526</c:v>
                </c:pt>
                <c:pt idx="8">
                  <c:v>0.34317770804135528</c:v>
                </c:pt>
                <c:pt idx="9">
                  <c:v>0.14967561898091247</c:v>
                </c:pt>
                <c:pt idx="10">
                  <c:v>6.52804374887299E-2</c:v>
                </c:pt>
                <c:pt idx="11">
                  <c:v>0.14382810480257169</c:v>
                </c:pt>
                <c:pt idx="12">
                  <c:v>7.7191192977697096E-2</c:v>
                </c:pt>
                <c:pt idx="13">
                  <c:v>4.1427788271972917E-2</c:v>
                </c:pt>
                <c:pt idx="14">
                  <c:v>2.2233904865329664E-2</c:v>
                </c:pt>
                <c:pt idx="15">
                  <c:v>1.1932727914779076E-2</c:v>
                </c:pt>
                <c:pt idx="16">
                  <c:v>6.4041829966711558E-3</c:v>
                </c:pt>
                <c:pt idx="17">
                  <c:v>3.4370648646111523E-3</c:v>
                </c:pt>
                <c:pt idx="18">
                  <c:v>1.8446404310565455E-3</c:v>
                </c:pt>
                <c:pt idx="19">
                  <c:v>9.9000119401978126E-4</c:v>
                </c:pt>
                <c:pt idx="20">
                  <c:v>5.3132434248946052E-4</c:v>
                </c:pt>
                <c:pt idx="21">
                  <c:v>2.8515678428183366E-4</c:v>
                </c:pt>
                <c:pt idx="22">
                  <c:v>1.530409678596073E-4</c:v>
                </c:pt>
                <c:pt idx="23">
                  <c:v>8.2135650050874076E-5</c:v>
                </c:pt>
                <c:pt idx="24">
                  <c:v>4.4081431943558964E-5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82-43D8-A0DA-43977FDE6EC9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Tr10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Sheet1!$O$3:$O$27</c:f>
              <c:numCache>
                <c:formatCode>General</c:formatCode>
                <c:ptCount val="25"/>
                <c:pt idx="0">
                  <c:v>0</c:v>
                </c:pt>
                <c:pt idx="1">
                  <c:v>24.254879525484679</c:v>
                </c:pt>
                <c:pt idx="2">
                  <c:v>48.916705576892269</c:v>
                </c:pt>
                <c:pt idx="3">
                  <c:v>14.089811753993839</c:v>
                </c:pt>
                <c:pt idx="4">
                  <c:v>4.0583844092060666</c:v>
                </c:pt>
                <c:pt idx="5">
                  <c:v>1.1689640926691729</c:v>
                </c:pt>
                <c:pt idx="6">
                  <c:v>1.9707245816246557</c:v>
                </c:pt>
                <c:pt idx="7">
                  <c:v>0.85952384051712416</c:v>
                </c:pt>
                <c:pt idx="8">
                  <c:v>0.37487797092796199</c:v>
                </c:pt>
                <c:pt idx="9">
                  <c:v>0.16350156500896487</c:v>
                </c:pt>
                <c:pt idx="10">
                  <c:v>7.1310569928148312E-2</c:v>
                </c:pt>
                <c:pt idx="11">
                  <c:v>0.15711389996317845</c:v>
                </c:pt>
                <c:pt idx="12">
                  <c:v>8.4321554456855033E-2</c:v>
                </c:pt>
                <c:pt idx="13">
                  <c:v>4.5254586307683226E-2</c:v>
                </c:pt>
                <c:pt idx="14">
                  <c:v>2.4287711428842871E-2</c:v>
                </c:pt>
                <c:pt idx="15">
                  <c:v>1.3034986607547266E-2</c:v>
                </c:pt>
                <c:pt idx="16">
                  <c:v>6.995754884388139E-3</c:v>
                </c:pt>
                <c:pt idx="17">
                  <c:v>3.7545559405564553E-3</c:v>
                </c:pt>
                <c:pt idx="18">
                  <c:v>2.0150349095601123E-3</c:v>
                </c:pt>
                <c:pt idx="19">
                  <c:v>1.0814503102447189E-3</c:v>
                </c:pt>
                <c:pt idx="20">
                  <c:v>5.8040422425421553E-4</c:v>
                </c:pt>
                <c:pt idx="21">
                  <c:v>3.1149749585434705E-4</c:v>
                </c:pt>
                <c:pt idx="22">
                  <c:v>1.6717778036196734E-4</c:v>
                </c:pt>
                <c:pt idx="23">
                  <c:v>8.9722744544381436E-5</c:v>
                </c:pt>
                <c:pt idx="24">
                  <c:v>4.8153354298318925E-5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82-43D8-A0DA-43977FDE6EC9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Tr25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Sheet1!$P$3:$P$27</c:f>
              <c:numCache>
                <c:formatCode>General</c:formatCode>
                <c:ptCount val="25"/>
                <c:pt idx="0">
                  <c:v>0</c:v>
                </c:pt>
                <c:pt idx="1">
                  <c:v>26.436910557200804</c:v>
                </c:pt>
                <c:pt idx="2">
                  <c:v>53.317377591195651</c:v>
                </c:pt>
                <c:pt idx="3">
                  <c:v>15.357367276005395</c:v>
                </c:pt>
                <c:pt idx="4">
                  <c:v>4.4234870562926458</c:v>
                </c:pt>
                <c:pt idx="5">
                  <c:v>1.2741270938906786</c:v>
                </c:pt>
                <c:pt idx="6">
                  <c:v>2.1480160081828688</c:v>
                </c:pt>
                <c:pt idx="7">
                  <c:v>0.93684880477998866</c:v>
                </c:pt>
                <c:pt idx="8">
                  <c:v>0.40860295252649437</c:v>
                </c:pt>
                <c:pt idx="9">
                  <c:v>0.1782105842068899</c:v>
                </c:pt>
                <c:pt idx="10">
                  <c:v>7.7725851286651507E-2</c:v>
                </c:pt>
                <c:pt idx="11">
                  <c:v>0.17124826846718974</c:v>
                </c:pt>
                <c:pt idx="12">
                  <c:v>9.1907337279403284E-2</c:v>
                </c:pt>
                <c:pt idx="13">
                  <c:v>4.9325804700958965E-2</c:v>
                </c:pt>
                <c:pt idx="14">
                  <c:v>2.6472696102603794E-2</c:v>
                </c:pt>
                <c:pt idx="15">
                  <c:v>1.4207647360027498E-2</c:v>
                </c:pt>
                <c:pt idx="16">
                  <c:v>7.6251108963186721E-3</c:v>
                </c:pt>
                <c:pt idx="17">
                  <c:v>4.0923254010891436E-3</c:v>
                </c:pt>
                <c:pt idx="18">
                  <c:v>2.196312606612026E-3</c:v>
                </c:pt>
                <c:pt idx="19">
                  <c:v>1.1787403476466198E-3</c:v>
                </c:pt>
                <c:pt idx="20">
                  <c:v>6.3261887355524186E-4</c:v>
                </c:pt>
                <c:pt idx="21">
                  <c:v>3.3952060772104948E-4</c:v>
                </c:pt>
                <c:pt idx="22">
                  <c:v>1.8221752130069072E-4</c:v>
                </c:pt>
                <c:pt idx="23">
                  <c:v>9.779443224915336E-5</c:v>
                </c:pt>
                <c:pt idx="24">
                  <c:v>5.2485353278142901E-5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382-43D8-A0DA-43977FDE6EC9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Tr50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Sheet1!$Q$3:$Q$27</c:f>
              <c:numCache>
                <c:formatCode>General</c:formatCode>
                <c:ptCount val="25"/>
                <c:pt idx="0">
                  <c:v>0</c:v>
                </c:pt>
                <c:pt idx="1">
                  <c:v>27.787379880515168</c:v>
                </c:pt>
                <c:pt idx="2">
                  <c:v>56.040974309529517</c:v>
                </c:pt>
                <c:pt idx="3">
                  <c:v>16.141863382244562</c:v>
                </c:pt>
                <c:pt idx="4">
                  <c:v>4.6494508109710173</c:v>
                </c:pt>
                <c:pt idx="5">
                  <c:v>1.3392129726124025</c:v>
                </c:pt>
                <c:pt idx="6">
                  <c:v>2.2577425104064432</c:v>
                </c:pt>
                <c:pt idx="7">
                  <c:v>0.98470559079519449</c:v>
                </c:pt>
                <c:pt idx="8">
                  <c:v>0.42947550310719762</c:v>
                </c:pt>
                <c:pt idx="9">
                  <c:v>0.18731406574043025</c:v>
                </c:pt>
                <c:pt idx="10">
                  <c:v>8.1696299254238477E-2</c:v>
                </c:pt>
                <c:pt idx="11">
                  <c:v>0.17999609596901744</c:v>
                </c:pt>
                <c:pt idx="12">
                  <c:v>9.6602214137831571E-2</c:v>
                </c:pt>
                <c:pt idx="13">
                  <c:v>5.184550101540962E-2</c:v>
                </c:pt>
                <c:pt idx="14">
                  <c:v>2.7824993448946039E-2</c:v>
                </c:pt>
                <c:pt idx="15">
                  <c:v>1.4933412644691568E-2</c:v>
                </c:pt>
                <c:pt idx="16">
                  <c:v>8.0146223080272399E-3</c:v>
                </c:pt>
                <c:pt idx="17">
                  <c:v>4.3013725173636939E-3</c:v>
                </c:pt>
                <c:pt idx="18">
                  <c:v>2.308506230493325E-3</c:v>
                </c:pt>
                <c:pt idx="19">
                  <c:v>1.2389536118328952E-3</c:v>
                </c:pt>
                <c:pt idx="20">
                  <c:v>6.6493476690584888E-4</c:v>
                </c:pt>
                <c:pt idx="21">
                  <c:v>3.5686424416329779E-4</c:v>
                </c:pt>
                <c:pt idx="22">
                  <c:v>1.915256880834367E-4</c:v>
                </c:pt>
                <c:pt idx="23">
                  <c:v>1.0279003793680259E-4</c:v>
                </c:pt>
                <c:pt idx="24">
                  <c:v>5.5166447930715401E-5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382-43D8-A0DA-43977FDE6EC9}"/>
            </c:ext>
          </c:extLst>
        </c:ser>
        <c:ser>
          <c:idx val="5"/>
          <c:order val="5"/>
          <c:tx>
            <c:strRef>
              <c:f>Sheet1!$H$2</c:f>
              <c:strCache>
                <c:ptCount val="1"/>
                <c:pt idx="0">
                  <c:v>Tr100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Sheet1!$R$3:$R$27</c:f>
              <c:numCache>
                <c:formatCode>General</c:formatCode>
                <c:ptCount val="25"/>
                <c:pt idx="0">
                  <c:v>0</c:v>
                </c:pt>
                <c:pt idx="1">
                  <c:v>29.078095089026561</c:v>
                </c:pt>
                <c:pt idx="2">
                  <c:v>58.64406024825908</c:v>
                </c:pt>
                <c:pt idx="3">
                  <c:v>16.89164794814333</c:v>
                </c:pt>
                <c:pt idx="4">
                  <c:v>4.8654163643535426</c:v>
                </c:pt>
                <c:pt idx="5">
                  <c:v>1.4014190013426844</c:v>
                </c:pt>
                <c:pt idx="6">
                  <c:v>2.3626139523205363</c:v>
                </c:pt>
                <c:pt idx="7">
                  <c:v>1.0304448611909895</c:v>
                </c:pt>
                <c:pt idx="8">
                  <c:v>0.44942450750873342</c:v>
                </c:pt>
                <c:pt idx="9">
                  <c:v>0.19601474620972517</c:v>
                </c:pt>
                <c:pt idx="10">
                  <c:v>8.5491067108565175E-2</c:v>
                </c:pt>
                <c:pt idx="11">
                  <c:v>0.18835685900385096</c:v>
                </c:pt>
                <c:pt idx="12">
                  <c:v>0.10108935713223116</c:v>
                </c:pt>
                <c:pt idx="13">
                  <c:v>5.4253708516124925E-2</c:v>
                </c:pt>
                <c:pt idx="14">
                  <c:v>2.9117455796087596E-2</c:v>
                </c:pt>
                <c:pt idx="15">
                  <c:v>1.5627065047270031E-2</c:v>
                </c:pt>
                <c:pt idx="16">
                  <c:v>8.3868990375327527E-3</c:v>
                </c:pt>
                <c:pt idx="17">
                  <c:v>4.5011699415723454E-3</c:v>
                </c:pt>
                <c:pt idx="18">
                  <c:v>2.4157356315182986E-3</c:v>
                </c:pt>
                <c:pt idx="19">
                  <c:v>1.2965026242374139E-3</c:v>
                </c:pt>
                <c:pt idx="20">
                  <c:v>6.9582078134851203E-4</c:v>
                </c:pt>
                <c:pt idx="21">
                  <c:v>3.7344047802543597E-4</c:v>
                </c:pt>
                <c:pt idx="22">
                  <c:v>2.0042199710907624E-4</c:v>
                </c:pt>
                <c:pt idx="23">
                  <c:v>1.0756460343448472E-4</c:v>
                </c:pt>
                <c:pt idx="24">
                  <c:v>5.7728912389397805E-5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382-43D8-A0DA-43977FDE6EC9}"/>
            </c:ext>
          </c:extLst>
        </c:ser>
        <c:ser>
          <c:idx val="6"/>
          <c:order val="6"/>
          <c:tx>
            <c:strRef>
              <c:f>Sheet1!$I$2</c:f>
              <c:strCache>
                <c:ptCount val="1"/>
                <c:pt idx="0">
                  <c:v>Tr200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Sheet1!$S$3:$S$27</c:f>
              <c:numCache>
                <c:formatCode>General</c:formatCode>
                <c:ptCount val="25"/>
                <c:pt idx="0">
                  <c:v>0</c:v>
                </c:pt>
                <c:pt idx="1">
                  <c:v>30.19072652001131</c:v>
                </c:pt>
                <c:pt idx="2">
                  <c:v>60.887990755845884</c:v>
                </c:pt>
                <c:pt idx="3">
                  <c:v>17.537982529920175</c:v>
                </c:pt>
                <c:pt idx="4">
                  <c:v>5.0515845144759419</c:v>
                </c:pt>
                <c:pt idx="5">
                  <c:v>1.455042281137982</c:v>
                </c:pt>
                <c:pt idx="6">
                  <c:v>2.4530159726243683</c:v>
                </c:pt>
                <c:pt idx="7">
                  <c:v>1.0698733497817183</c:v>
                </c:pt>
                <c:pt idx="8">
                  <c:v>0.46662108903782279</c:v>
                </c:pt>
                <c:pt idx="9">
                  <c:v>0.20351496817755768</c:v>
                </c:pt>
                <c:pt idx="10">
                  <c:v>8.8762259669226171E-2</c:v>
                </c:pt>
                <c:pt idx="11">
                  <c:v>0.19556406294646189</c:v>
                </c:pt>
                <c:pt idx="12">
                  <c:v>0.10495739579635288</c:v>
                </c:pt>
                <c:pt idx="13">
                  <c:v>5.6329648537564156E-2</c:v>
                </c:pt>
                <c:pt idx="14">
                  <c:v>3.0231593307841656E-2</c:v>
                </c:pt>
                <c:pt idx="15">
                  <c:v>1.6225012185567867E-2</c:v>
                </c:pt>
                <c:pt idx="16">
                  <c:v>8.7078116505868372E-3</c:v>
                </c:pt>
                <c:pt idx="17">
                  <c:v>4.6734007269062577E-3</c:v>
                </c:pt>
                <c:pt idx="18">
                  <c:v>2.5081702763720252E-3</c:v>
                </c:pt>
                <c:pt idx="19">
                  <c:v>1.3461114299609064E-3</c:v>
                </c:pt>
                <c:pt idx="20">
                  <c:v>7.2244536144189264E-4</c:v>
                </c:pt>
                <c:pt idx="21">
                  <c:v>3.8772964009678061E-4</c:v>
                </c:pt>
                <c:pt idx="22">
                  <c:v>2.0809085618535208E-4</c:v>
                </c:pt>
                <c:pt idx="23">
                  <c:v>1.1168040807286291E-4</c:v>
                </c:pt>
                <c:pt idx="24">
                  <c:v>5.9937826082139941E-5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382-43D8-A0DA-43977FDE6EC9}"/>
            </c:ext>
          </c:extLst>
        </c:ser>
        <c:ser>
          <c:idx val="7"/>
          <c:order val="7"/>
          <c:tx>
            <c:strRef>
              <c:f>Sheet1!$J$2</c:f>
              <c:strCache>
                <c:ptCount val="1"/>
                <c:pt idx="0">
                  <c:v>Tr1000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Sheet1!$T$3:$T$27</c:f>
              <c:numCache>
                <c:formatCode>General</c:formatCode>
                <c:ptCount val="25"/>
                <c:pt idx="0">
                  <c:v>0</c:v>
                </c:pt>
                <c:pt idx="1">
                  <c:v>32.433706912666544</c:v>
                </c:pt>
                <c:pt idx="2">
                  <c:v>65.411584095774714</c:v>
                </c:pt>
                <c:pt idx="3">
                  <c:v>18.840943918254673</c:v>
                </c:pt>
                <c:pt idx="4">
                  <c:v>5.4268853542983999</c:v>
                </c:pt>
                <c:pt idx="5">
                  <c:v>1.5631427372470326</c:v>
                </c:pt>
                <c:pt idx="6">
                  <c:v>2.635259574010365</c:v>
                </c:pt>
                <c:pt idx="7">
                  <c:v>1.1493581857824078</c:v>
                </c:pt>
                <c:pt idx="8">
                  <c:v>0.50128809027138166</c:v>
                </c:pt>
                <c:pt idx="9">
                  <c:v>0.21863484556545512</c:v>
                </c:pt>
                <c:pt idx="10">
                  <c:v>9.5356735224952943E-2</c:v>
                </c:pt>
                <c:pt idx="11">
                  <c:v>0.21009323826810117</c:v>
                </c:pt>
                <c:pt idx="12">
                  <c:v>0.11275506772979686</c:v>
                </c:pt>
                <c:pt idx="13">
                  <c:v>6.0514585826541636E-2</c:v>
                </c:pt>
                <c:pt idx="14">
                  <c:v>3.2477609844849153E-2</c:v>
                </c:pt>
                <c:pt idx="15">
                  <c:v>1.7430428165825875E-2</c:v>
                </c:pt>
                <c:pt idx="16">
                  <c:v>9.3547470856203425E-3</c:v>
                </c:pt>
                <c:pt idx="17">
                  <c:v>5.0206048987079333E-3</c:v>
                </c:pt>
                <c:pt idx="18">
                  <c:v>2.6945114943488164E-3</c:v>
                </c:pt>
                <c:pt idx="19">
                  <c:v>1.4461190114853234E-3</c:v>
                </c:pt>
                <c:pt idx="20">
                  <c:v>7.7611849114961329E-4</c:v>
                </c:pt>
                <c:pt idx="21">
                  <c:v>4.165355046993401E-4</c:v>
                </c:pt>
                <c:pt idx="22">
                  <c:v>2.2355069316559877E-4</c:v>
                </c:pt>
                <c:pt idx="23">
                  <c:v>1.1997755737747239E-4</c:v>
                </c:pt>
                <c:pt idx="24">
                  <c:v>6.4390828185004501E-5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382-43D8-A0DA-43977FDE6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787551"/>
        <c:axId val="550786591"/>
      </c:scatterChart>
      <c:valAx>
        <c:axId val="550787551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rgbClr val="0070C0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Durasi hujan (jam)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86591"/>
        <c:crosses val="autoZero"/>
        <c:crossBetween val="midCat"/>
        <c:majorUnit val="2"/>
        <c:minorUnit val="1"/>
      </c:valAx>
      <c:valAx>
        <c:axId val="550786591"/>
        <c:scaling>
          <c:orientation val="minMax"/>
          <c:max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ea typeface="Tahoma" panose="020B0604030504040204" pitchFamily="34" charset="0"/>
                    <a:cs typeface="Times New Roman" panose="02020603050405020304" pitchFamily="18" charset="0"/>
                  </a:rPr>
                  <a:t>Debit (m</a:t>
                </a:r>
                <a:r>
                  <a:rPr lang="en-US" baseline="30000">
                    <a:latin typeface="Times New Roman" panose="02020603050405020304" pitchFamily="18" charset="0"/>
                    <a:ea typeface="Tahoma" panose="020B0604030504040204" pitchFamily="34" charset="0"/>
                    <a:cs typeface="Times New Roman" panose="02020603050405020304" pitchFamily="18" charset="0"/>
                  </a:rPr>
                  <a:t>3</a:t>
                </a:r>
                <a:r>
                  <a:rPr lang="en-US">
                    <a:latin typeface="Times New Roman" panose="02020603050405020304" pitchFamily="18" charset="0"/>
                    <a:ea typeface="Tahoma" panose="020B0604030504040204" pitchFamily="34" charset="0"/>
                    <a:cs typeface="Times New Roman" panose="02020603050405020304" pitchFamily="18" charset="0"/>
                  </a:rPr>
                  <a:t>/dtk)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87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>
          <a:alpha val="96000"/>
        </a:srgb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238017536908934E-2"/>
          <c:y val="5.3208147549963815E-2"/>
          <c:w val="0.8841938306643905"/>
          <c:h val="0.7924997460044137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Tr2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Sheet1!$M$3:$M$27</c:f>
              <c:numCache>
                <c:formatCode>General</c:formatCode>
                <c:ptCount val="25"/>
                <c:pt idx="0">
                  <c:v>0</c:v>
                </c:pt>
                <c:pt idx="1">
                  <c:v>18.36697041015951</c:v>
                </c:pt>
                <c:pt idx="2">
                  <c:v>37.042100454436763</c:v>
                </c:pt>
                <c:pt idx="3">
                  <c:v>10.66948839298146</c:v>
                </c:pt>
                <c:pt idx="4">
                  <c:v>3.0732053844514398</c:v>
                </c:pt>
                <c:pt idx="5">
                  <c:v>0.88519627063225415</c:v>
                </c:pt>
                <c:pt idx="6">
                  <c:v>1.4923281741821277</c:v>
                </c:pt>
                <c:pt idx="7">
                  <c:v>0.6508731131406934</c:v>
                </c:pt>
                <c:pt idx="8">
                  <c:v>0.28387576991343255</c:v>
                </c:pt>
                <c:pt idx="9">
                  <c:v>0.12381130994194953</c:v>
                </c:pt>
                <c:pt idx="10">
                  <c:v>5.3999819971306907E-2</c:v>
                </c:pt>
                <c:pt idx="11">
                  <c:v>0.1189742603592996</c:v>
                </c:pt>
                <c:pt idx="12">
                  <c:v>6.3852368098569728E-2</c:v>
                </c:pt>
                <c:pt idx="13">
                  <c:v>3.426896624095345E-2</c:v>
                </c:pt>
                <c:pt idx="14">
                  <c:v>1.8391832318743948E-2</c:v>
                </c:pt>
                <c:pt idx="15">
                  <c:v>9.8707236647411038E-3</c:v>
                </c:pt>
                <c:pt idx="16">
                  <c:v>5.2975246825398611E-3</c:v>
                </c:pt>
                <c:pt idx="17">
                  <c:v>2.8431317414309445E-3</c:v>
                </c:pt>
                <c:pt idx="18">
                  <c:v>1.5258821022154495E-3</c:v>
                </c:pt>
                <c:pt idx="19">
                  <c:v>8.1892659278940078E-4</c:v>
                </c:pt>
                <c:pt idx="20">
                  <c:v>4.3951021078492613E-4</c:v>
                </c:pt>
                <c:pt idx="21">
                  <c:v>2.3588100213749666E-4</c:v>
                </c:pt>
                <c:pt idx="22">
                  <c:v>1.2659511839331809E-4</c:v>
                </c:pt>
                <c:pt idx="23">
                  <c:v>6.7942411028406211E-5</c:v>
                </c:pt>
                <c:pt idx="24">
                  <c:v>3.6464053866681801E-5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DB-42E1-BAFA-94E476BB8E12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Tr5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Sheet1!$N$3:$N$27</c:f>
              <c:numCache>
                <c:formatCode>General</c:formatCode>
                <c:ptCount val="25"/>
                <c:pt idx="0">
                  <c:v>0</c:v>
                </c:pt>
                <c:pt idx="1">
                  <c:v>22.203849278661796</c:v>
                </c:pt>
                <c:pt idx="2">
                  <c:v>44.780233053591594</c:v>
                </c:pt>
                <c:pt idx="3">
                  <c:v>12.89835541016339</c:v>
                </c:pt>
                <c:pt idx="4">
                  <c:v>3.7152011265280325</c:v>
                </c:pt>
                <c:pt idx="5">
                  <c:v>1.0701146752150397</c:v>
                </c:pt>
                <c:pt idx="6">
                  <c:v>1.8040770532037211</c:v>
                </c:pt>
                <c:pt idx="7">
                  <c:v>0.78684117091599526</c:v>
                </c:pt>
                <c:pt idx="8">
                  <c:v>0.34317770804135528</c:v>
                </c:pt>
                <c:pt idx="9">
                  <c:v>0.14967561898091247</c:v>
                </c:pt>
                <c:pt idx="10">
                  <c:v>6.52804374887299E-2</c:v>
                </c:pt>
                <c:pt idx="11">
                  <c:v>0.14382810480257169</c:v>
                </c:pt>
                <c:pt idx="12">
                  <c:v>7.7191192977697096E-2</c:v>
                </c:pt>
                <c:pt idx="13">
                  <c:v>4.1427788271972917E-2</c:v>
                </c:pt>
                <c:pt idx="14">
                  <c:v>2.2233904865329664E-2</c:v>
                </c:pt>
                <c:pt idx="15">
                  <c:v>1.1932727914779076E-2</c:v>
                </c:pt>
                <c:pt idx="16">
                  <c:v>6.4041829966711558E-3</c:v>
                </c:pt>
                <c:pt idx="17">
                  <c:v>3.4370648646111523E-3</c:v>
                </c:pt>
                <c:pt idx="18">
                  <c:v>1.8446404310565455E-3</c:v>
                </c:pt>
                <c:pt idx="19">
                  <c:v>9.9000119401978126E-4</c:v>
                </c:pt>
                <c:pt idx="20">
                  <c:v>5.3132434248946052E-4</c:v>
                </c:pt>
                <c:pt idx="21">
                  <c:v>2.8515678428183366E-4</c:v>
                </c:pt>
                <c:pt idx="22">
                  <c:v>1.530409678596073E-4</c:v>
                </c:pt>
                <c:pt idx="23">
                  <c:v>8.2135650050874076E-5</c:v>
                </c:pt>
                <c:pt idx="24">
                  <c:v>4.4081431943558964E-5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DB-42E1-BAFA-94E476BB8E12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Tr10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Sheet1!$O$3:$O$27</c:f>
              <c:numCache>
                <c:formatCode>General</c:formatCode>
                <c:ptCount val="25"/>
                <c:pt idx="0">
                  <c:v>0</c:v>
                </c:pt>
                <c:pt idx="1">
                  <c:v>24.254879525484679</c:v>
                </c:pt>
                <c:pt idx="2">
                  <c:v>48.916705576892269</c:v>
                </c:pt>
                <c:pt idx="3">
                  <c:v>14.089811753993839</c:v>
                </c:pt>
                <c:pt idx="4">
                  <c:v>4.0583844092060666</c:v>
                </c:pt>
                <c:pt idx="5">
                  <c:v>1.1689640926691729</c:v>
                </c:pt>
                <c:pt idx="6">
                  <c:v>1.9707245816246557</c:v>
                </c:pt>
                <c:pt idx="7">
                  <c:v>0.85952384051712416</c:v>
                </c:pt>
                <c:pt idx="8">
                  <c:v>0.37487797092796199</c:v>
                </c:pt>
                <c:pt idx="9">
                  <c:v>0.16350156500896487</c:v>
                </c:pt>
                <c:pt idx="10">
                  <c:v>7.1310569928148312E-2</c:v>
                </c:pt>
                <c:pt idx="11">
                  <c:v>0.15711389996317845</c:v>
                </c:pt>
                <c:pt idx="12">
                  <c:v>8.4321554456855033E-2</c:v>
                </c:pt>
                <c:pt idx="13">
                  <c:v>4.5254586307683226E-2</c:v>
                </c:pt>
                <c:pt idx="14">
                  <c:v>2.4287711428842871E-2</c:v>
                </c:pt>
                <c:pt idx="15">
                  <c:v>1.3034986607547266E-2</c:v>
                </c:pt>
                <c:pt idx="16">
                  <c:v>6.995754884388139E-3</c:v>
                </c:pt>
                <c:pt idx="17">
                  <c:v>3.7545559405564553E-3</c:v>
                </c:pt>
                <c:pt idx="18">
                  <c:v>2.0150349095601123E-3</c:v>
                </c:pt>
                <c:pt idx="19">
                  <c:v>1.0814503102447189E-3</c:v>
                </c:pt>
                <c:pt idx="20">
                  <c:v>5.8040422425421553E-4</c:v>
                </c:pt>
                <c:pt idx="21">
                  <c:v>3.1149749585434705E-4</c:v>
                </c:pt>
                <c:pt idx="22">
                  <c:v>1.6717778036196734E-4</c:v>
                </c:pt>
                <c:pt idx="23">
                  <c:v>8.9722744544381436E-5</c:v>
                </c:pt>
                <c:pt idx="24">
                  <c:v>4.8153354298318925E-5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DDB-42E1-BAFA-94E476BB8E12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Tr25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Sheet1!$P$3:$P$27</c:f>
              <c:numCache>
                <c:formatCode>General</c:formatCode>
                <c:ptCount val="25"/>
                <c:pt idx="0">
                  <c:v>0</c:v>
                </c:pt>
                <c:pt idx="1">
                  <c:v>26.436910557200804</c:v>
                </c:pt>
                <c:pt idx="2">
                  <c:v>53.317377591195651</c:v>
                </c:pt>
                <c:pt idx="3">
                  <c:v>15.357367276005395</c:v>
                </c:pt>
                <c:pt idx="4">
                  <c:v>4.4234870562926458</c:v>
                </c:pt>
                <c:pt idx="5">
                  <c:v>1.2741270938906786</c:v>
                </c:pt>
                <c:pt idx="6">
                  <c:v>2.1480160081828688</c:v>
                </c:pt>
                <c:pt idx="7">
                  <c:v>0.93684880477998866</c:v>
                </c:pt>
                <c:pt idx="8">
                  <c:v>0.40860295252649437</c:v>
                </c:pt>
                <c:pt idx="9">
                  <c:v>0.1782105842068899</c:v>
                </c:pt>
                <c:pt idx="10">
                  <c:v>7.7725851286651507E-2</c:v>
                </c:pt>
                <c:pt idx="11">
                  <c:v>0.17124826846718974</c:v>
                </c:pt>
                <c:pt idx="12">
                  <c:v>9.1907337279403284E-2</c:v>
                </c:pt>
                <c:pt idx="13">
                  <c:v>4.9325804700958965E-2</c:v>
                </c:pt>
                <c:pt idx="14">
                  <c:v>2.6472696102603794E-2</c:v>
                </c:pt>
                <c:pt idx="15">
                  <c:v>1.4207647360027498E-2</c:v>
                </c:pt>
                <c:pt idx="16">
                  <c:v>7.6251108963186721E-3</c:v>
                </c:pt>
                <c:pt idx="17">
                  <c:v>4.0923254010891436E-3</c:v>
                </c:pt>
                <c:pt idx="18">
                  <c:v>2.196312606612026E-3</c:v>
                </c:pt>
                <c:pt idx="19">
                  <c:v>1.1787403476466198E-3</c:v>
                </c:pt>
                <c:pt idx="20">
                  <c:v>6.3261887355524186E-4</c:v>
                </c:pt>
                <c:pt idx="21">
                  <c:v>3.3952060772104948E-4</c:v>
                </c:pt>
                <c:pt idx="22">
                  <c:v>1.8221752130069072E-4</c:v>
                </c:pt>
                <c:pt idx="23">
                  <c:v>9.779443224915336E-5</c:v>
                </c:pt>
                <c:pt idx="24">
                  <c:v>5.2485353278142901E-5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DDB-42E1-BAFA-94E476BB8E12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Tr50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Sheet1!$Q$3:$Q$27</c:f>
              <c:numCache>
                <c:formatCode>General</c:formatCode>
                <c:ptCount val="25"/>
                <c:pt idx="0">
                  <c:v>0</c:v>
                </c:pt>
                <c:pt idx="1">
                  <c:v>27.787379880515168</c:v>
                </c:pt>
                <c:pt idx="2">
                  <c:v>56.040974309529517</c:v>
                </c:pt>
                <c:pt idx="3">
                  <c:v>16.141863382244562</c:v>
                </c:pt>
                <c:pt idx="4">
                  <c:v>4.6494508109710173</c:v>
                </c:pt>
                <c:pt idx="5">
                  <c:v>1.3392129726124025</c:v>
                </c:pt>
                <c:pt idx="6">
                  <c:v>2.2577425104064432</c:v>
                </c:pt>
                <c:pt idx="7">
                  <c:v>0.98470559079519449</c:v>
                </c:pt>
                <c:pt idx="8">
                  <c:v>0.42947550310719762</c:v>
                </c:pt>
                <c:pt idx="9">
                  <c:v>0.18731406574043025</c:v>
                </c:pt>
                <c:pt idx="10">
                  <c:v>8.1696299254238477E-2</c:v>
                </c:pt>
                <c:pt idx="11">
                  <c:v>0.17999609596901744</c:v>
                </c:pt>
                <c:pt idx="12">
                  <c:v>9.6602214137831571E-2</c:v>
                </c:pt>
                <c:pt idx="13">
                  <c:v>5.184550101540962E-2</c:v>
                </c:pt>
                <c:pt idx="14">
                  <c:v>2.7824993448946039E-2</c:v>
                </c:pt>
                <c:pt idx="15">
                  <c:v>1.4933412644691568E-2</c:v>
                </c:pt>
                <c:pt idx="16">
                  <c:v>8.0146223080272399E-3</c:v>
                </c:pt>
                <c:pt idx="17">
                  <c:v>4.3013725173636939E-3</c:v>
                </c:pt>
                <c:pt idx="18">
                  <c:v>2.308506230493325E-3</c:v>
                </c:pt>
                <c:pt idx="19">
                  <c:v>1.2389536118328952E-3</c:v>
                </c:pt>
                <c:pt idx="20">
                  <c:v>6.6493476690584888E-4</c:v>
                </c:pt>
                <c:pt idx="21">
                  <c:v>3.5686424416329779E-4</c:v>
                </c:pt>
                <c:pt idx="22">
                  <c:v>1.915256880834367E-4</c:v>
                </c:pt>
                <c:pt idx="23">
                  <c:v>1.0279003793680259E-4</c:v>
                </c:pt>
                <c:pt idx="24">
                  <c:v>5.5166447930715401E-5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DDB-42E1-BAFA-94E476BB8E12}"/>
            </c:ext>
          </c:extLst>
        </c:ser>
        <c:ser>
          <c:idx val="5"/>
          <c:order val="5"/>
          <c:tx>
            <c:strRef>
              <c:f>Sheet1!$H$2</c:f>
              <c:strCache>
                <c:ptCount val="1"/>
                <c:pt idx="0">
                  <c:v>Tr100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Sheet1!$R$3:$R$27</c:f>
              <c:numCache>
                <c:formatCode>General</c:formatCode>
                <c:ptCount val="25"/>
                <c:pt idx="0">
                  <c:v>0</c:v>
                </c:pt>
                <c:pt idx="1">
                  <c:v>29.078095089026561</c:v>
                </c:pt>
                <c:pt idx="2">
                  <c:v>58.64406024825908</c:v>
                </c:pt>
                <c:pt idx="3">
                  <c:v>16.89164794814333</c:v>
                </c:pt>
                <c:pt idx="4">
                  <c:v>4.8654163643535426</c:v>
                </c:pt>
                <c:pt idx="5">
                  <c:v>1.4014190013426844</c:v>
                </c:pt>
                <c:pt idx="6">
                  <c:v>2.3626139523205363</c:v>
                </c:pt>
                <c:pt idx="7">
                  <c:v>1.0304448611909895</c:v>
                </c:pt>
                <c:pt idx="8">
                  <c:v>0.44942450750873342</c:v>
                </c:pt>
                <c:pt idx="9">
                  <c:v>0.19601474620972517</c:v>
                </c:pt>
                <c:pt idx="10">
                  <c:v>8.5491067108565175E-2</c:v>
                </c:pt>
                <c:pt idx="11">
                  <c:v>0.18835685900385096</c:v>
                </c:pt>
                <c:pt idx="12">
                  <c:v>0.10108935713223116</c:v>
                </c:pt>
                <c:pt idx="13">
                  <c:v>5.4253708516124925E-2</c:v>
                </c:pt>
                <c:pt idx="14">
                  <c:v>2.9117455796087596E-2</c:v>
                </c:pt>
                <c:pt idx="15">
                  <c:v>1.5627065047270031E-2</c:v>
                </c:pt>
                <c:pt idx="16">
                  <c:v>8.3868990375327527E-3</c:v>
                </c:pt>
                <c:pt idx="17">
                  <c:v>4.5011699415723454E-3</c:v>
                </c:pt>
                <c:pt idx="18">
                  <c:v>2.4157356315182986E-3</c:v>
                </c:pt>
                <c:pt idx="19">
                  <c:v>1.2965026242374139E-3</c:v>
                </c:pt>
                <c:pt idx="20">
                  <c:v>6.9582078134851203E-4</c:v>
                </c:pt>
                <c:pt idx="21">
                  <c:v>3.7344047802543597E-4</c:v>
                </c:pt>
                <c:pt idx="22">
                  <c:v>2.0042199710907624E-4</c:v>
                </c:pt>
                <c:pt idx="23">
                  <c:v>1.0756460343448472E-4</c:v>
                </c:pt>
                <c:pt idx="24">
                  <c:v>5.7728912389397805E-5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DDB-42E1-BAFA-94E476BB8E12}"/>
            </c:ext>
          </c:extLst>
        </c:ser>
        <c:ser>
          <c:idx val="6"/>
          <c:order val="6"/>
          <c:tx>
            <c:strRef>
              <c:f>Sheet1!$I$2</c:f>
              <c:strCache>
                <c:ptCount val="1"/>
                <c:pt idx="0">
                  <c:v>Tr200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Sheet1!$S$3:$S$27</c:f>
              <c:numCache>
                <c:formatCode>General</c:formatCode>
                <c:ptCount val="25"/>
                <c:pt idx="0">
                  <c:v>0</c:v>
                </c:pt>
                <c:pt idx="1">
                  <c:v>30.19072652001131</c:v>
                </c:pt>
                <c:pt idx="2">
                  <c:v>60.887990755845884</c:v>
                </c:pt>
                <c:pt idx="3">
                  <c:v>17.537982529920175</c:v>
                </c:pt>
                <c:pt idx="4">
                  <c:v>5.0515845144759419</c:v>
                </c:pt>
                <c:pt idx="5">
                  <c:v>1.455042281137982</c:v>
                </c:pt>
                <c:pt idx="6">
                  <c:v>2.4530159726243683</c:v>
                </c:pt>
                <c:pt idx="7">
                  <c:v>1.0698733497817183</c:v>
                </c:pt>
                <c:pt idx="8">
                  <c:v>0.46662108903782279</c:v>
                </c:pt>
                <c:pt idx="9">
                  <c:v>0.20351496817755768</c:v>
                </c:pt>
                <c:pt idx="10">
                  <c:v>8.8762259669226171E-2</c:v>
                </c:pt>
                <c:pt idx="11">
                  <c:v>0.19556406294646189</c:v>
                </c:pt>
                <c:pt idx="12">
                  <c:v>0.10495739579635288</c:v>
                </c:pt>
                <c:pt idx="13">
                  <c:v>5.6329648537564156E-2</c:v>
                </c:pt>
                <c:pt idx="14">
                  <c:v>3.0231593307841656E-2</c:v>
                </c:pt>
                <c:pt idx="15">
                  <c:v>1.6225012185567867E-2</c:v>
                </c:pt>
                <c:pt idx="16">
                  <c:v>8.7078116505868372E-3</c:v>
                </c:pt>
                <c:pt idx="17">
                  <c:v>4.6734007269062577E-3</c:v>
                </c:pt>
                <c:pt idx="18">
                  <c:v>2.5081702763720252E-3</c:v>
                </c:pt>
                <c:pt idx="19">
                  <c:v>1.3461114299609064E-3</c:v>
                </c:pt>
                <c:pt idx="20">
                  <c:v>7.2244536144189264E-4</c:v>
                </c:pt>
                <c:pt idx="21">
                  <c:v>3.8772964009678061E-4</c:v>
                </c:pt>
                <c:pt idx="22">
                  <c:v>2.0809085618535208E-4</c:v>
                </c:pt>
                <c:pt idx="23">
                  <c:v>1.1168040807286291E-4</c:v>
                </c:pt>
                <c:pt idx="24">
                  <c:v>5.9937826082139941E-5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DDB-42E1-BAFA-94E476BB8E12}"/>
            </c:ext>
          </c:extLst>
        </c:ser>
        <c:ser>
          <c:idx val="7"/>
          <c:order val="7"/>
          <c:tx>
            <c:strRef>
              <c:f>Sheet1!$J$2</c:f>
              <c:strCache>
                <c:ptCount val="1"/>
                <c:pt idx="0">
                  <c:v>Tr1000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Sheet1!$B$3:$B$27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Sheet1!$T$3:$T$27</c:f>
              <c:numCache>
                <c:formatCode>General</c:formatCode>
                <c:ptCount val="25"/>
                <c:pt idx="0">
                  <c:v>0</c:v>
                </c:pt>
                <c:pt idx="1">
                  <c:v>32.433706912666544</c:v>
                </c:pt>
                <c:pt idx="2">
                  <c:v>65.411584095774714</c:v>
                </c:pt>
                <c:pt idx="3">
                  <c:v>18.840943918254673</c:v>
                </c:pt>
                <c:pt idx="4">
                  <c:v>5.4268853542983999</c:v>
                </c:pt>
                <c:pt idx="5">
                  <c:v>1.5631427372470326</c:v>
                </c:pt>
                <c:pt idx="6">
                  <c:v>2.635259574010365</c:v>
                </c:pt>
                <c:pt idx="7">
                  <c:v>1.1493581857824078</c:v>
                </c:pt>
                <c:pt idx="8">
                  <c:v>0.50128809027138166</c:v>
                </c:pt>
                <c:pt idx="9">
                  <c:v>0.21863484556545512</c:v>
                </c:pt>
                <c:pt idx="10">
                  <c:v>9.5356735224952943E-2</c:v>
                </c:pt>
                <c:pt idx="11">
                  <c:v>0.21009323826810117</c:v>
                </c:pt>
                <c:pt idx="12">
                  <c:v>0.11275506772979686</c:v>
                </c:pt>
                <c:pt idx="13">
                  <c:v>6.0514585826541636E-2</c:v>
                </c:pt>
                <c:pt idx="14">
                  <c:v>3.2477609844849153E-2</c:v>
                </c:pt>
                <c:pt idx="15">
                  <c:v>1.7430428165825875E-2</c:v>
                </c:pt>
                <c:pt idx="16">
                  <c:v>9.3547470856203425E-3</c:v>
                </c:pt>
                <c:pt idx="17">
                  <c:v>5.0206048987079333E-3</c:v>
                </c:pt>
                <c:pt idx="18">
                  <c:v>2.6945114943488164E-3</c:v>
                </c:pt>
                <c:pt idx="19">
                  <c:v>1.4461190114853234E-3</c:v>
                </c:pt>
                <c:pt idx="20">
                  <c:v>7.7611849114961329E-4</c:v>
                </c:pt>
                <c:pt idx="21">
                  <c:v>4.165355046993401E-4</c:v>
                </c:pt>
                <c:pt idx="22">
                  <c:v>2.2355069316559877E-4</c:v>
                </c:pt>
                <c:pt idx="23">
                  <c:v>1.1997755737747239E-4</c:v>
                </c:pt>
                <c:pt idx="24">
                  <c:v>6.4390828185004501E-5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DDB-42E1-BAFA-94E476BB8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787551"/>
        <c:axId val="550786591"/>
      </c:scatterChart>
      <c:valAx>
        <c:axId val="550787551"/>
        <c:scaling>
          <c:orientation val="minMax"/>
          <c:max val="24"/>
          <c:min val="10"/>
        </c:scaling>
        <c:delete val="0"/>
        <c:axPos val="b"/>
        <c:majorGridlines>
          <c:spPr>
            <a:ln w="9525" cap="flat" cmpd="sng" algn="ctr">
              <a:solidFill>
                <a:srgbClr val="0070C0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86591"/>
        <c:crosses val="autoZero"/>
        <c:crossBetween val="midCat"/>
        <c:majorUnit val="2"/>
        <c:minorUnit val="1"/>
      </c:valAx>
      <c:valAx>
        <c:axId val="550786591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8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>
          <a:alpha val="96000"/>
        </a:srgb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2"/>
              <c:pt idx="0">
                <c:v>50</c:v>
              </c:pt>
              <c:pt idx="1">
                <c:v>99</c:v>
              </c:pt>
              <c:pt idx="2">
                <c:v>149</c:v>
              </c:pt>
              <c:pt idx="3">
                <c:v>199</c:v>
              </c:pt>
              <c:pt idx="4">
                <c:v>299</c:v>
              </c:pt>
              <c:pt idx="5">
                <c:v>399</c:v>
              </c:pt>
              <c:pt idx="6">
                <c:v>499</c:v>
              </c:pt>
              <c:pt idx="7">
                <c:v>599</c:v>
              </c:pt>
              <c:pt idx="8">
                <c:v>699</c:v>
              </c:pt>
              <c:pt idx="9">
                <c:v>799</c:v>
              </c:pt>
              <c:pt idx="10">
                <c:v>899</c:v>
              </c:pt>
              <c:pt idx="11">
                <c:v>999</c:v>
              </c:pt>
            </c:numLit>
          </c:xVal>
          <c:yVal>
            <c:numLit>
              <c:formatCode>General</c:formatCode>
              <c:ptCount val="12"/>
              <c:pt idx="0">
                <c:v>2</c:v>
              </c:pt>
              <c:pt idx="1">
                <c:v>4</c:v>
              </c:pt>
              <c:pt idx="2">
                <c:v>6</c:v>
              </c:pt>
              <c:pt idx="3">
                <c:v>8</c:v>
              </c:pt>
              <c:pt idx="4">
                <c:v>12</c:v>
              </c:pt>
              <c:pt idx="5">
                <c:v>16</c:v>
              </c:pt>
              <c:pt idx="6">
                <c:v>20</c:v>
              </c:pt>
              <c:pt idx="7">
                <c:v>24</c:v>
              </c:pt>
              <c:pt idx="8">
                <c:v>28</c:v>
              </c:pt>
              <c:pt idx="9">
                <c:v>32</c:v>
              </c:pt>
              <c:pt idx="10">
                <c:v>36</c:v>
              </c:pt>
              <c:pt idx="11">
                <c:v>40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5003-467F-8816-70B855B53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118232"/>
        <c:axId val="272118624"/>
      </c:scatterChart>
      <c:valAx>
        <c:axId val="272118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Luas Lahan Maksimal (m2)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118624"/>
        <c:crosses val="autoZero"/>
        <c:crossBetween val="midCat"/>
      </c:valAx>
      <c:valAx>
        <c:axId val="27211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sumur resapan (m3)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118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361390</xdr:colOff>
      <xdr:row>21</xdr:row>
      <xdr:rowOff>170889</xdr:rowOff>
    </xdr:from>
    <xdr:to>
      <xdr:col>23</xdr:col>
      <xdr:colOff>316007</xdr:colOff>
      <xdr:row>31</xdr:row>
      <xdr:rowOff>124945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4302" y="3767977"/>
          <a:ext cx="7011521" cy="18590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89645</xdr:colOff>
      <xdr:row>18</xdr:row>
      <xdr:rowOff>22413</xdr:rowOff>
    </xdr:from>
    <xdr:to>
      <xdr:col>10</xdr:col>
      <xdr:colOff>661147</xdr:colOff>
      <xdr:row>36</xdr:row>
      <xdr:rowOff>123267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40</xdr:row>
          <xdr:rowOff>7620</xdr:rowOff>
        </xdr:from>
        <xdr:to>
          <xdr:col>2</xdr:col>
          <xdr:colOff>1699260</xdr:colOff>
          <xdr:row>43</xdr:row>
          <xdr:rowOff>121920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11</xdr:col>
      <xdr:colOff>100851</xdr:colOff>
      <xdr:row>25</xdr:row>
      <xdr:rowOff>145676</xdr:rowOff>
    </xdr:from>
    <xdr:to>
      <xdr:col>17</xdr:col>
      <xdr:colOff>513788</xdr:colOff>
      <xdr:row>43</xdr:row>
      <xdr:rowOff>26055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342339</xdr:colOff>
      <xdr:row>12</xdr:row>
      <xdr:rowOff>119343</xdr:rowOff>
    </xdr:from>
    <xdr:to>
      <xdr:col>15</xdr:col>
      <xdr:colOff>187698</xdr:colOff>
      <xdr:row>32</xdr:row>
      <xdr:rowOff>138393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403411</xdr:colOff>
      <xdr:row>4</xdr:row>
      <xdr:rowOff>23532</xdr:rowOff>
    </xdr:from>
    <xdr:to>
      <xdr:col>25</xdr:col>
      <xdr:colOff>537882</xdr:colOff>
      <xdr:row>26</xdr:row>
      <xdr:rowOff>78441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78441</xdr:colOff>
      <xdr:row>2</xdr:row>
      <xdr:rowOff>12326</xdr:rowOff>
    </xdr:from>
    <xdr:to>
      <xdr:col>26</xdr:col>
      <xdr:colOff>212911</xdr:colOff>
      <xdr:row>24</xdr:row>
      <xdr:rowOff>67235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579120</xdr:colOff>
      <xdr:row>2</xdr:row>
      <xdr:rowOff>179070</xdr:rowOff>
    </xdr:from>
    <xdr:to>
      <xdr:col>37</xdr:col>
      <xdr:colOff>22860</xdr:colOff>
      <xdr:row>23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A198C4-7B07-73F8-BC03-9A2A1A4746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83820</xdr:colOff>
      <xdr:row>8</xdr:row>
      <xdr:rowOff>41910</xdr:rowOff>
    </xdr:from>
    <xdr:to>
      <xdr:col>36</xdr:col>
      <xdr:colOff>396240</xdr:colOff>
      <xdr:row>18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EA4491-0427-45B0-B7D2-59FEA34E84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564778</xdr:colOff>
      <xdr:row>25</xdr:row>
      <xdr:rowOff>98612</xdr:rowOff>
    </xdr:from>
    <xdr:to>
      <xdr:col>37</xdr:col>
      <xdr:colOff>8518</xdr:colOff>
      <xdr:row>46</xdr:row>
      <xdr:rowOff>37653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1062D4-C7FA-4EE8-B9DF-014B54158B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98611</xdr:colOff>
      <xdr:row>30</xdr:row>
      <xdr:rowOff>8964</xdr:rowOff>
    </xdr:from>
    <xdr:to>
      <xdr:col>36</xdr:col>
      <xdr:colOff>367102</xdr:colOff>
      <xdr:row>40</xdr:row>
      <xdr:rowOff>125505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77079BE-7E99-45CA-8605-06B54AB88F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145675</xdr:colOff>
      <xdr:row>22</xdr:row>
      <xdr:rowOff>91328</xdr:rowOff>
    </xdr:from>
    <xdr:to>
      <xdr:col>22</xdr:col>
      <xdr:colOff>314884</xdr:colOff>
      <xdr:row>43</xdr:row>
      <xdr:rowOff>187139</xdr:rowOff>
    </xdr:to>
    <xdr:pic>
      <xdr:nvPicPr>
        <xdr:cNvPr id="2" name="Picture 1" descr="Image result for koefisien manni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0300" y="4396628"/>
          <a:ext cx="6636684" cy="42106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2</xdr:row>
      <xdr:rowOff>1117</xdr:rowOff>
    </xdr:from>
    <xdr:to>
      <xdr:col>5</xdr:col>
      <xdr:colOff>3014381</xdr:colOff>
      <xdr:row>16</xdr:row>
      <xdr:rowOff>67235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3"/>
  <sheetViews>
    <sheetView zoomScale="85" zoomScaleNormal="85" workbookViewId="0">
      <selection activeCell="M10" sqref="M10:M11"/>
    </sheetView>
  </sheetViews>
  <sheetFormatPr defaultRowHeight="14.4" x14ac:dyDescent="0.3"/>
  <cols>
    <col min="1" max="1" width="5.109375" bestFit="1" customWidth="1"/>
    <col min="3" max="3" width="15" bestFit="1" customWidth="1"/>
    <col min="4" max="4" width="14.5546875" customWidth="1"/>
    <col min="6" max="6" width="15" customWidth="1"/>
    <col min="7" max="7" width="14.5546875" customWidth="1"/>
    <col min="8" max="8" width="15.6640625" customWidth="1"/>
    <col min="11" max="11" width="10.88671875" customWidth="1"/>
    <col min="12" max="12" width="3.33203125" customWidth="1"/>
    <col min="13" max="13" width="8.88671875" customWidth="1"/>
    <col min="14" max="14" width="9.6640625" bestFit="1" customWidth="1"/>
  </cols>
  <sheetData>
    <row r="2" spans="1:17" x14ac:dyDescent="0.3">
      <c r="B2" s="273" t="s">
        <v>35</v>
      </c>
      <c r="C2" s="273"/>
      <c r="D2" s="273"/>
      <c r="E2" s="273"/>
      <c r="F2" s="273"/>
      <c r="G2" s="273"/>
    </row>
    <row r="3" spans="1:17" ht="15" thickBot="1" x14ac:dyDescent="0.35">
      <c r="B3" s="11"/>
      <c r="C3" s="11"/>
      <c r="D3" s="11"/>
      <c r="E3" s="11"/>
      <c r="F3" s="11"/>
      <c r="G3" s="11"/>
    </row>
    <row r="4" spans="1:17" ht="15.75" customHeight="1" thickTop="1" thickBot="1" x14ac:dyDescent="0.35">
      <c r="B4" s="274" t="s">
        <v>36</v>
      </c>
      <c r="C4" s="276" t="s">
        <v>120</v>
      </c>
      <c r="D4" s="277"/>
      <c r="E4" s="277"/>
      <c r="F4" s="277"/>
      <c r="G4" s="278"/>
      <c r="I4" s="279" t="s">
        <v>121</v>
      </c>
      <c r="J4" s="260"/>
      <c r="K4" s="260"/>
      <c r="L4" s="260" t="s">
        <v>126</v>
      </c>
      <c r="M4" s="263" t="s">
        <v>41</v>
      </c>
      <c r="N4" s="264"/>
      <c r="P4" s="156"/>
      <c r="Q4" t="s">
        <v>123</v>
      </c>
    </row>
    <row r="5" spans="1:17" ht="15.75" customHeight="1" thickBot="1" x14ac:dyDescent="0.35">
      <c r="B5" s="275"/>
      <c r="C5" s="154" t="s">
        <v>37</v>
      </c>
      <c r="D5" s="154" t="s">
        <v>38</v>
      </c>
      <c r="E5" s="154" t="s">
        <v>39</v>
      </c>
      <c r="F5" s="154" t="s">
        <v>40</v>
      </c>
      <c r="G5" s="155" t="s">
        <v>41</v>
      </c>
      <c r="I5" s="262"/>
      <c r="J5" s="261"/>
      <c r="K5" s="261"/>
      <c r="L5" s="261"/>
      <c r="M5" s="265"/>
      <c r="N5" s="266"/>
    </row>
    <row r="6" spans="1:17" ht="16.2" thickBot="1" x14ac:dyDescent="0.35">
      <c r="A6">
        <v>2</v>
      </c>
      <c r="B6" s="207" t="s">
        <v>42</v>
      </c>
      <c r="C6" s="234">
        <v>123.09090909090909</v>
      </c>
      <c r="D6" s="234">
        <v>119.88847315000804</v>
      </c>
      <c r="E6" s="234">
        <v>119.19495994730747</v>
      </c>
      <c r="F6" s="234">
        <v>123.09090909090909</v>
      </c>
      <c r="G6" s="234">
        <v>122.3556538424686</v>
      </c>
      <c r="I6" s="262" t="s">
        <v>124</v>
      </c>
      <c r="J6" s="261"/>
      <c r="K6" s="261"/>
      <c r="L6" s="261" t="s">
        <v>126</v>
      </c>
      <c r="M6" s="267">
        <f>IF(M4=C5,3,IF(M4=D5,4,IF(M4=E5,5,IF(M4=F5,6,IF(M4=G5,7)))))</f>
        <v>7</v>
      </c>
      <c r="N6" s="268"/>
    </row>
    <row r="7" spans="1:17" ht="16.2" thickBot="1" x14ac:dyDescent="0.35">
      <c r="A7">
        <v>5</v>
      </c>
      <c r="B7" s="208" t="s">
        <v>43</v>
      </c>
      <c r="C7" s="234">
        <v>147.23986321845973</v>
      </c>
      <c r="D7" s="234">
        <v>147.3361832678263</v>
      </c>
      <c r="E7" s="234">
        <v>153.50900474317794</v>
      </c>
      <c r="F7" s="234">
        <v>147.29736072828723</v>
      </c>
      <c r="G7" s="234">
        <v>147.9158748362515</v>
      </c>
      <c r="I7" s="262"/>
      <c r="J7" s="261"/>
      <c r="K7" s="261"/>
      <c r="L7" s="261"/>
      <c r="M7" s="267"/>
      <c r="N7" s="268"/>
    </row>
    <row r="8" spans="1:17" ht="16.2" thickBot="1" x14ac:dyDescent="0.35">
      <c r="A8">
        <v>10</v>
      </c>
      <c r="B8" s="208" t="s">
        <v>44</v>
      </c>
      <c r="C8" s="234">
        <v>159.88931538051008</v>
      </c>
      <c r="D8" s="234">
        <v>164.13723844453364</v>
      </c>
      <c r="E8" s="234">
        <v>176.22788816160039</v>
      </c>
      <c r="F8" s="234">
        <v>159.94681289033758</v>
      </c>
      <c r="G8" s="234">
        <v>161.57926848781858</v>
      </c>
      <c r="I8" s="262" t="s">
        <v>118</v>
      </c>
      <c r="J8" s="261"/>
      <c r="K8" s="261"/>
      <c r="L8" s="261" t="s">
        <v>126</v>
      </c>
      <c r="M8" s="265">
        <v>1000</v>
      </c>
      <c r="N8" s="268" t="s">
        <v>119</v>
      </c>
    </row>
    <row r="9" spans="1:17" ht="16.2" thickBot="1" x14ac:dyDescent="0.35">
      <c r="A9">
        <v>25</v>
      </c>
      <c r="B9" s="208" t="s">
        <v>45</v>
      </c>
      <c r="C9" s="234">
        <v>170.23886714946036</v>
      </c>
      <c r="D9" s="234">
        <v>179.29904378984557</v>
      </c>
      <c r="E9" s="234">
        <v>204.93325758736947</v>
      </c>
      <c r="F9" s="234">
        <v>173.42997894488667</v>
      </c>
      <c r="G9" s="234">
        <v>176.11535297143615</v>
      </c>
      <c r="I9" s="262"/>
      <c r="J9" s="261"/>
      <c r="K9" s="261"/>
      <c r="L9" s="261"/>
      <c r="M9" s="265"/>
      <c r="N9" s="268"/>
    </row>
    <row r="10" spans="1:17" ht="16.2" thickBot="1" x14ac:dyDescent="0.35">
      <c r="A10">
        <v>50</v>
      </c>
      <c r="B10" s="208" t="s">
        <v>46</v>
      </c>
      <c r="C10" s="234">
        <v>182.02585666409817</v>
      </c>
      <c r="D10" s="234">
        <v>198.27963442504156</v>
      </c>
      <c r="E10" s="234">
        <v>226.22854044326533</v>
      </c>
      <c r="F10" s="234">
        <v>182.14085168375317</v>
      </c>
      <c r="G10" s="234">
        <v>185.11180439256572</v>
      </c>
      <c r="I10" s="262" t="s">
        <v>125</v>
      </c>
      <c r="J10" s="261"/>
      <c r="K10" s="261"/>
      <c r="L10" s="261" t="s">
        <v>126</v>
      </c>
      <c r="M10" s="267">
        <f>VLOOKUP(M8,$A$6:$G$13,M6,FALSE)</f>
        <v>216.06434415766256</v>
      </c>
      <c r="N10" s="268" t="s">
        <v>122</v>
      </c>
    </row>
    <row r="11" spans="1:17" ht="16.2" thickBot="1" x14ac:dyDescent="0.35">
      <c r="A11">
        <v>100</v>
      </c>
      <c r="B11" s="208" t="s">
        <v>47</v>
      </c>
      <c r="C11" s="234">
        <v>190.07550803994837</v>
      </c>
      <c r="D11" s="234">
        <v>212.38415106339423</v>
      </c>
      <c r="E11" s="234">
        <v>247.36658227329161</v>
      </c>
      <c r="F11" s="234">
        <v>189.96051302029338</v>
      </c>
      <c r="G11" s="234">
        <v>193.71019050280165</v>
      </c>
      <c r="I11" s="269"/>
      <c r="J11" s="270"/>
      <c r="K11" s="270"/>
      <c r="L11" s="270"/>
      <c r="M11" s="271"/>
      <c r="N11" s="272"/>
    </row>
    <row r="12" spans="1:17" ht="16.8" thickTop="1" thickBot="1" x14ac:dyDescent="0.35">
      <c r="A12">
        <v>200</v>
      </c>
      <c r="B12" s="208" t="s">
        <v>48</v>
      </c>
      <c r="C12" s="234">
        <v>197.26269676838606</v>
      </c>
      <c r="D12" s="234">
        <v>225.8231854721119</v>
      </c>
      <c r="E12" s="234">
        <v>268.4274949393884</v>
      </c>
      <c r="F12" s="234">
        <v>197.14770174873107</v>
      </c>
      <c r="G12" s="234">
        <v>201.12223196547632</v>
      </c>
    </row>
    <row r="13" spans="1:17" ht="16.2" thickBot="1" x14ac:dyDescent="0.35">
      <c r="A13">
        <v>1000</v>
      </c>
      <c r="B13" s="209" t="s">
        <v>49</v>
      </c>
      <c r="C13" s="234">
        <v>211.92456177439897</v>
      </c>
      <c r="D13" s="234">
        <v>255.93355847887165</v>
      </c>
      <c r="E13" s="234">
        <v>317.21327610434281</v>
      </c>
      <c r="F13" s="234">
        <v>211.92456177439897</v>
      </c>
      <c r="G13" s="234">
        <v>216.06434415766256</v>
      </c>
    </row>
    <row r="14" spans="1:17" x14ac:dyDescent="0.3">
      <c r="K14" t="s">
        <v>315</v>
      </c>
    </row>
    <row r="15" spans="1:17" ht="15" thickBot="1" x14ac:dyDescent="0.35">
      <c r="B15" s="12" t="s">
        <v>50</v>
      </c>
      <c r="K15">
        <v>1271.9059999999999</v>
      </c>
      <c r="L15" t="s">
        <v>153</v>
      </c>
    </row>
    <row r="16" spans="1:17" ht="16.8" thickBot="1" x14ac:dyDescent="0.35">
      <c r="B16" s="22" t="s">
        <v>51</v>
      </c>
      <c r="C16" s="23" t="s">
        <v>53</v>
      </c>
      <c r="D16" s="24" t="s">
        <v>52</v>
      </c>
      <c r="F16" s="23" t="s">
        <v>296</v>
      </c>
      <c r="G16" s="23" t="s">
        <v>53</v>
      </c>
      <c r="H16" s="24" t="s">
        <v>52</v>
      </c>
      <c r="J16" s="25"/>
      <c r="K16">
        <v>130039.85</v>
      </c>
      <c r="L16" t="s">
        <v>153</v>
      </c>
      <c r="M16">
        <f>K16/100</f>
        <v>1300.3985</v>
      </c>
      <c r="N16" t="s">
        <v>320</v>
      </c>
    </row>
    <row r="17" spans="2:8" ht="15" thickTop="1" x14ac:dyDescent="0.3">
      <c r="B17" s="19">
        <v>1</v>
      </c>
      <c r="C17" s="20">
        <v>10</v>
      </c>
      <c r="D17" s="21">
        <v>1</v>
      </c>
      <c r="F17" s="157">
        <f>K15</f>
        <v>1271.9059999999999</v>
      </c>
      <c r="G17" s="157">
        <f>F17/100</f>
        <v>12.719059999999999</v>
      </c>
      <c r="H17" s="21">
        <f>0.000000000000004*G17^4-0.00000000005*G17^3+0.0000002*G17^2-0.0004*G17+0.984</f>
        <v>0.97894462812117011</v>
      </c>
    </row>
    <row r="18" spans="2:8" x14ac:dyDescent="0.3">
      <c r="B18" s="14">
        <v>2</v>
      </c>
      <c r="C18" s="9">
        <v>30</v>
      </c>
      <c r="D18" s="15">
        <v>0.98</v>
      </c>
    </row>
    <row r="19" spans="2:8" x14ac:dyDescent="0.3">
      <c r="B19" s="14">
        <v>3</v>
      </c>
      <c r="C19" s="9">
        <v>100</v>
      </c>
      <c r="D19" s="15">
        <v>0.93500000000000005</v>
      </c>
    </row>
    <row r="20" spans="2:8" x14ac:dyDescent="0.3">
      <c r="B20" s="14">
        <v>4</v>
      </c>
      <c r="C20" s="9">
        <v>200</v>
      </c>
      <c r="D20" s="15">
        <v>0.89</v>
      </c>
    </row>
    <row r="21" spans="2:8" x14ac:dyDescent="0.3">
      <c r="B21" s="14">
        <v>5</v>
      </c>
      <c r="C21" s="9">
        <v>300</v>
      </c>
      <c r="D21" s="15">
        <v>0.85799999999999998</v>
      </c>
    </row>
    <row r="22" spans="2:8" x14ac:dyDescent="0.3">
      <c r="B22" s="14">
        <v>6</v>
      </c>
      <c r="C22" s="9">
        <v>400</v>
      </c>
      <c r="D22" s="15">
        <v>0.83199999999999996</v>
      </c>
    </row>
    <row r="23" spans="2:8" x14ac:dyDescent="0.3">
      <c r="B23" s="14">
        <v>7</v>
      </c>
      <c r="C23" s="9">
        <v>500</v>
      </c>
      <c r="D23" s="15">
        <v>0.81899999999999995</v>
      </c>
    </row>
    <row r="24" spans="2:8" x14ac:dyDescent="0.3">
      <c r="B24" s="14">
        <v>8</v>
      </c>
      <c r="C24" s="9">
        <v>600</v>
      </c>
      <c r="D24" s="15">
        <v>0.78900000000000003</v>
      </c>
    </row>
    <row r="25" spans="2:8" x14ac:dyDescent="0.3">
      <c r="B25" s="14">
        <v>9</v>
      </c>
      <c r="C25" s="9">
        <v>700</v>
      </c>
      <c r="D25" s="15">
        <v>0.77</v>
      </c>
    </row>
    <row r="26" spans="2:8" x14ac:dyDescent="0.3">
      <c r="B26" s="14">
        <v>10</v>
      </c>
      <c r="C26" s="9">
        <v>800</v>
      </c>
      <c r="D26" s="15">
        <v>0.752</v>
      </c>
    </row>
    <row r="27" spans="2:8" x14ac:dyDescent="0.3">
      <c r="B27" s="14">
        <v>11</v>
      </c>
      <c r="C27" s="9">
        <v>900</v>
      </c>
      <c r="D27" s="15">
        <v>0.73499999999999999</v>
      </c>
    </row>
    <row r="28" spans="2:8" x14ac:dyDescent="0.3">
      <c r="B28" s="14">
        <v>12</v>
      </c>
      <c r="C28" s="9">
        <v>1000</v>
      </c>
      <c r="D28" s="15">
        <v>0.72</v>
      </c>
    </row>
    <row r="29" spans="2:8" x14ac:dyDescent="0.3">
      <c r="B29" s="14">
        <v>13</v>
      </c>
      <c r="C29" s="9">
        <v>2000</v>
      </c>
      <c r="D29" s="15">
        <v>0.61</v>
      </c>
    </row>
    <row r="30" spans="2:8" x14ac:dyDescent="0.3">
      <c r="B30" s="14">
        <v>14</v>
      </c>
      <c r="C30" s="9">
        <v>3000</v>
      </c>
      <c r="D30" s="15">
        <v>0.51500000000000001</v>
      </c>
    </row>
    <row r="31" spans="2:8" x14ac:dyDescent="0.3">
      <c r="B31" s="14">
        <v>15</v>
      </c>
      <c r="C31" s="9">
        <v>4000</v>
      </c>
      <c r="D31" s="15">
        <v>0.435</v>
      </c>
    </row>
    <row r="32" spans="2:8" ht="15" thickBot="1" x14ac:dyDescent="0.35">
      <c r="B32" s="16">
        <v>16</v>
      </c>
      <c r="C32" s="17">
        <v>5000</v>
      </c>
      <c r="D32" s="18">
        <v>0.37</v>
      </c>
    </row>
    <row r="33" spans="2:4" x14ac:dyDescent="0.3">
      <c r="B33" s="25" t="s">
        <v>54</v>
      </c>
      <c r="C33" s="13"/>
      <c r="D33" s="13"/>
    </row>
  </sheetData>
  <mergeCells count="17">
    <mergeCell ref="B2:G2"/>
    <mergeCell ref="B4:B5"/>
    <mergeCell ref="C4:G4"/>
    <mergeCell ref="I8:K9"/>
    <mergeCell ref="I4:K5"/>
    <mergeCell ref="M8:M9"/>
    <mergeCell ref="N8:N9"/>
    <mergeCell ref="I10:K11"/>
    <mergeCell ref="M10:M11"/>
    <mergeCell ref="N10:N11"/>
    <mergeCell ref="L8:L9"/>
    <mergeCell ref="L10:L11"/>
    <mergeCell ref="L4:L5"/>
    <mergeCell ref="I6:K7"/>
    <mergeCell ref="L6:L7"/>
    <mergeCell ref="M4:N5"/>
    <mergeCell ref="M6:N7"/>
  </mergeCells>
  <conditionalFormatting sqref="C6:G13">
    <cfRule type="cellIs" dxfId="0" priority="1" operator="equal">
      <formula>$M$10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S39"/>
  <sheetViews>
    <sheetView zoomScaleNormal="100" workbookViewId="0">
      <selection activeCell="D4" sqref="D4"/>
    </sheetView>
  </sheetViews>
  <sheetFormatPr defaultColWidth="9.109375" defaultRowHeight="14.4" x14ac:dyDescent="0.3"/>
  <cols>
    <col min="1" max="1" width="4.44140625" customWidth="1"/>
    <col min="2" max="2" width="2.109375" customWidth="1"/>
    <col min="3" max="3" width="74.44140625" customWidth="1"/>
    <col min="5" max="5" width="12" customWidth="1"/>
    <col min="6" max="6" width="4" customWidth="1"/>
    <col min="7" max="7" width="13.44140625" customWidth="1"/>
    <col min="8" max="8" width="10.44140625" customWidth="1"/>
    <col min="11" max="11" width="13.88671875" bestFit="1" customWidth="1"/>
    <col min="13" max="13" width="11.5546875" bestFit="1" customWidth="1"/>
    <col min="14" max="14" width="12.109375" customWidth="1"/>
    <col min="15" max="15" width="18.6640625" customWidth="1"/>
    <col min="17" max="17" width="4.88671875" customWidth="1"/>
    <col min="18" max="18" width="35.44140625" bestFit="1" customWidth="1"/>
    <col min="19" max="19" width="12.109375" customWidth="1"/>
  </cols>
  <sheetData>
    <row r="1" spans="1:19" ht="18.600000000000001" thickBot="1" x14ac:dyDescent="0.35">
      <c r="A1" s="281" t="s">
        <v>22</v>
      </c>
      <c r="B1" s="281"/>
      <c r="C1" s="281"/>
      <c r="D1" s="281"/>
      <c r="E1" s="281"/>
    </row>
    <row r="2" spans="1:19" ht="15.6" thickTop="1" thickBot="1" x14ac:dyDescent="0.35">
      <c r="A2" s="62"/>
      <c r="B2" s="62"/>
      <c r="C2" s="62"/>
      <c r="D2" s="62"/>
      <c r="E2" s="62"/>
      <c r="G2" s="10" t="s">
        <v>27</v>
      </c>
    </row>
    <row r="3" spans="1:19" ht="29.4" thickBot="1" x14ac:dyDescent="0.35">
      <c r="A3" s="89" t="s">
        <v>8</v>
      </c>
      <c r="B3" s="284" t="s">
        <v>9</v>
      </c>
      <c r="C3" s="284"/>
      <c r="D3" s="90" t="s">
        <v>10</v>
      </c>
      <c r="E3" s="105" t="s">
        <v>11</v>
      </c>
      <c r="F3" s="127"/>
      <c r="G3" s="117" t="s">
        <v>100</v>
      </c>
      <c r="H3" s="118" t="s">
        <v>101</v>
      </c>
      <c r="I3" s="118" t="s">
        <v>102</v>
      </c>
      <c r="J3" s="118" t="s">
        <v>103</v>
      </c>
      <c r="K3" s="118" t="s">
        <v>104</v>
      </c>
      <c r="L3" s="118" t="s">
        <v>105</v>
      </c>
      <c r="M3" s="118" t="s">
        <v>24</v>
      </c>
      <c r="N3" s="119" t="s">
        <v>56</v>
      </c>
      <c r="O3" s="120" t="s">
        <v>106</v>
      </c>
      <c r="Q3" s="158" t="s">
        <v>184</v>
      </c>
    </row>
    <row r="4" spans="1:19" ht="17.399999999999999" thickTop="1" thickBot="1" x14ac:dyDescent="0.35">
      <c r="A4" s="101">
        <v>1</v>
      </c>
      <c r="B4" s="102" t="s">
        <v>0</v>
      </c>
      <c r="C4" s="103"/>
      <c r="D4" s="236">
        <f>Referensi!G17</f>
        <v>12.719059999999999</v>
      </c>
      <c r="E4" s="104" t="s">
        <v>85</v>
      </c>
      <c r="G4" s="121" t="s">
        <v>5</v>
      </c>
      <c r="H4" s="122" t="s">
        <v>5</v>
      </c>
      <c r="I4" s="122" t="s">
        <v>25</v>
      </c>
      <c r="J4" s="122" t="s">
        <v>20</v>
      </c>
      <c r="K4" s="122" t="s">
        <v>20</v>
      </c>
      <c r="L4" s="122"/>
      <c r="M4" s="122" t="s">
        <v>26</v>
      </c>
      <c r="N4" s="122" t="s">
        <v>20</v>
      </c>
      <c r="O4" s="123" t="s">
        <v>20</v>
      </c>
      <c r="Q4" s="161" t="s">
        <v>51</v>
      </c>
      <c r="R4" s="161" t="s">
        <v>131</v>
      </c>
      <c r="S4" s="161" t="s">
        <v>132</v>
      </c>
    </row>
    <row r="5" spans="1:19" ht="16.2" thickBot="1" x14ac:dyDescent="0.35">
      <c r="A5" s="93">
        <v>2</v>
      </c>
      <c r="B5" s="94" t="s">
        <v>1</v>
      </c>
      <c r="C5" s="95"/>
      <c r="D5" s="235">
        <f>H24</f>
        <v>3.2930000000000001</v>
      </c>
      <c r="E5" s="96" t="s">
        <v>2</v>
      </c>
      <c r="G5" s="124">
        <v>1</v>
      </c>
      <c r="H5" s="125">
        <v>2</v>
      </c>
      <c r="I5" s="125">
        <v>3</v>
      </c>
      <c r="J5" s="125">
        <v>4</v>
      </c>
      <c r="K5" s="125">
        <v>5</v>
      </c>
      <c r="L5" s="125">
        <v>6</v>
      </c>
      <c r="M5" s="125">
        <v>7</v>
      </c>
      <c r="N5" s="125">
        <v>8</v>
      </c>
      <c r="O5" s="126">
        <v>8</v>
      </c>
      <c r="Q5" s="163">
        <v>1</v>
      </c>
      <c r="R5" s="164" t="s">
        <v>133</v>
      </c>
      <c r="S5" s="165"/>
    </row>
    <row r="6" spans="1:19" ht="16.2" thickTop="1" x14ac:dyDescent="0.3">
      <c r="A6" s="93">
        <v>3</v>
      </c>
      <c r="B6" s="94" t="s">
        <v>117</v>
      </c>
      <c r="C6" s="95"/>
      <c r="D6" s="235">
        <v>0.48299999999999998</v>
      </c>
      <c r="E6" s="96"/>
      <c r="G6" s="106">
        <f>$D$7-($D$7-1)</f>
        <v>1</v>
      </c>
      <c r="H6" s="50" t="s">
        <v>28</v>
      </c>
      <c r="I6" s="51">
        <f>($D$8/24)*(24/(G6*60/60))^(2/3)</f>
        <v>74.905324503445513</v>
      </c>
      <c r="J6" s="52">
        <f>I6*G6</f>
        <v>74.905324503445513</v>
      </c>
      <c r="K6" s="52">
        <f>J6</f>
        <v>74.905324503445513</v>
      </c>
      <c r="L6" s="26">
        <f t="shared" ref="L6:L11" si="0">K6/$K$12</f>
        <v>0.55032120814910446</v>
      </c>
      <c r="M6" s="53">
        <f>L10</f>
        <v>6.7455564144729585E-2</v>
      </c>
      <c r="N6" s="52">
        <f>M6*$D$8</f>
        <v>14.574742226716136</v>
      </c>
      <c r="O6" s="107">
        <f>N6*$D$9</f>
        <v>14.267865609094542</v>
      </c>
      <c r="P6" s="219"/>
      <c r="Q6" s="165"/>
      <c r="R6" s="167" t="s">
        <v>135</v>
      </c>
      <c r="S6" s="163" t="s">
        <v>136</v>
      </c>
    </row>
    <row r="7" spans="1:19" ht="15.6" x14ac:dyDescent="0.3">
      <c r="A7" s="93">
        <v>4</v>
      </c>
      <c r="B7" s="94" t="s">
        <v>4</v>
      </c>
      <c r="C7" s="95"/>
      <c r="D7" s="129">
        <v>6</v>
      </c>
      <c r="E7" s="96" t="s">
        <v>5</v>
      </c>
      <c r="G7" s="108">
        <f>G6+1</f>
        <v>2</v>
      </c>
      <c r="H7" s="54" t="s">
        <v>29</v>
      </c>
      <c r="I7" s="55">
        <f t="shared" ref="I7:I11" si="1">($D$8/24)*(24/(G7*60/60))^(2/3)</f>
        <v>47.187397545548627</v>
      </c>
      <c r="J7" s="56">
        <f t="shared" ref="J7:J11" si="2">I7*G7</f>
        <v>94.374795091097255</v>
      </c>
      <c r="K7" s="56">
        <f>J7-J6</f>
        <v>19.469470587651742</v>
      </c>
      <c r="L7" s="27">
        <f t="shared" si="0"/>
        <v>0.14304006620153037</v>
      </c>
      <c r="M7" s="57">
        <f>L8</f>
        <v>0.10033925163346483</v>
      </c>
      <c r="N7" s="56">
        <f t="shared" ref="N7:N11" si="3">M7*$D$8</f>
        <v>21.679734597455248</v>
      </c>
      <c r="O7" s="109">
        <f>N7*$D$9</f>
        <v>21.223259723271493</v>
      </c>
      <c r="P7" s="219"/>
      <c r="Q7" s="165"/>
      <c r="R7" s="167" t="s">
        <v>138</v>
      </c>
      <c r="S7" s="163" t="s">
        <v>139</v>
      </c>
    </row>
    <row r="8" spans="1:19" ht="15.6" x14ac:dyDescent="0.3">
      <c r="A8" s="93">
        <v>5</v>
      </c>
      <c r="B8" s="94" t="str">
        <f>"Curah hujan rencana (RTr) = " &amp;Referensi!M8 &amp; " tahun"</f>
        <v>Curah hujan rencana (RTr) = 1000 tahun</v>
      </c>
      <c r="C8" s="95"/>
      <c r="D8" s="128">
        <f>Referensi!M10</f>
        <v>216.06434415766256</v>
      </c>
      <c r="E8" s="96" t="s">
        <v>84</v>
      </c>
      <c r="G8" s="108">
        <f t="shared" ref="G8:G11" si="4">G7+1</f>
        <v>3</v>
      </c>
      <c r="H8" s="54" t="s">
        <v>30</v>
      </c>
      <c r="I8" s="55">
        <f t="shared" si="1"/>
        <v>36.010724026277089</v>
      </c>
      <c r="J8" s="56">
        <f t="shared" si="2"/>
        <v>108.03217207883127</v>
      </c>
      <c r="K8" s="56">
        <f t="shared" ref="K8:K11" si="5">J8-J7</f>
        <v>13.657376987734011</v>
      </c>
      <c r="L8" s="27">
        <f t="shared" si="0"/>
        <v>0.10033925163346483</v>
      </c>
      <c r="M8" s="57">
        <f>L6</f>
        <v>0.55032120814910446</v>
      </c>
      <c r="N8" s="56">
        <f t="shared" si="3"/>
        <v>118.90479091478876</v>
      </c>
      <c r="O8" s="109">
        <f t="shared" ref="O8:O11" si="6">N8*$D$9</f>
        <v>116.40120632390337</v>
      </c>
      <c r="P8" s="219"/>
      <c r="Q8" s="163">
        <v>2</v>
      </c>
      <c r="R8" s="164" t="s">
        <v>141</v>
      </c>
      <c r="S8" s="165"/>
    </row>
    <row r="9" spans="1:19" ht="16.2" thickBot="1" x14ac:dyDescent="0.35">
      <c r="A9" s="97">
        <v>6</v>
      </c>
      <c r="B9" s="98" t="s">
        <v>55</v>
      </c>
      <c r="C9" s="99"/>
      <c r="D9" s="130">
        <f>Referensi!H17</f>
        <v>0.97894462812117011</v>
      </c>
      <c r="E9" s="100"/>
      <c r="G9" s="108">
        <f t="shared" si="4"/>
        <v>4</v>
      </c>
      <c r="H9" s="54" t="s">
        <v>31</v>
      </c>
      <c r="I9" s="55">
        <f t="shared" si="1"/>
        <v>29.726197728697187</v>
      </c>
      <c r="J9" s="56">
        <f t="shared" si="2"/>
        <v>118.90479091478875</v>
      </c>
      <c r="K9" s="56">
        <f t="shared" si="5"/>
        <v>10.872618835957482</v>
      </c>
      <c r="L9" s="27">
        <f t="shared" si="0"/>
        <v>7.9879938752199176E-2</v>
      </c>
      <c r="M9" s="57">
        <f>L7</f>
        <v>0.14304006620153037</v>
      </c>
      <c r="N9" s="56">
        <f t="shared" si="3"/>
        <v>30.905858092102296</v>
      </c>
      <c r="O9" s="109">
        <f t="shared" si="6"/>
        <v>30.255123756738737</v>
      </c>
      <c r="P9" s="219"/>
      <c r="Q9" s="165"/>
      <c r="R9" s="167" t="s">
        <v>143</v>
      </c>
      <c r="S9" s="163" t="s">
        <v>144</v>
      </c>
    </row>
    <row r="10" spans="1:19" ht="15.6" x14ac:dyDescent="0.3">
      <c r="A10" s="62"/>
      <c r="B10" s="63"/>
      <c r="C10" s="11"/>
      <c r="D10" s="92"/>
      <c r="E10" s="11"/>
      <c r="G10" s="108">
        <f t="shared" si="4"/>
        <v>5</v>
      </c>
      <c r="H10" s="54" t="s">
        <v>32</v>
      </c>
      <c r="I10" s="55">
        <f t="shared" si="1"/>
        <v>25.617260635780884</v>
      </c>
      <c r="J10" s="56">
        <f t="shared" si="2"/>
        <v>128.08630317890442</v>
      </c>
      <c r="K10" s="56">
        <f t="shared" si="5"/>
        <v>9.1815122641156677</v>
      </c>
      <c r="L10" s="27">
        <f t="shared" si="0"/>
        <v>6.7455564144729585E-2</v>
      </c>
      <c r="M10" s="57">
        <f>L9</f>
        <v>7.9879938752199176E-2</v>
      </c>
      <c r="N10" s="56">
        <f t="shared" si="3"/>
        <v>17.259206577848168</v>
      </c>
      <c r="O10" s="109">
        <f t="shared" si="6"/>
        <v>16.895807565018028</v>
      </c>
      <c r="P10" s="219"/>
      <c r="Q10" s="165"/>
      <c r="R10" s="167" t="s">
        <v>146</v>
      </c>
      <c r="S10" s="163" t="s">
        <v>147</v>
      </c>
    </row>
    <row r="11" spans="1:19" ht="16.2" thickBot="1" x14ac:dyDescent="0.35">
      <c r="G11" s="110">
        <f t="shared" si="4"/>
        <v>6</v>
      </c>
      <c r="H11" s="58" t="s">
        <v>33</v>
      </c>
      <c r="I11" s="59">
        <f t="shared" si="1"/>
        <v>22.685334611330784</v>
      </c>
      <c r="J11" s="60">
        <f t="shared" si="2"/>
        <v>136.1120076679847</v>
      </c>
      <c r="K11" s="60">
        <f t="shared" si="5"/>
        <v>8.0257044890802831</v>
      </c>
      <c r="L11" s="28">
        <f t="shared" si="0"/>
        <v>5.8963971118971545E-2</v>
      </c>
      <c r="M11" s="61">
        <f>L11</f>
        <v>5.8963971118971545E-2</v>
      </c>
      <c r="N11" s="60">
        <f t="shared" si="3"/>
        <v>12.740011748751943</v>
      </c>
      <c r="O11" s="111">
        <f t="shared" si="6"/>
        <v>12.47176606364131</v>
      </c>
      <c r="P11" s="219"/>
      <c r="Q11" s="165"/>
      <c r="R11" s="167" t="s">
        <v>148</v>
      </c>
      <c r="S11" s="163" t="s">
        <v>149</v>
      </c>
    </row>
    <row r="12" spans="1:19" ht="19.2" thickTop="1" thickBot="1" x14ac:dyDescent="0.35">
      <c r="A12" s="281" t="s">
        <v>23</v>
      </c>
      <c r="B12" s="281"/>
      <c r="C12" s="281"/>
      <c r="D12" s="281"/>
      <c r="E12" s="281"/>
      <c r="G12" s="112" t="s">
        <v>34</v>
      </c>
      <c r="H12" s="113"/>
      <c r="I12" s="113"/>
      <c r="J12" s="113"/>
      <c r="K12" s="114">
        <f>SUM(K6:K11)</f>
        <v>136.1120076679847</v>
      </c>
      <c r="L12" s="115">
        <f>SUM(L6:L11)</f>
        <v>1</v>
      </c>
      <c r="M12" s="115">
        <f>SUM(M6:M11)</f>
        <v>1</v>
      </c>
      <c r="N12" s="114">
        <f>SUM(N6:N11)</f>
        <v>216.06434415766259</v>
      </c>
      <c r="O12" s="116">
        <f>SUM(O6:O11)</f>
        <v>211.51502904166745</v>
      </c>
      <c r="Q12" s="165"/>
      <c r="R12" s="167" t="s">
        <v>151</v>
      </c>
      <c r="S12" s="163" t="s">
        <v>152</v>
      </c>
    </row>
    <row r="13" spans="1:19" ht="16.2" thickTop="1" x14ac:dyDescent="0.3">
      <c r="A13" s="11"/>
      <c r="B13" s="12"/>
      <c r="C13" s="12"/>
      <c r="D13" s="64"/>
      <c r="E13" s="65"/>
      <c r="Q13" s="165"/>
      <c r="R13" s="167" t="s">
        <v>154</v>
      </c>
      <c r="S13" s="163" t="s">
        <v>139</v>
      </c>
    </row>
    <row r="14" spans="1:19" ht="15.6" x14ac:dyDescent="0.3">
      <c r="A14" s="11" t="s">
        <v>6</v>
      </c>
      <c r="B14" s="148"/>
      <c r="C14" s="12" t="s">
        <v>257</v>
      </c>
      <c r="D14" s="64"/>
      <c r="E14" s="65"/>
      <c r="G14" s="10"/>
      <c r="Q14" s="163">
        <v>3</v>
      </c>
      <c r="R14" s="164" t="s">
        <v>156</v>
      </c>
      <c r="S14" s="165"/>
    </row>
    <row r="15" spans="1:19" ht="15.6" x14ac:dyDescent="0.3">
      <c r="A15" s="11"/>
      <c r="B15" s="149"/>
      <c r="C15" s="12" t="s">
        <v>7</v>
      </c>
      <c r="D15" s="64"/>
      <c r="E15" s="65"/>
      <c r="G15" s="10"/>
      <c r="J15" s="255"/>
      <c r="K15" s="255"/>
      <c r="Q15" s="165"/>
      <c r="R15" s="167" t="s">
        <v>159</v>
      </c>
      <c r="S15" s="163" t="s">
        <v>160</v>
      </c>
    </row>
    <row r="16" spans="1:19" ht="15.6" x14ac:dyDescent="0.3">
      <c r="A16" s="11"/>
      <c r="B16" s="210"/>
      <c r="C16" s="12" t="s">
        <v>183</v>
      </c>
      <c r="D16" s="64"/>
      <c r="E16" s="65"/>
      <c r="H16" s="10"/>
      <c r="I16" s="256"/>
      <c r="J16" s="13"/>
      <c r="K16" s="13"/>
      <c r="Q16" s="165"/>
      <c r="R16" s="167" t="s">
        <v>162</v>
      </c>
      <c r="S16" s="163" t="s">
        <v>163</v>
      </c>
    </row>
    <row r="17" spans="1:19" ht="15" thickBot="1" x14ac:dyDescent="0.35">
      <c r="A17" s="11"/>
      <c r="B17" s="12"/>
      <c r="C17" s="12"/>
      <c r="D17" s="64"/>
      <c r="E17" s="65"/>
      <c r="I17" s="257"/>
      <c r="J17" s="13"/>
      <c r="K17" s="13"/>
      <c r="Q17" s="163">
        <v>4</v>
      </c>
      <c r="R17" s="164" t="s">
        <v>164</v>
      </c>
      <c r="S17" s="163" t="s">
        <v>165</v>
      </c>
    </row>
    <row r="18" spans="1:19" ht="15" thickBot="1" x14ac:dyDescent="0.35">
      <c r="A18" s="89" t="s">
        <v>8</v>
      </c>
      <c r="B18" s="282" t="s">
        <v>9</v>
      </c>
      <c r="C18" s="283"/>
      <c r="D18" s="90" t="s">
        <v>10</v>
      </c>
      <c r="E18" s="91" t="s">
        <v>11</v>
      </c>
      <c r="G18" s="12"/>
      <c r="I18" s="257"/>
      <c r="J18" s="13"/>
      <c r="K18" s="13"/>
      <c r="Q18" s="163">
        <v>5</v>
      </c>
      <c r="R18" s="164" t="s">
        <v>166</v>
      </c>
      <c r="S18" s="163" t="s">
        <v>167</v>
      </c>
    </row>
    <row r="19" spans="1:19" ht="15" thickTop="1" x14ac:dyDescent="0.3">
      <c r="A19" s="66">
        <v>1</v>
      </c>
      <c r="B19" s="67" t="s">
        <v>1</v>
      </c>
      <c r="C19" s="68"/>
      <c r="D19" s="150">
        <f>D5</f>
        <v>3.2930000000000001</v>
      </c>
      <c r="E19" s="69" t="s">
        <v>2</v>
      </c>
      <c r="I19" s="13"/>
      <c r="J19" s="13"/>
      <c r="K19" s="13"/>
      <c r="Q19" s="163">
        <v>6</v>
      </c>
      <c r="R19" s="164" t="s">
        <v>168</v>
      </c>
      <c r="S19" s="163" t="s">
        <v>169</v>
      </c>
    </row>
    <row r="20" spans="1:19" ht="15.6" x14ac:dyDescent="0.3">
      <c r="A20" s="70">
        <f>A19+1</f>
        <v>2</v>
      </c>
      <c r="B20" s="71" t="s">
        <v>115</v>
      </c>
      <c r="C20" s="72"/>
      <c r="D20" s="73"/>
      <c r="E20" s="74"/>
      <c r="I20" s="13"/>
      <c r="J20" s="13"/>
      <c r="K20" s="13"/>
      <c r="Q20" s="163">
        <v>7</v>
      </c>
      <c r="R20" s="164" t="s">
        <v>170</v>
      </c>
      <c r="S20" s="163" t="s">
        <v>171</v>
      </c>
    </row>
    <row r="21" spans="1:19" ht="16.2" x14ac:dyDescent="0.3">
      <c r="A21" s="70"/>
      <c r="B21" s="71"/>
      <c r="C21" s="72" t="s">
        <v>86</v>
      </c>
      <c r="D21" s="75"/>
      <c r="E21" s="74"/>
      <c r="I21" s="13"/>
      <c r="J21" s="13"/>
      <c r="K21" s="13"/>
      <c r="Q21" s="163">
        <v>8</v>
      </c>
      <c r="R21" s="164" t="s">
        <v>172</v>
      </c>
      <c r="S21" s="163" t="s">
        <v>173</v>
      </c>
    </row>
    <row r="22" spans="1:19" ht="15.6" x14ac:dyDescent="0.3">
      <c r="A22" s="70"/>
      <c r="B22" s="71"/>
      <c r="C22" s="72" t="s">
        <v>87</v>
      </c>
      <c r="D22" s="75"/>
      <c r="E22" s="74"/>
      <c r="I22" s="13"/>
      <c r="J22" s="13"/>
      <c r="K22" s="13"/>
      <c r="Q22" s="163">
        <v>9</v>
      </c>
      <c r="R22" s="164" t="s">
        <v>174</v>
      </c>
      <c r="S22" s="165"/>
    </row>
    <row r="23" spans="1:19" ht="15.6" x14ac:dyDescent="0.3">
      <c r="A23" s="70"/>
      <c r="B23" s="71" t="s">
        <v>314</v>
      </c>
      <c r="C23" s="72" t="s">
        <v>88</v>
      </c>
      <c r="D23" s="75">
        <f>IF(D19&lt;15,0.21*(D19^0.7),0.4+0.058*D19)</f>
        <v>0.48365257711890125</v>
      </c>
      <c r="E23" s="74" t="s">
        <v>5</v>
      </c>
      <c r="H23" s="10" t="s">
        <v>318</v>
      </c>
      <c r="I23" s="256" t="s">
        <v>315</v>
      </c>
      <c r="J23" s="13"/>
      <c r="K23" s="255"/>
      <c r="Q23" s="165"/>
      <c r="R23" s="167" t="s">
        <v>175</v>
      </c>
      <c r="S23" s="163" t="s">
        <v>176</v>
      </c>
    </row>
    <row r="24" spans="1:19" ht="16.2" thickBot="1" x14ac:dyDescent="0.35">
      <c r="A24" s="70">
        <f>A20+1</f>
        <v>3</v>
      </c>
      <c r="B24" s="71" t="s">
        <v>116</v>
      </c>
      <c r="C24" s="72"/>
      <c r="D24" s="73"/>
      <c r="E24" s="74" t="s">
        <v>5</v>
      </c>
      <c r="G24" s="10" t="s">
        <v>316</v>
      </c>
      <c r="H24" s="255">
        <v>3.2930000000000001</v>
      </c>
      <c r="I24">
        <f>(H24/H26)*H27</f>
        <v>537.59292234629697</v>
      </c>
      <c r="Q24" s="169"/>
      <c r="R24" s="170" t="s">
        <v>177</v>
      </c>
      <c r="S24" s="169" t="s">
        <v>178</v>
      </c>
    </row>
    <row r="25" spans="1:19" ht="15.6" x14ac:dyDescent="0.3">
      <c r="A25" s="70"/>
      <c r="B25" s="71"/>
      <c r="C25" s="72" t="s">
        <v>89</v>
      </c>
      <c r="D25" s="73"/>
      <c r="E25" s="74"/>
      <c r="G25" s="10" t="s">
        <v>317</v>
      </c>
      <c r="H25" s="255">
        <v>4.4980000000000002</v>
      </c>
      <c r="I25">
        <f>(H25/H26)*H27</f>
        <v>734.31307765370286</v>
      </c>
      <c r="Q25" s="280" t="s">
        <v>179</v>
      </c>
      <c r="R25" s="280"/>
    </row>
    <row r="26" spans="1:19" x14ac:dyDescent="0.3">
      <c r="A26" s="70"/>
      <c r="B26" s="71"/>
      <c r="C26" s="72" t="s">
        <v>12</v>
      </c>
      <c r="D26" s="152">
        <v>0.75</v>
      </c>
      <c r="E26" s="74"/>
      <c r="G26" t="s">
        <v>70</v>
      </c>
      <c r="H26">
        <f>SUM(H24:H25)</f>
        <v>7.7910000000000004</v>
      </c>
    </row>
    <row r="27" spans="1:19" x14ac:dyDescent="0.3">
      <c r="A27" s="70"/>
      <c r="B27" s="71"/>
      <c r="C27" s="72" t="s">
        <v>13</v>
      </c>
      <c r="D27" s="75">
        <f>D26*D23</f>
        <v>0.36273943283917592</v>
      </c>
      <c r="E27" s="74" t="s">
        <v>5</v>
      </c>
      <c r="G27" t="s">
        <v>319</v>
      </c>
      <c r="H27">
        <v>1271.9059999999999</v>
      </c>
      <c r="I27">
        <f>SUM(I24:I25)</f>
        <v>1271.9059999999999</v>
      </c>
    </row>
    <row r="28" spans="1:19" ht="15.6" x14ac:dyDescent="0.3">
      <c r="A28" s="70">
        <f>A24+1</f>
        <v>4</v>
      </c>
      <c r="B28" s="71" t="s">
        <v>90</v>
      </c>
      <c r="C28" s="72"/>
      <c r="D28" s="75">
        <f>D23+(0.8*D27)</f>
        <v>0.773844123390242</v>
      </c>
      <c r="E28" s="74" t="s">
        <v>5</v>
      </c>
    </row>
    <row r="29" spans="1:19" x14ac:dyDescent="0.3">
      <c r="A29" s="70">
        <f>A28+1</f>
        <v>5</v>
      </c>
      <c r="B29" s="71" t="s">
        <v>14</v>
      </c>
      <c r="C29" s="72"/>
      <c r="D29" s="73"/>
      <c r="E29" s="74"/>
    </row>
    <row r="30" spans="1:19" x14ac:dyDescent="0.3">
      <c r="A30" s="70"/>
      <c r="B30" s="71"/>
      <c r="C30" s="72" t="s">
        <v>15</v>
      </c>
      <c r="D30" s="75"/>
      <c r="E30" s="74"/>
    </row>
    <row r="31" spans="1:19" x14ac:dyDescent="0.3">
      <c r="A31" s="70"/>
      <c r="B31" s="71"/>
      <c r="C31" s="72" t="s">
        <v>16</v>
      </c>
      <c r="D31" s="75"/>
      <c r="E31" s="74"/>
    </row>
    <row r="32" spans="1:19" x14ac:dyDescent="0.3">
      <c r="A32" s="70"/>
      <c r="B32" s="71"/>
      <c r="C32" s="72" t="s">
        <v>17</v>
      </c>
      <c r="D32" s="75"/>
      <c r="E32" s="74"/>
    </row>
    <row r="33" spans="1:5" x14ac:dyDescent="0.3">
      <c r="A33" s="70"/>
      <c r="B33" s="71"/>
      <c r="C33" s="72" t="s">
        <v>18</v>
      </c>
      <c r="D33" s="152">
        <v>2</v>
      </c>
      <c r="E33" s="74"/>
    </row>
    <row r="34" spans="1:5" ht="15.6" x14ac:dyDescent="0.3">
      <c r="A34" s="70">
        <f>A29+1</f>
        <v>6</v>
      </c>
      <c r="B34" s="71" t="s">
        <v>91</v>
      </c>
      <c r="C34" s="72"/>
      <c r="D34" s="75">
        <f>D33*D23</f>
        <v>0.9673051542378025</v>
      </c>
      <c r="E34" s="74" t="s">
        <v>5</v>
      </c>
    </row>
    <row r="35" spans="1:5" ht="16.2" x14ac:dyDescent="0.3">
      <c r="A35" s="70">
        <f t="shared" ref="A35:A38" si="7">A34+1</f>
        <v>7</v>
      </c>
      <c r="B35" s="71" t="s">
        <v>19</v>
      </c>
      <c r="C35" s="72"/>
      <c r="D35" s="151">
        <f>D4</f>
        <v>12.719059999999999</v>
      </c>
      <c r="E35" s="74" t="s">
        <v>85</v>
      </c>
    </row>
    <row r="36" spans="1:5" ht="15.6" x14ac:dyDescent="0.3">
      <c r="A36" s="70">
        <f t="shared" si="7"/>
        <v>8</v>
      </c>
      <c r="B36" s="71" t="s">
        <v>114</v>
      </c>
      <c r="C36" s="72"/>
      <c r="D36" s="152">
        <v>1</v>
      </c>
      <c r="E36" s="74" t="s">
        <v>20</v>
      </c>
    </row>
    <row r="37" spans="1:5" x14ac:dyDescent="0.3">
      <c r="A37" s="70">
        <f t="shared" si="7"/>
        <v>9</v>
      </c>
      <c r="B37" s="71" t="s">
        <v>3</v>
      </c>
      <c r="C37" s="72"/>
      <c r="D37" s="75">
        <f>D6</f>
        <v>0.48299999999999998</v>
      </c>
      <c r="E37" s="74"/>
    </row>
    <row r="38" spans="1:5" ht="16.2" x14ac:dyDescent="0.3">
      <c r="A38" s="70">
        <f t="shared" si="7"/>
        <v>10</v>
      </c>
      <c r="B38" s="71" t="s">
        <v>92</v>
      </c>
      <c r="C38" s="72"/>
      <c r="D38" s="75">
        <f>(D37*D35*D36)/(3.6*((0.3*D28)+D34))</f>
        <v>1.4227036934128392</v>
      </c>
      <c r="E38" s="74" t="s">
        <v>93</v>
      </c>
    </row>
    <row r="39" spans="1:5" ht="15" thickBot="1" x14ac:dyDescent="0.35">
      <c r="A39" s="76"/>
      <c r="B39" s="77"/>
      <c r="C39" s="78"/>
      <c r="D39" s="79"/>
      <c r="E39" s="80"/>
    </row>
  </sheetData>
  <mergeCells count="5">
    <mergeCell ref="Q25:R25"/>
    <mergeCell ref="A1:E1"/>
    <mergeCell ref="A12:E12"/>
    <mergeCell ref="B18:C18"/>
    <mergeCell ref="B3:C3"/>
  </mergeCells>
  <pageMargins left="0.7" right="0.7" top="0.75" bottom="0.75" header="0.3" footer="0.3"/>
  <pageSetup orientation="portrait" verticalDpi="300" r:id="rId1"/>
  <drawing r:id="rId2"/>
  <legacyDrawing r:id="rId3"/>
  <oleObjects>
    <mc:AlternateContent xmlns:mc="http://schemas.openxmlformats.org/markup-compatibility/2006">
      <mc:Choice Requires="x14">
        <oleObject progId="Equation.3" shapeId="1029" r:id="rId4">
          <objectPr defaultSize="0" autoPict="0" r:id="rId5">
            <anchor moveWithCells="1">
              <from>
                <xdr:col>1</xdr:col>
                <xdr:colOff>144780</xdr:colOff>
                <xdr:row>40</xdr:row>
                <xdr:rowOff>7620</xdr:rowOff>
              </from>
              <to>
                <xdr:col>2</xdr:col>
                <xdr:colOff>1699260</xdr:colOff>
                <xdr:row>43</xdr:row>
                <xdr:rowOff>121920</xdr:rowOff>
              </to>
            </anchor>
          </objectPr>
        </oleObject>
      </mc:Choice>
      <mc:Fallback>
        <oleObject progId="Equation.3" shapeId="102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M77"/>
  <sheetViews>
    <sheetView topLeftCell="A9" zoomScaleNormal="100" workbookViewId="0">
      <selection activeCell="D11" sqref="D11"/>
    </sheetView>
  </sheetViews>
  <sheetFormatPr defaultColWidth="9.109375" defaultRowHeight="13.2" x14ac:dyDescent="0.3"/>
  <cols>
    <col min="1" max="1" width="8.88671875" style="4" customWidth="1"/>
    <col min="2" max="2" width="13.33203125" style="1" customWidth="1"/>
    <col min="3" max="3" width="14" style="1" bestFit="1" customWidth="1"/>
    <col min="4" max="4" width="27.88671875" style="1" bestFit="1" customWidth="1"/>
    <col min="5" max="5" width="11.88671875" style="1" bestFit="1" customWidth="1"/>
    <col min="6" max="6" width="14" style="1" bestFit="1" customWidth="1"/>
    <col min="7" max="7" width="11.33203125" style="1" bestFit="1" customWidth="1"/>
    <col min="8" max="8" width="3.6640625" style="1" customWidth="1"/>
    <col min="9" max="9" width="10.109375" style="1" bestFit="1" customWidth="1"/>
    <col min="10" max="16384" width="9.109375" style="1"/>
  </cols>
  <sheetData>
    <row r="1" spans="1:13" ht="21.75" customHeight="1" thickBot="1" x14ac:dyDescent="0.35">
      <c r="A1" s="285" t="s">
        <v>83</v>
      </c>
      <c r="B1" s="285"/>
      <c r="C1" s="285"/>
      <c r="D1" s="285"/>
      <c r="E1" s="285"/>
      <c r="F1" s="285"/>
      <c r="G1" s="285"/>
      <c r="H1" s="29"/>
      <c r="I1" s="29"/>
      <c r="J1" s="29"/>
      <c r="K1" s="29"/>
      <c r="L1" s="29"/>
      <c r="M1" s="29"/>
    </row>
    <row r="2" spans="1:13" ht="3.75" customHeight="1" thickTop="1" x14ac:dyDescent="0.3">
      <c r="A2" s="1"/>
      <c r="B2" s="2"/>
      <c r="C2" s="2"/>
      <c r="D2" s="3"/>
      <c r="E2" s="4"/>
      <c r="H2" s="4"/>
      <c r="I2" s="4"/>
      <c r="J2" s="4"/>
      <c r="K2" s="4"/>
      <c r="L2" s="4"/>
      <c r="M2" s="4"/>
    </row>
    <row r="3" spans="1:13" ht="15.6" x14ac:dyDescent="0.3">
      <c r="A3" s="2" t="s">
        <v>57</v>
      </c>
      <c r="B3" s="30">
        <f>'Input Data Nakayasu'!D38</f>
        <v>1.4227036934128392</v>
      </c>
      <c r="C3" s="1" t="s">
        <v>21</v>
      </c>
      <c r="D3" s="2" t="s">
        <v>94</v>
      </c>
      <c r="E3" s="32">
        <f>B4+B5</f>
        <v>1.7411492776280446</v>
      </c>
      <c r="F3" s="2" t="s">
        <v>5</v>
      </c>
    </row>
    <row r="4" spans="1:13" ht="15.6" x14ac:dyDescent="0.3">
      <c r="A4" s="2" t="s">
        <v>58</v>
      </c>
      <c r="B4" s="30">
        <f>'Input Data Nakayasu'!D28</f>
        <v>0.773844123390242</v>
      </c>
      <c r="C4" s="1" t="s">
        <v>5</v>
      </c>
      <c r="D4" s="30" t="s">
        <v>95</v>
      </c>
      <c r="E4" s="32">
        <f>B4+B5+1.5*B5</f>
        <v>3.1921070089847481</v>
      </c>
      <c r="F4" s="2" t="s">
        <v>5</v>
      </c>
      <c r="G4" s="4"/>
    </row>
    <row r="5" spans="1:13" ht="15.6" x14ac:dyDescent="0.3">
      <c r="A5" s="2" t="s">
        <v>59</v>
      </c>
      <c r="B5" s="30">
        <f>'Input Data Nakayasu'!D34</f>
        <v>0.9673051542378025</v>
      </c>
      <c r="C5" s="1" t="s">
        <v>5</v>
      </c>
      <c r="D5" s="83"/>
      <c r="E5" s="83"/>
      <c r="F5" s="83"/>
      <c r="G5" s="32"/>
    </row>
    <row r="6" spans="1:13" ht="15.6" x14ac:dyDescent="0.3">
      <c r="A6" s="2" t="s">
        <v>60</v>
      </c>
      <c r="B6" s="30">
        <f>1.5*B5</f>
        <v>1.4509577313567037</v>
      </c>
      <c r="C6" s="1" t="s">
        <v>5</v>
      </c>
      <c r="D6" s="32"/>
      <c r="E6" s="32"/>
      <c r="F6" s="32"/>
      <c r="G6" s="32"/>
    </row>
    <row r="7" spans="1:13" ht="15" customHeight="1" thickBot="1" x14ac:dyDescent="0.35">
      <c r="A7" s="1"/>
      <c r="B7" s="2"/>
      <c r="C7" s="4"/>
      <c r="D7" s="31"/>
      <c r="E7" s="4"/>
      <c r="H7" s="4"/>
      <c r="I7" s="4"/>
      <c r="J7" s="4"/>
      <c r="K7" s="4"/>
      <c r="L7" s="4"/>
      <c r="M7" s="4"/>
    </row>
    <row r="8" spans="1:13" s="4" customFormat="1" ht="18.75" customHeight="1" x14ac:dyDescent="0.3">
      <c r="A8" s="33" t="s">
        <v>61</v>
      </c>
      <c r="B8" s="34" t="s">
        <v>62</v>
      </c>
      <c r="C8" s="286" t="s">
        <v>63</v>
      </c>
      <c r="D8" s="286"/>
      <c r="E8" s="286"/>
      <c r="F8" s="287" t="s">
        <v>34</v>
      </c>
      <c r="G8" s="35" t="s">
        <v>64</v>
      </c>
    </row>
    <row r="9" spans="1:13" s="4" customFormat="1" ht="15.6" x14ac:dyDescent="0.3">
      <c r="A9" s="36" t="s">
        <v>65</v>
      </c>
      <c r="B9" s="37" t="s">
        <v>66</v>
      </c>
      <c r="C9" s="37" t="s">
        <v>67</v>
      </c>
      <c r="D9" s="37" t="s">
        <v>68</v>
      </c>
      <c r="E9" s="37" t="s">
        <v>69</v>
      </c>
      <c r="F9" s="288"/>
      <c r="G9" s="38" t="s">
        <v>70</v>
      </c>
    </row>
    <row r="10" spans="1:13" s="4" customFormat="1" ht="15.6" x14ac:dyDescent="0.3">
      <c r="A10" s="36"/>
      <c r="B10" s="84" t="s">
        <v>98</v>
      </c>
      <c r="C10" s="37" t="s">
        <v>99</v>
      </c>
      <c r="D10" s="37" t="s">
        <v>96</v>
      </c>
      <c r="E10" s="37" t="s">
        <v>97</v>
      </c>
      <c r="F10" s="40"/>
      <c r="G10" s="38"/>
    </row>
    <row r="11" spans="1:13" s="4" customFormat="1" ht="14.25" customHeight="1" x14ac:dyDescent="0.3">
      <c r="A11" s="289" t="s">
        <v>71</v>
      </c>
      <c r="B11" s="290" t="s">
        <v>72</v>
      </c>
      <c r="C11" s="39" t="s">
        <v>73</v>
      </c>
      <c r="D11" s="39" t="s">
        <v>74</v>
      </c>
      <c r="E11" s="39" t="s">
        <v>75</v>
      </c>
      <c r="F11" s="288" t="s">
        <v>76</v>
      </c>
      <c r="G11" s="38" t="s">
        <v>77</v>
      </c>
    </row>
    <row r="12" spans="1:13" s="4" customFormat="1" ht="16.2" thickBot="1" x14ac:dyDescent="0.35">
      <c r="A12" s="289"/>
      <c r="B12" s="288"/>
      <c r="C12" s="40" t="s">
        <v>78</v>
      </c>
      <c r="D12" s="40" t="s">
        <v>79</v>
      </c>
      <c r="E12" s="40" t="s">
        <v>80</v>
      </c>
      <c r="F12" s="291"/>
      <c r="G12" s="41" t="s">
        <v>81</v>
      </c>
    </row>
    <row r="13" spans="1:13" s="4" customFormat="1" ht="13.8" thickBot="1" x14ac:dyDescent="0.35">
      <c r="A13" s="42">
        <v>1</v>
      </c>
      <c r="B13" s="230">
        <v>2</v>
      </c>
      <c r="C13" s="231">
        <v>3</v>
      </c>
      <c r="D13" s="232">
        <v>4</v>
      </c>
      <c r="E13" s="233">
        <v>5</v>
      </c>
      <c r="F13" s="5" t="s">
        <v>82</v>
      </c>
      <c r="G13" s="43">
        <v>7</v>
      </c>
    </row>
    <row r="14" spans="1:13" ht="13.8" thickTop="1" x14ac:dyDescent="0.3">
      <c r="A14" s="44">
        <v>0</v>
      </c>
      <c r="B14" s="45">
        <f>(A14/$B$4)^2.4</f>
        <v>0</v>
      </c>
      <c r="C14" s="46"/>
      <c r="D14" s="46"/>
      <c r="E14" s="46"/>
      <c r="F14" s="45">
        <f t="shared" ref="F14" si="0">SUM(B14:E14)</f>
        <v>0</v>
      </c>
      <c r="G14" s="86">
        <f>IF(AND(A14&gt;=0,A14&lt;=$B$4),$B$3*F14,IF(AND(A14&gt;$B$4,A14&lt;=$E$3),$B$3*0.3^F14,IF(AND(A14&gt;=$E$3,A14&lt;$E$4),$B$3*0.3^F14,IF(A14&gt;=$B$6,$B$3*0.3^F14))))</f>
        <v>0</v>
      </c>
      <c r="H14" s="31"/>
      <c r="I14" s="31"/>
      <c r="J14" s="31"/>
    </row>
    <row r="15" spans="1:13" x14ac:dyDescent="0.3">
      <c r="A15" s="47">
        <v>1</v>
      </c>
      <c r="B15" s="7">
        <f>(A15/$B$4)^2.4</f>
        <v>1.8502551711741797</v>
      </c>
      <c r="C15" s="7"/>
      <c r="D15" s="6"/>
      <c r="E15" s="7"/>
      <c r="F15" s="7">
        <f>SUM(B15:E15)</f>
        <v>1.8502551711741797</v>
      </c>
      <c r="G15" s="48">
        <f>IF(AND(A15&gt;=0,A15&lt;=$B$4),$B$3*F15,IF(AND(A15&gt;$B$4,A15&lt;=$E$3),$B$3*0.3^F15,IF(AND(A15&gt;=$E$3,A15&lt;$E$4),$B$3*0.3^F15,IF(A15&gt;=$B$6,$B$3*0.3^F15))))</f>
        <v>0.15333996387688015</v>
      </c>
      <c r="H15" s="31"/>
      <c r="I15" s="31"/>
      <c r="J15" s="31"/>
    </row>
    <row r="16" spans="1:13" x14ac:dyDescent="0.3">
      <c r="A16" s="82">
        <f>B4</f>
        <v>0.773844123390242</v>
      </c>
      <c r="B16" s="7">
        <f>(A16/$B$4)^2.4</f>
        <v>1</v>
      </c>
      <c r="C16" s="6"/>
      <c r="D16" s="6"/>
      <c r="E16" s="6"/>
      <c r="F16" s="7">
        <f>SUM(B16:E16)</f>
        <v>1</v>
      </c>
      <c r="G16" s="48">
        <f>IF(AND(A16&gt;=0,A16&lt;=$B$4),$B$3*F16,IF(AND(A16&gt;$B$4,A16&lt;=$E$3),$B$3*0.3^F16,IF(AND(A16&gt;=$E$3,A16&lt;$E$4),$B$3*0.3^F16,IF(A16&gt;=$B$6,$B$3*0.3^F16))))</f>
        <v>1.4227036934128392</v>
      </c>
      <c r="H16" s="31"/>
      <c r="I16" s="31"/>
      <c r="J16" s="31"/>
    </row>
    <row r="17" spans="1:10" x14ac:dyDescent="0.3">
      <c r="A17" s="47">
        <v>2</v>
      </c>
      <c r="B17" s="7"/>
      <c r="C17" s="7">
        <f t="shared" ref="C17:C21" si="1">(A17-$B$4)/$B$5</f>
        <v>1.2675998584706389</v>
      </c>
      <c r="D17" s="7"/>
      <c r="E17" s="7"/>
      <c r="F17" s="7">
        <f t="shared" ref="F17:F41" si="2">SUM(B17:E17)</f>
        <v>1.2675998584706389</v>
      </c>
      <c r="G17" s="49">
        <f>IF(AND(A17&gt;=0,A17&lt;=$B$4),$B$3*F17,IF(AND(A17&gt;$B$4,A17&lt;=$E$3),$B$3*0.3^F17,IF(AND(A17&gt;=$E$3,A17&lt;$E$4),$B$3*0.3^F17,IF(A17&gt;=$B$6,$B$3*0.3^F17))))</f>
        <v>0.30925265401773849</v>
      </c>
      <c r="H17" s="31"/>
      <c r="I17" s="31"/>
      <c r="J17" s="31"/>
    </row>
    <row r="18" spans="1:10" x14ac:dyDescent="0.3">
      <c r="A18" s="47">
        <v>3</v>
      </c>
      <c r="B18" s="7"/>
      <c r="C18" s="7">
        <f t="shared" si="1"/>
        <v>2.3013997877059582</v>
      </c>
      <c r="D18" s="7"/>
      <c r="E18" s="7"/>
      <c r="F18" s="7">
        <f t="shared" si="2"/>
        <v>2.3013997877059582</v>
      </c>
      <c r="G18" s="49">
        <f t="shared" ref="G18:G19" si="3">IF(AND(A18&gt;=0,A18&lt;=$B$4),$B$3*F18,IF(AND(A18&gt;$B$4,A18&lt;=$E$3),$B$3*0.3^F18,IF(AND(A18&gt;=$E$3,A18&lt;$E$4),$B$3*0.3^F18,IF(A18&gt;=$B$6,$B$3*0.3^F18))))</f>
        <v>8.9076147466301756E-2</v>
      </c>
      <c r="H18" s="31"/>
      <c r="I18" s="31"/>
      <c r="J18" s="31"/>
    </row>
    <row r="19" spans="1:10" x14ac:dyDescent="0.3">
      <c r="A19" s="47">
        <v>4</v>
      </c>
      <c r="B19" s="7"/>
      <c r="C19" s="7">
        <f t="shared" si="1"/>
        <v>3.3351997169412777</v>
      </c>
      <c r="D19" s="7"/>
      <c r="E19" s="7"/>
      <c r="F19" s="7">
        <f t="shared" si="2"/>
        <v>3.3351997169412777</v>
      </c>
      <c r="G19" s="49">
        <f t="shared" si="3"/>
        <v>2.5657209224737066E-2</v>
      </c>
      <c r="H19" s="31"/>
      <c r="I19" s="31"/>
      <c r="J19" s="31"/>
    </row>
    <row r="20" spans="1:10" x14ac:dyDescent="0.3">
      <c r="A20" s="47">
        <v>5</v>
      </c>
      <c r="B20" s="7"/>
      <c r="C20" s="7">
        <f t="shared" si="1"/>
        <v>4.3689996461765972</v>
      </c>
      <c r="D20" s="7"/>
      <c r="E20" s="7"/>
      <c r="F20" s="7">
        <f t="shared" si="2"/>
        <v>4.3689996461765972</v>
      </c>
      <c r="G20" s="87">
        <f t="shared" ref="G20:G24" si="4">IF(AND(A20&gt;=0,A20&lt;=$B$4),$B$3*F20,IF(AND(A20&gt;$B$4,A20&lt;=$E$3),$B$3*0.3^F20,IF(AND(A20&gt;=$E$3,A20&lt;$E$4),$B$3*0.3^F20,IF(A20&gt;=$B$6,$B$3*0.3^F20))))</f>
        <v>7.3902206586894618E-3</v>
      </c>
      <c r="H20" s="31"/>
      <c r="I20" s="31"/>
      <c r="J20" s="31"/>
    </row>
    <row r="21" spans="1:10" x14ac:dyDescent="0.3">
      <c r="A21" s="82">
        <f>E3</f>
        <v>1.7411492776280446</v>
      </c>
      <c r="B21" s="7"/>
      <c r="C21" s="7">
        <f t="shared" si="1"/>
        <v>1.0000000000000002</v>
      </c>
      <c r="D21" s="7"/>
      <c r="E21" s="6"/>
      <c r="F21" s="7">
        <f>SUM(B21:E21)</f>
        <v>1.0000000000000002</v>
      </c>
      <c r="G21" s="49">
        <f>IF(AND(A21&gt;=0,A21&lt;=$B$4),$B$3*F21,IF(AND(A21&gt;$B$4,A21&lt;=$E$3),$B$3*0.3^F21,IF(AND(A21&gt;=$E$3,A21&lt;$E$4),$B$3*0.3^F21,IF(A21&gt;=$B$6,$B$3*0.3^F21))))</f>
        <v>0.42681110802385158</v>
      </c>
      <c r="H21" s="31"/>
      <c r="I21" s="31"/>
      <c r="J21" s="31"/>
    </row>
    <row r="22" spans="1:10" x14ac:dyDescent="0.3">
      <c r="A22" s="47">
        <v>6</v>
      </c>
      <c r="B22" s="7"/>
      <c r="C22" s="7"/>
      <c r="D22" s="7">
        <f t="shared" ref="D22:D27" si="5">(A22-$B$4+0.5*$B$5)/$B$6</f>
        <v>3.9351997169412778</v>
      </c>
      <c r="E22" s="7"/>
      <c r="F22" s="7">
        <f t="shared" si="2"/>
        <v>3.9351997169412778</v>
      </c>
      <c r="G22" s="87">
        <f t="shared" si="4"/>
        <v>1.2458970816164703E-2</v>
      </c>
      <c r="H22" s="31"/>
      <c r="I22" s="31"/>
      <c r="J22" s="31"/>
    </row>
    <row r="23" spans="1:10" x14ac:dyDescent="0.3">
      <c r="A23" s="47">
        <v>7</v>
      </c>
      <c r="B23" s="7"/>
      <c r="C23" s="7"/>
      <c r="D23" s="7">
        <f t="shared" si="5"/>
        <v>4.6243996697648244</v>
      </c>
      <c r="E23" s="7"/>
      <c r="F23" s="7">
        <f>SUM(B23:E23)</f>
        <v>4.6243996697648244</v>
      </c>
      <c r="G23" s="87">
        <f t="shared" si="4"/>
        <v>5.43393153191015E-3</v>
      </c>
      <c r="H23" s="31"/>
      <c r="I23" s="31"/>
      <c r="J23" s="31"/>
    </row>
    <row r="24" spans="1:10" x14ac:dyDescent="0.3">
      <c r="A24" s="47">
        <v>8</v>
      </c>
      <c r="B24" s="7"/>
      <c r="C24" s="7"/>
      <c r="D24" s="7">
        <f>(A24-$B$4+0.5*$B$5)/$B$6</f>
        <v>5.3135996225883702</v>
      </c>
      <c r="E24" s="7"/>
      <c r="F24" s="7">
        <f>SUM(B24:E24)</f>
        <v>5.3135996225883702</v>
      </c>
      <c r="G24" s="87">
        <f t="shared" si="4"/>
        <v>2.3699880454954819E-3</v>
      </c>
      <c r="H24" s="31"/>
      <c r="I24" s="31"/>
      <c r="J24" s="31"/>
    </row>
    <row r="25" spans="1:10" x14ac:dyDescent="0.3">
      <c r="A25" s="47">
        <v>9</v>
      </c>
      <c r="B25" s="7"/>
      <c r="C25" s="7"/>
      <c r="D25" s="7">
        <f t="shared" si="5"/>
        <v>6.0027995754119168</v>
      </c>
      <c r="E25" s="7"/>
      <c r="F25" s="7">
        <f t="shared" si="2"/>
        <v>6.0027995754119168</v>
      </c>
      <c r="G25" s="85">
        <f t="shared" ref="G25:G41" si="6">IF(AND(A25&gt;=0,A25&lt;=$B$4),$B$3*F25,IF(AND(A25&gt;$B$4,A25&lt;=$E$3),$B$3*0.3^F25,IF(AND(A25&gt;=$E$3,A25&lt;$E$4),$B$3*0.3^F25,IF(A25&gt;=$B$6,$B$3*0.3^F25))))</f>
        <v>1.0336610431705309E-3</v>
      </c>
      <c r="H25" s="31"/>
      <c r="I25" s="31"/>
      <c r="J25" s="31"/>
    </row>
    <row r="26" spans="1:10" x14ac:dyDescent="0.3">
      <c r="A26" s="47">
        <v>10</v>
      </c>
      <c r="B26" s="7"/>
      <c r="C26" s="7"/>
      <c r="D26" s="7">
        <f t="shared" si="5"/>
        <v>6.6919995282354634</v>
      </c>
      <c r="E26" s="7"/>
      <c r="F26" s="7">
        <f t="shared" si="2"/>
        <v>6.6919995282354634</v>
      </c>
      <c r="G26" s="85">
        <f t="shared" si="6"/>
        <v>4.5082723273611028E-4</v>
      </c>
      <c r="H26" s="31"/>
      <c r="I26" s="31"/>
      <c r="J26" s="31"/>
    </row>
    <row r="27" spans="1:10" x14ac:dyDescent="0.3">
      <c r="A27" s="82">
        <f>E4</f>
        <v>3.1921070089847481</v>
      </c>
      <c r="B27" s="7"/>
      <c r="C27" s="7"/>
      <c r="D27" s="7">
        <f t="shared" si="5"/>
        <v>2</v>
      </c>
      <c r="E27" s="7"/>
      <c r="F27" s="7">
        <f>SUM(B27:E27)</f>
        <v>2</v>
      </c>
      <c r="G27" s="87">
        <f>IF(AND(A27&gt;=0,A27&lt;=$B$4),$B$3*F27,IF(AND(A27&gt;$B$4,A27&lt;=$E$3),$B$3*0.3^F27,IF(AND(A27&gt;=$E$3,A27&lt;$E$4),$B$3*0.3^F27,IF(A27&gt;=$B$6,$B$3*0.3^F27))))</f>
        <v>0.12804333240715551</v>
      </c>
      <c r="H27" s="31"/>
      <c r="I27" s="31"/>
      <c r="J27" s="31"/>
    </row>
    <row r="28" spans="1:10" x14ac:dyDescent="0.3">
      <c r="A28" s="47">
        <v>11</v>
      </c>
      <c r="B28" s="7"/>
      <c r="C28" s="7"/>
      <c r="D28" s="7"/>
      <c r="E28" s="7">
        <f t="shared" ref="E28:E33" si="7">(A28-$B$4+$B$6)/(2*$B$5)</f>
        <v>6.0358996107942566</v>
      </c>
      <c r="F28" s="7">
        <f t="shared" si="2"/>
        <v>6.0358996107942566</v>
      </c>
      <c r="G28" s="85">
        <f t="shared" si="6"/>
        <v>9.9327806265111195E-4</v>
      </c>
      <c r="H28" s="31"/>
      <c r="I28" s="31"/>
      <c r="J28" s="31"/>
    </row>
    <row r="29" spans="1:10" x14ac:dyDescent="0.3">
      <c r="A29" s="47">
        <v>12</v>
      </c>
      <c r="B29" s="7"/>
      <c r="C29" s="7"/>
      <c r="D29" s="7"/>
      <c r="E29" s="7">
        <f t="shared" si="7"/>
        <v>6.5527995754119166</v>
      </c>
      <c r="F29" s="7">
        <f t="shared" si="2"/>
        <v>6.5527995754119166</v>
      </c>
      <c r="G29" s="85">
        <f t="shared" si="6"/>
        <v>5.3308300710671783E-4</v>
      </c>
      <c r="H29" s="31"/>
      <c r="I29" s="31"/>
      <c r="J29" s="31"/>
    </row>
    <row r="30" spans="1:10" x14ac:dyDescent="0.3">
      <c r="A30" s="47">
        <v>13</v>
      </c>
      <c r="B30" s="7"/>
      <c r="C30" s="7"/>
      <c r="D30" s="7"/>
      <c r="E30" s="7">
        <f t="shared" si="7"/>
        <v>7.0696995400295766</v>
      </c>
      <c r="F30" s="7">
        <f t="shared" si="2"/>
        <v>7.0696995400295766</v>
      </c>
      <c r="G30" s="85">
        <f t="shared" si="6"/>
        <v>2.8610064306409429E-4</v>
      </c>
      <c r="H30" s="31"/>
      <c r="I30" s="31"/>
      <c r="J30" s="31"/>
    </row>
    <row r="31" spans="1:10" x14ac:dyDescent="0.3">
      <c r="A31" s="47">
        <v>14</v>
      </c>
      <c r="B31" s="7"/>
      <c r="C31" s="7"/>
      <c r="D31" s="7"/>
      <c r="E31" s="7">
        <f t="shared" si="7"/>
        <v>7.5865995046472356</v>
      </c>
      <c r="F31" s="7">
        <f t="shared" si="2"/>
        <v>7.5865995046472356</v>
      </c>
      <c r="G31" s="85">
        <f t="shared" si="6"/>
        <v>1.5354752800308678E-4</v>
      </c>
      <c r="H31" s="31"/>
      <c r="I31" s="31"/>
      <c r="J31" s="31"/>
    </row>
    <row r="32" spans="1:10" x14ac:dyDescent="0.3">
      <c r="A32" s="47">
        <v>15</v>
      </c>
      <c r="B32" s="7"/>
      <c r="C32" s="7"/>
      <c r="D32" s="7"/>
      <c r="E32" s="7">
        <f t="shared" si="7"/>
        <v>8.1034994692648965</v>
      </c>
      <c r="F32" s="7">
        <f t="shared" si="2"/>
        <v>8.1034994692648965</v>
      </c>
      <c r="G32" s="85">
        <f t="shared" si="6"/>
        <v>8.2407516122138841E-5</v>
      </c>
      <c r="H32" s="31"/>
      <c r="I32" s="31"/>
      <c r="J32" s="31"/>
    </row>
    <row r="33" spans="1:10" x14ac:dyDescent="0.3">
      <c r="A33" s="47">
        <v>16</v>
      </c>
      <c r="B33" s="7"/>
      <c r="C33" s="7"/>
      <c r="D33" s="7"/>
      <c r="E33" s="7">
        <f t="shared" si="7"/>
        <v>8.6203994338825556</v>
      </c>
      <c r="F33" s="7">
        <f t="shared" si="2"/>
        <v>8.6203994338825556</v>
      </c>
      <c r="G33" s="85">
        <f t="shared" si="6"/>
        <v>4.4227339910572035E-5</v>
      </c>
      <c r="H33" s="31"/>
      <c r="I33" s="31"/>
      <c r="J33" s="31"/>
    </row>
    <row r="34" spans="1:10" x14ac:dyDescent="0.3">
      <c r="A34" s="47">
        <v>17</v>
      </c>
      <c r="B34" s="7"/>
      <c r="C34" s="7"/>
      <c r="D34" s="7"/>
      <c r="E34" s="7">
        <f>(A34-$B$4+$B$6)/(2*$B$5)</f>
        <v>9.1372993985002147</v>
      </c>
      <c r="F34" s="7">
        <f t="shared" si="2"/>
        <v>9.1372993985002147</v>
      </c>
      <c r="G34" s="85">
        <f t="shared" si="6"/>
        <v>2.3736397935670558E-5</v>
      </c>
      <c r="H34" s="31"/>
      <c r="I34" s="31"/>
      <c r="J34" s="31"/>
    </row>
    <row r="35" spans="1:10" x14ac:dyDescent="0.3">
      <c r="A35" s="47">
        <v>18</v>
      </c>
      <c r="B35" s="7"/>
      <c r="C35" s="7"/>
      <c r="D35" s="7"/>
      <c r="E35" s="7">
        <f t="shared" ref="E35:E41" si="8">(A35-$B$4+$B$6)/(2*$B$5)</f>
        <v>9.6541993631178755</v>
      </c>
      <c r="F35" s="7">
        <f t="shared" si="2"/>
        <v>9.6541993631178755</v>
      </c>
      <c r="G35" s="85">
        <f t="shared" si="6"/>
        <v>1.2739101833837112E-5</v>
      </c>
      <c r="H35" s="31"/>
      <c r="I35" s="31"/>
      <c r="J35" s="31"/>
    </row>
    <row r="36" spans="1:10" x14ac:dyDescent="0.3">
      <c r="A36" s="47">
        <v>19</v>
      </c>
      <c r="B36" s="7"/>
      <c r="C36" s="7"/>
      <c r="D36" s="7"/>
      <c r="E36" s="7">
        <f t="shared" si="8"/>
        <v>10.171099327735535</v>
      </c>
      <c r="F36" s="7">
        <f t="shared" si="2"/>
        <v>10.171099327735535</v>
      </c>
      <c r="G36" s="85">
        <f t="shared" si="6"/>
        <v>6.8369563053623236E-6</v>
      </c>
      <c r="H36" s="31"/>
      <c r="I36" s="31"/>
      <c r="J36" s="31"/>
    </row>
    <row r="37" spans="1:10" x14ac:dyDescent="0.3">
      <c r="A37" s="47">
        <v>20</v>
      </c>
      <c r="B37" s="7"/>
      <c r="C37" s="7"/>
      <c r="D37" s="7"/>
      <c r="E37" s="7">
        <f t="shared" si="8"/>
        <v>10.687999292353194</v>
      </c>
      <c r="F37" s="7">
        <f t="shared" si="2"/>
        <v>10.687999292353194</v>
      </c>
      <c r="G37" s="85">
        <f t="shared" si="6"/>
        <v>3.6693302346696201E-6</v>
      </c>
      <c r="H37" s="31"/>
      <c r="I37" s="31"/>
      <c r="J37" s="31"/>
    </row>
    <row r="38" spans="1:10" x14ac:dyDescent="0.3">
      <c r="A38" s="47">
        <v>21</v>
      </c>
      <c r="B38" s="7"/>
      <c r="C38" s="7"/>
      <c r="D38" s="7"/>
      <c r="E38" s="7">
        <f t="shared" si="8"/>
        <v>11.204899256970855</v>
      </c>
      <c r="F38" s="7">
        <f t="shared" si="2"/>
        <v>11.204899256970855</v>
      </c>
      <c r="G38" s="85">
        <f t="shared" si="6"/>
        <v>1.9692950736719734E-6</v>
      </c>
      <c r="H38" s="31"/>
      <c r="I38" s="31"/>
      <c r="J38" s="31"/>
    </row>
    <row r="39" spans="1:10" x14ac:dyDescent="0.3">
      <c r="A39" s="47">
        <v>22</v>
      </c>
      <c r="B39" s="7"/>
      <c r="C39" s="7"/>
      <c r="D39" s="7"/>
      <c r="E39" s="7">
        <f t="shared" si="8"/>
        <v>11.721799221588514</v>
      </c>
      <c r="F39" s="7">
        <f t="shared" si="2"/>
        <v>11.721799221588514</v>
      </c>
      <c r="G39" s="85">
        <f t="shared" si="6"/>
        <v>1.0569021699236337E-6</v>
      </c>
    </row>
    <row r="40" spans="1:10" x14ac:dyDescent="0.3">
      <c r="A40" s="47">
        <v>23</v>
      </c>
      <c r="B40" s="7"/>
      <c r="C40" s="7"/>
      <c r="D40" s="7"/>
      <c r="E40" s="7">
        <f t="shared" si="8"/>
        <v>12.238699186206174</v>
      </c>
      <c r="F40" s="7">
        <f t="shared" si="2"/>
        <v>12.238699186206174</v>
      </c>
      <c r="G40" s="85">
        <f t="shared" si="6"/>
        <v>5.6722946790621377E-7</v>
      </c>
    </row>
    <row r="41" spans="1:10" ht="13.8" thickBot="1" x14ac:dyDescent="0.35">
      <c r="A41" s="81">
        <v>24</v>
      </c>
      <c r="B41" s="8"/>
      <c r="C41" s="8"/>
      <c r="D41" s="8"/>
      <c r="E41" s="8">
        <f t="shared" si="8"/>
        <v>12.755599150823834</v>
      </c>
      <c r="F41" s="8">
        <f t="shared" si="2"/>
        <v>12.755599150823834</v>
      </c>
      <c r="G41" s="88">
        <f t="shared" si="6"/>
        <v>3.0442672786301071E-7</v>
      </c>
    </row>
    <row r="42" spans="1:10" x14ac:dyDescent="0.3">
      <c r="A42" s="31"/>
      <c r="B42" s="31"/>
      <c r="C42" s="31"/>
      <c r="D42" s="31"/>
    </row>
    <row r="43" spans="1:10" x14ac:dyDescent="0.3">
      <c r="A43" s="31"/>
      <c r="B43" s="31"/>
      <c r="C43" s="31"/>
      <c r="D43" s="31"/>
    </row>
    <row r="44" spans="1:10" x14ac:dyDescent="0.3">
      <c r="A44" s="31"/>
      <c r="B44" s="31"/>
      <c r="C44" s="31"/>
      <c r="D44" s="31"/>
    </row>
    <row r="45" spans="1:10" x14ac:dyDescent="0.3">
      <c r="A45" s="31"/>
      <c r="B45" s="31"/>
      <c r="C45" s="31"/>
      <c r="D45" s="31"/>
    </row>
    <row r="46" spans="1:10" x14ac:dyDescent="0.3">
      <c r="A46" s="31"/>
      <c r="B46" s="31"/>
      <c r="C46" s="31"/>
      <c r="D46" s="31"/>
    </row>
    <row r="47" spans="1:10" x14ac:dyDescent="0.3">
      <c r="A47" s="31"/>
      <c r="B47" s="31"/>
      <c r="C47" s="31"/>
      <c r="D47" s="31"/>
    </row>
    <row r="48" spans="1:10" x14ac:dyDescent="0.3">
      <c r="A48" s="31"/>
      <c r="B48" s="31"/>
      <c r="C48" s="31"/>
      <c r="D48" s="31"/>
    </row>
    <row r="49" spans="1:4" x14ac:dyDescent="0.3">
      <c r="A49" s="31"/>
      <c r="B49" s="31"/>
      <c r="C49" s="31"/>
      <c r="D49" s="31"/>
    </row>
    <row r="50" spans="1:4" x14ac:dyDescent="0.3">
      <c r="A50" s="31"/>
      <c r="B50" s="31"/>
      <c r="C50" s="31"/>
      <c r="D50" s="31"/>
    </row>
    <row r="51" spans="1:4" x14ac:dyDescent="0.3">
      <c r="A51" s="31"/>
      <c r="B51" s="31"/>
      <c r="C51" s="31"/>
      <c r="D51" s="31"/>
    </row>
    <row r="52" spans="1:4" x14ac:dyDescent="0.3">
      <c r="A52" s="31"/>
      <c r="B52" s="31"/>
      <c r="C52" s="31"/>
      <c r="D52" s="31"/>
    </row>
    <row r="53" spans="1:4" x14ac:dyDescent="0.3">
      <c r="A53" s="31"/>
      <c r="B53" s="31"/>
      <c r="C53" s="31"/>
      <c r="D53" s="31"/>
    </row>
    <row r="54" spans="1:4" x14ac:dyDescent="0.3">
      <c r="A54" s="31"/>
      <c r="B54" s="31"/>
      <c r="C54" s="31"/>
      <c r="D54" s="31"/>
    </row>
    <row r="55" spans="1:4" x14ac:dyDescent="0.3">
      <c r="A55" s="31"/>
      <c r="B55" s="31"/>
      <c r="C55" s="31"/>
      <c r="D55" s="31"/>
    </row>
    <row r="56" spans="1:4" x14ac:dyDescent="0.3">
      <c r="A56" s="31"/>
      <c r="B56" s="31"/>
      <c r="C56" s="31"/>
      <c r="D56" s="31"/>
    </row>
    <row r="57" spans="1:4" x14ac:dyDescent="0.3">
      <c r="A57" s="31"/>
      <c r="B57" s="31"/>
      <c r="C57" s="31"/>
      <c r="D57" s="31"/>
    </row>
    <row r="58" spans="1:4" x14ac:dyDescent="0.3">
      <c r="A58" s="31"/>
      <c r="B58" s="31"/>
      <c r="C58" s="31"/>
      <c r="D58" s="31"/>
    </row>
    <row r="59" spans="1:4" x14ac:dyDescent="0.3">
      <c r="A59" s="31"/>
      <c r="B59" s="31"/>
      <c r="C59" s="31"/>
      <c r="D59" s="31"/>
    </row>
    <row r="60" spans="1:4" x14ac:dyDescent="0.3">
      <c r="A60" s="31"/>
      <c r="B60" s="31"/>
      <c r="C60" s="31"/>
      <c r="D60" s="31"/>
    </row>
    <row r="61" spans="1:4" x14ac:dyDescent="0.3">
      <c r="A61" s="31"/>
      <c r="B61" s="31"/>
      <c r="C61" s="31"/>
      <c r="D61" s="31"/>
    </row>
    <row r="62" spans="1:4" x14ac:dyDescent="0.3">
      <c r="A62" s="31"/>
      <c r="B62" s="31"/>
      <c r="C62" s="31"/>
      <c r="D62" s="31"/>
    </row>
    <row r="63" spans="1:4" x14ac:dyDescent="0.3">
      <c r="A63" s="31"/>
      <c r="B63" s="31"/>
      <c r="C63" s="31"/>
      <c r="D63" s="31"/>
    </row>
    <row r="64" spans="1:4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</sheetData>
  <mergeCells count="6">
    <mergeCell ref="A1:G1"/>
    <mergeCell ref="C8:E8"/>
    <mergeCell ref="F8:F9"/>
    <mergeCell ref="A11:A12"/>
    <mergeCell ref="B11:B12"/>
    <mergeCell ref="F11:F12"/>
  </mergeCells>
  <pageMargins left="0.7" right="0.7" top="0.75" bottom="0.75" header="0.3" footer="0.3"/>
  <pageSetup orientation="portrait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66FF"/>
  </sheetPr>
  <dimension ref="B1:P362"/>
  <sheetViews>
    <sheetView zoomScale="85" zoomScaleNormal="85" workbookViewId="0">
      <selection activeCell="B8" sqref="B8"/>
    </sheetView>
  </sheetViews>
  <sheetFormatPr defaultColWidth="9.109375" defaultRowHeight="14.4" x14ac:dyDescent="0.3"/>
  <cols>
    <col min="1" max="1" width="4.33203125" style="11" customWidth="1"/>
    <col min="2" max="2" width="7.44140625" style="11" customWidth="1"/>
    <col min="3" max="3" width="11.88671875" style="11" bestFit="1" customWidth="1"/>
    <col min="4" max="5" width="9.88671875" style="11" customWidth="1"/>
    <col min="6" max="9" width="8.5546875" style="11" customWidth="1"/>
    <col min="10" max="11" width="8.5546875" style="11" hidden="1" customWidth="1"/>
    <col min="12" max="15" width="8.44140625" style="11" hidden="1" customWidth="1"/>
    <col min="16" max="16" width="8.44140625" style="11" customWidth="1"/>
    <col min="17" max="16384" width="9.109375" style="11"/>
  </cols>
  <sheetData>
    <row r="1" spans="2:16" ht="20.399999999999999" thickBot="1" x14ac:dyDescent="0.35">
      <c r="B1" s="292" t="str">
        <f>"Perhitungan Hidrograf Nakayasu, Tr = " &amp;Referensi!M8 &amp; " tahun"</f>
        <v>Perhitungan Hidrograf Nakayasu, Tr = 1000 tahun</v>
      </c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</row>
    <row r="2" spans="2:16" ht="12.75" customHeight="1" thickTop="1" thickBot="1" x14ac:dyDescent="0.35"/>
    <row r="3" spans="2:16" s="63" customFormat="1" x14ac:dyDescent="0.3">
      <c r="B3" s="293" t="s">
        <v>107</v>
      </c>
      <c r="C3" s="131" t="s">
        <v>108</v>
      </c>
      <c r="D3" s="295" t="s">
        <v>109</v>
      </c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132" t="s">
        <v>70</v>
      </c>
    </row>
    <row r="4" spans="2:16" s="63" customFormat="1" x14ac:dyDescent="0.3">
      <c r="B4" s="294"/>
      <c r="C4" s="133" t="s">
        <v>110</v>
      </c>
      <c r="D4" s="134">
        <f>'Input Data Nakayasu'!O6</f>
        <v>14.267865609094542</v>
      </c>
      <c r="E4" s="134">
        <f>'Input Data Nakayasu'!O7</f>
        <v>21.223259723271493</v>
      </c>
      <c r="F4" s="134">
        <f>'Input Data Nakayasu'!O8</f>
        <v>116.40120632390337</v>
      </c>
      <c r="G4" s="134">
        <f>'Input Data Nakayasu'!O9</f>
        <v>30.255123756738737</v>
      </c>
      <c r="H4" s="134">
        <f>'Input Data Nakayasu'!O10</f>
        <v>16.895807565018028</v>
      </c>
      <c r="I4" s="134">
        <f>'Input Data Nakayasu'!O11</f>
        <v>12.47176606364131</v>
      </c>
      <c r="J4" s="134">
        <v>0</v>
      </c>
      <c r="K4" s="134">
        <v>0</v>
      </c>
      <c r="L4" s="134">
        <v>0</v>
      </c>
      <c r="M4" s="134">
        <v>0</v>
      </c>
      <c r="N4" s="134">
        <v>0</v>
      </c>
      <c r="O4" s="134">
        <v>0</v>
      </c>
      <c r="P4" s="135" t="s">
        <v>111</v>
      </c>
    </row>
    <row r="5" spans="2:16" s="63" customFormat="1" ht="16.8" thickBot="1" x14ac:dyDescent="0.35">
      <c r="B5" s="136" t="s">
        <v>71</v>
      </c>
      <c r="C5" s="137" t="s">
        <v>127</v>
      </c>
      <c r="D5" s="138" t="s">
        <v>112</v>
      </c>
      <c r="E5" s="138" t="str">
        <f t="shared" ref="E5:H5" si="0">D5</f>
        <v>(mm)</v>
      </c>
      <c r="F5" s="138" t="str">
        <f t="shared" si="0"/>
        <v>(mm)</v>
      </c>
      <c r="G5" s="138" t="str">
        <f t="shared" si="0"/>
        <v>(mm)</v>
      </c>
      <c r="H5" s="138" t="str">
        <f t="shared" si="0"/>
        <v>(mm)</v>
      </c>
      <c r="I5" s="138" t="str">
        <f>H5</f>
        <v>(mm)</v>
      </c>
      <c r="J5" s="138" t="str">
        <f t="shared" ref="J5:O5" si="1">I5</f>
        <v>(mm)</v>
      </c>
      <c r="K5" s="138" t="str">
        <f t="shared" si="1"/>
        <v>(mm)</v>
      </c>
      <c r="L5" s="138" t="str">
        <f t="shared" si="1"/>
        <v>(mm)</v>
      </c>
      <c r="M5" s="138" t="str">
        <f t="shared" si="1"/>
        <v>(mm)</v>
      </c>
      <c r="N5" s="138" t="str">
        <f t="shared" si="1"/>
        <v>(mm)</v>
      </c>
      <c r="O5" s="138" t="str">
        <f t="shared" si="1"/>
        <v>(mm)</v>
      </c>
      <c r="P5" s="139" t="s">
        <v>113</v>
      </c>
    </row>
    <row r="6" spans="2:16" ht="15" thickTop="1" x14ac:dyDescent="0.3">
      <c r="B6" s="140">
        <f>'UH Nakayasu'!A14</f>
        <v>0</v>
      </c>
      <c r="C6" s="141">
        <f>'UH Nakayasu'!G14</f>
        <v>0</v>
      </c>
      <c r="D6" s="142">
        <f>$D$4*C6</f>
        <v>0</v>
      </c>
      <c r="E6" s="142">
        <f>$D$4*D6</f>
        <v>0</v>
      </c>
      <c r="F6" s="142">
        <f>F$4*C6</f>
        <v>0</v>
      </c>
      <c r="G6" s="143">
        <f>G$4*C6</f>
        <v>0</v>
      </c>
      <c r="H6" s="142">
        <f t="shared" ref="H6:O6" si="2">H$4*$C6</f>
        <v>0</v>
      </c>
      <c r="I6" s="142">
        <f t="shared" si="2"/>
        <v>0</v>
      </c>
      <c r="J6" s="142">
        <f t="shared" si="2"/>
        <v>0</v>
      </c>
      <c r="K6" s="142">
        <f t="shared" si="2"/>
        <v>0</v>
      </c>
      <c r="L6" s="142">
        <f t="shared" si="2"/>
        <v>0</v>
      </c>
      <c r="M6" s="142">
        <f t="shared" si="2"/>
        <v>0</v>
      </c>
      <c r="N6" s="142">
        <f t="shared" si="2"/>
        <v>0</v>
      </c>
      <c r="O6" s="142">
        <f t="shared" si="2"/>
        <v>0</v>
      </c>
      <c r="P6" s="144">
        <f>SUM(D6:I6)</f>
        <v>0</v>
      </c>
    </row>
    <row r="7" spans="2:16" x14ac:dyDescent="0.3">
      <c r="B7" s="140">
        <f>'UH Nakayasu'!A15</f>
        <v>1</v>
      </c>
      <c r="C7" s="141">
        <f>'UH Nakayasu'!G15</f>
        <v>0.15333996387688015</v>
      </c>
      <c r="D7" s="143">
        <f t="shared" ref="D7:O22" si="3">$C7*D$4</f>
        <v>2.1878339970987377</v>
      </c>
      <c r="E7" s="143">
        <f t="shared" si="3"/>
        <v>3.2543738793160961</v>
      </c>
      <c r="F7" s="143">
        <f t="shared" si="3"/>
        <v>17.848956772932617</v>
      </c>
      <c r="G7" s="143">
        <f t="shared" si="3"/>
        <v>4.6393195839488559</v>
      </c>
      <c r="H7" s="143">
        <f t="shared" si="3"/>
        <v>2.5908025216905828</v>
      </c>
      <c r="I7" s="143">
        <f t="shared" si="3"/>
        <v>1.9124201576796582</v>
      </c>
      <c r="J7" s="143">
        <f t="shared" si="3"/>
        <v>0</v>
      </c>
      <c r="K7" s="143">
        <f t="shared" si="3"/>
        <v>0</v>
      </c>
      <c r="L7" s="143">
        <f t="shared" si="3"/>
        <v>0</v>
      </c>
      <c r="M7" s="143">
        <f t="shared" si="3"/>
        <v>0</v>
      </c>
      <c r="N7" s="143">
        <f t="shared" si="3"/>
        <v>0</v>
      </c>
      <c r="O7" s="143">
        <f t="shared" si="3"/>
        <v>0</v>
      </c>
      <c r="P7" s="145">
        <f t="shared" ref="P7:P33" si="4">SUM(D7:I7)</f>
        <v>32.433706912666544</v>
      </c>
    </row>
    <row r="8" spans="2:16" x14ac:dyDescent="0.3">
      <c r="B8" s="140">
        <f>'UH Nakayasu'!A16</f>
        <v>0.773844123390242</v>
      </c>
      <c r="C8" s="141">
        <f>'UH Nakayasu'!G16</f>
        <v>1.4227036934128392</v>
      </c>
      <c r="D8" s="143">
        <f t="shared" ref="D8:O8" si="5">$C8*D$4</f>
        <v>20.298945099176834</v>
      </c>
      <c r="E8" s="143">
        <f t="shared" si="5"/>
        <v>30.194409994558306</v>
      </c>
      <c r="F8" s="143">
        <f t="shared" si="5"/>
        <v>165.60442615472726</v>
      </c>
      <c r="G8" s="143">
        <f t="shared" si="5"/>
        <v>43.044076313374738</v>
      </c>
      <c r="H8" s="143">
        <f t="shared" si="5"/>
        <v>24.037727825943737</v>
      </c>
      <c r="I8" s="143">
        <f t="shared" si="5"/>
        <v>17.7436276421234</v>
      </c>
      <c r="J8" s="143">
        <f t="shared" si="5"/>
        <v>0</v>
      </c>
      <c r="K8" s="143">
        <f t="shared" si="5"/>
        <v>0</v>
      </c>
      <c r="L8" s="143">
        <f t="shared" si="5"/>
        <v>0</v>
      </c>
      <c r="M8" s="143">
        <f t="shared" si="5"/>
        <v>0</v>
      </c>
      <c r="N8" s="143">
        <f t="shared" si="5"/>
        <v>0</v>
      </c>
      <c r="O8" s="143">
        <f t="shared" si="5"/>
        <v>0</v>
      </c>
      <c r="P8" s="145">
        <f>SUM(D8:I8)</f>
        <v>300.92321302990428</v>
      </c>
    </row>
    <row r="9" spans="2:16" x14ac:dyDescent="0.3">
      <c r="B9" s="140">
        <f>'UH Nakayasu'!A17</f>
        <v>2</v>
      </c>
      <c r="C9" s="141">
        <f>'UH Nakayasu'!G17</f>
        <v>0.30925265401773849</v>
      </c>
      <c r="D9" s="143">
        <f t="shared" si="3"/>
        <v>4.4123753067809046</v>
      </c>
      <c r="E9" s="143">
        <f t="shared" si="3"/>
        <v>6.5633493963294836</v>
      </c>
      <c r="F9" s="143">
        <f t="shared" si="3"/>
        <v>35.997381986533483</v>
      </c>
      <c r="G9" s="143">
        <f t="shared" si="3"/>
        <v>9.3564773194065847</v>
      </c>
      <c r="H9" s="143">
        <f t="shared" si="3"/>
        <v>5.2250733312548094</v>
      </c>
      <c r="I9" s="143">
        <f t="shared" si="3"/>
        <v>3.8569267554694382</v>
      </c>
      <c r="J9" s="143">
        <f t="shared" si="3"/>
        <v>0</v>
      </c>
      <c r="K9" s="143">
        <f t="shared" si="3"/>
        <v>0</v>
      </c>
      <c r="L9" s="143">
        <f t="shared" si="3"/>
        <v>0</v>
      </c>
      <c r="M9" s="143">
        <f t="shared" si="3"/>
        <v>0</v>
      </c>
      <c r="N9" s="143">
        <f t="shared" si="3"/>
        <v>0</v>
      </c>
      <c r="O9" s="143">
        <f t="shared" si="3"/>
        <v>0</v>
      </c>
      <c r="P9" s="145">
        <f t="shared" si="4"/>
        <v>65.411584095774714</v>
      </c>
    </row>
    <row r="10" spans="2:16" x14ac:dyDescent="0.3">
      <c r="B10" s="140">
        <f>'UH Nakayasu'!A18</f>
        <v>3</v>
      </c>
      <c r="C10" s="141">
        <f>'UH Nakayasu'!G18</f>
        <v>8.9076147466301756E-2</v>
      </c>
      <c r="D10" s="143">
        <f t="shared" si="3"/>
        <v>1.2709265010250808</v>
      </c>
      <c r="E10" s="143">
        <f t="shared" si="3"/>
        <v>1.890486212825754</v>
      </c>
      <c r="F10" s="143">
        <f t="shared" si="3"/>
        <v>10.368571019763433</v>
      </c>
      <c r="G10" s="143">
        <f t="shared" si="3"/>
        <v>2.6950098653664694</v>
      </c>
      <c r="H10" s="143">
        <f t="shared" si="3"/>
        <v>1.5050134462238027</v>
      </c>
      <c r="I10" s="143">
        <f t="shared" si="3"/>
        <v>1.110936873050131</v>
      </c>
      <c r="J10" s="143">
        <f t="shared" si="3"/>
        <v>0</v>
      </c>
      <c r="K10" s="143">
        <f t="shared" si="3"/>
        <v>0</v>
      </c>
      <c r="L10" s="143">
        <f t="shared" si="3"/>
        <v>0</v>
      </c>
      <c r="M10" s="143">
        <f t="shared" si="3"/>
        <v>0</v>
      </c>
      <c r="N10" s="143">
        <f t="shared" si="3"/>
        <v>0</v>
      </c>
      <c r="O10" s="143">
        <f t="shared" si="3"/>
        <v>0</v>
      </c>
      <c r="P10" s="145">
        <f t="shared" si="4"/>
        <v>18.840943918254673</v>
      </c>
    </row>
    <row r="11" spans="2:16" x14ac:dyDescent="0.3">
      <c r="B11" s="140">
        <f>'UH Nakayasu'!A19</f>
        <v>4</v>
      </c>
      <c r="C11" s="141">
        <f>'UH Nakayasu'!G19</f>
        <v>2.5657209224737066E-2</v>
      </c>
      <c r="D11" s="143">
        <f t="shared" si="3"/>
        <v>0.36607361312296921</v>
      </c>
      <c r="E11" s="143">
        <f t="shared" si="3"/>
        <v>0.54452961515091203</v>
      </c>
      <c r="F11" s="143">
        <f t="shared" si="3"/>
        <v>2.9865301046641761</v>
      </c>
      <c r="G11" s="143">
        <f t="shared" si="3"/>
        <v>0.77626204034695867</v>
      </c>
      <c r="H11" s="143">
        <f t="shared" si="3"/>
        <v>0.43349926971656288</v>
      </c>
      <c r="I11" s="143">
        <f t="shared" si="3"/>
        <v>0.3199907112968205</v>
      </c>
      <c r="J11" s="143">
        <f t="shared" si="3"/>
        <v>0</v>
      </c>
      <c r="K11" s="143">
        <f t="shared" si="3"/>
        <v>0</v>
      </c>
      <c r="L11" s="143">
        <f t="shared" si="3"/>
        <v>0</v>
      </c>
      <c r="M11" s="143">
        <f t="shared" si="3"/>
        <v>0</v>
      </c>
      <c r="N11" s="143">
        <f t="shared" si="3"/>
        <v>0</v>
      </c>
      <c r="O11" s="143">
        <f t="shared" si="3"/>
        <v>0</v>
      </c>
      <c r="P11" s="145">
        <f t="shared" si="4"/>
        <v>5.4268853542983999</v>
      </c>
    </row>
    <row r="12" spans="2:16" x14ac:dyDescent="0.3">
      <c r="B12" s="140">
        <f>'UH Nakayasu'!A20</f>
        <v>5</v>
      </c>
      <c r="C12" s="141">
        <f>'UH Nakayasu'!G20</f>
        <v>7.3902206586894618E-3</v>
      </c>
      <c r="D12" s="143">
        <f t="shared" si="3"/>
        <v>0.10544267517973539</v>
      </c>
      <c r="E12" s="143">
        <f t="shared" si="3"/>
        <v>0.15684457245165298</v>
      </c>
      <c r="F12" s="143">
        <f t="shared" si="3"/>
        <v>0.86023059967128512</v>
      </c>
      <c r="G12" s="143">
        <f t="shared" si="3"/>
        <v>0.22359204061825694</v>
      </c>
      <c r="H12" s="143">
        <f t="shared" si="3"/>
        <v>0.12486374611223792</v>
      </c>
      <c r="I12" s="143">
        <f t="shared" si="3"/>
        <v>9.2169103213864151E-2</v>
      </c>
      <c r="J12" s="143">
        <f t="shared" si="3"/>
        <v>0</v>
      </c>
      <c r="K12" s="143">
        <f t="shared" si="3"/>
        <v>0</v>
      </c>
      <c r="L12" s="143">
        <f t="shared" si="3"/>
        <v>0</v>
      </c>
      <c r="M12" s="143">
        <f t="shared" si="3"/>
        <v>0</v>
      </c>
      <c r="N12" s="143">
        <f t="shared" si="3"/>
        <v>0</v>
      </c>
      <c r="O12" s="143">
        <f t="shared" si="3"/>
        <v>0</v>
      </c>
      <c r="P12" s="145">
        <f t="shared" si="4"/>
        <v>1.5631427372470326</v>
      </c>
    </row>
    <row r="13" spans="2:16" x14ac:dyDescent="0.3">
      <c r="B13" s="140">
        <f>'UH Nakayasu'!A21</f>
        <v>1.7411492776280446</v>
      </c>
      <c r="C13" s="141">
        <f>'UH Nakayasu'!G21</f>
        <v>0.42681110802385158</v>
      </c>
      <c r="D13" s="143">
        <f t="shared" ref="D13:O13" si="6">$C13*D$4</f>
        <v>6.0896835297530476</v>
      </c>
      <c r="E13" s="143">
        <f t="shared" si="6"/>
        <v>9.0583229983674869</v>
      </c>
      <c r="F13" s="143">
        <f t="shared" si="6"/>
        <v>49.681327846418156</v>
      </c>
      <c r="G13" s="143">
        <f t="shared" si="6"/>
        <v>12.913222894012415</v>
      </c>
      <c r="H13" s="143">
        <f t="shared" si="6"/>
        <v>7.2113183477831182</v>
      </c>
      <c r="I13" s="143">
        <f t="shared" si="6"/>
        <v>5.3230882926370171</v>
      </c>
      <c r="J13" s="143">
        <f t="shared" si="6"/>
        <v>0</v>
      </c>
      <c r="K13" s="143">
        <f t="shared" si="6"/>
        <v>0</v>
      </c>
      <c r="L13" s="143">
        <f t="shared" si="6"/>
        <v>0</v>
      </c>
      <c r="M13" s="143">
        <f t="shared" si="6"/>
        <v>0</v>
      </c>
      <c r="N13" s="143">
        <f t="shared" si="6"/>
        <v>0</v>
      </c>
      <c r="O13" s="143">
        <f t="shared" si="6"/>
        <v>0</v>
      </c>
      <c r="P13" s="145">
        <f>SUM(D13:I13)</f>
        <v>90.276963908971254</v>
      </c>
    </row>
    <row r="14" spans="2:16" x14ac:dyDescent="0.3">
      <c r="B14" s="140">
        <f>'UH Nakayasu'!A22</f>
        <v>6</v>
      </c>
      <c r="C14" s="141">
        <f>'UH Nakayasu'!G22</f>
        <v>1.2458970816164703E-2</v>
      </c>
      <c r="D14" s="143">
        <f t="shared" si="3"/>
        <v>0.17776292123266893</v>
      </c>
      <c r="E14" s="143">
        <f t="shared" si="3"/>
        <v>0.26441997351612329</v>
      </c>
      <c r="F14" s="143">
        <f t="shared" si="3"/>
        <v>1.4502392325558784</v>
      </c>
      <c r="G14" s="143">
        <f t="shared" si="3"/>
        <v>0.37694770392465932</v>
      </c>
      <c r="H14" s="143">
        <f t="shared" si="3"/>
        <v>0.21050437336809444</v>
      </c>
      <c r="I14" s="143">
        <f t="shared" si="3"/>
        <v>0.15538536941294043</v>
      </c>
      <c r="J14" s="143">
        <f t="shared" si="3"/>
        <v>0</v>
      </c>
      <c r="K14" s="143">
        <f t="shared" si="3"/>
        <v>0</v>
      </c>
      <c r="L14" s="143">
        <f t="shared" si="3"/>
        <v>0</v>
      </c>
      <c r="M14" s="143">
        <f t="shared" si="3"/>
        <v>0</v>
      </c>
      <c r="N14" s="143">
        <f t="shared" si="3"/>
        <v>0</v>
      </c>
      <c r="O14" s="143">
        <f t="shared" si="3"/>
        <v>0</v>
      </c>
      <c r="P14" s="145">
        <f t="shared" si="4"/>
        <v>2.635259574010365</v>
      </c>
    </row>
    <row r="15" spans="2:16" x14ac:dyDescent="0.3">
      <c r="B15" s="140">
        <f>'UH Nakayasu'!A23</f>
        <v>7</v>
      </c>
      <c r="C15" s="141">
        <f>'UH Nakayasu'!G23</f>
        <v>5.43393153191015E-3</v>
      </c>
      <c r="D15" s="143">
        <f t="shared" si="3"/>
        <v>7.7530604826315255E-2</v>
      </c>
      <c r="E15" s="143">
        <f t="shared" si="3"/>
        <v>0.11532574022020364</v>
      </c>
      <c r="F15" s="143">
        <f t="shared" si="3"/>
        <v>0.63251618539583765</v>
      </c>
      <c r="G15" s="143">
        <f t="shared" si="3"/>
        <v>0.16440427098358648</v>
      </c>
      <c r="H15" s="143">
        <f t="shared" si="3"/>
        <v>9.1810661484637512E-2</v>
      </c>
      <c r="I15" s="143">
        <f t="shared" si="3"/>
        <v>6.7770722871827449E-2</v>
      </c>
      <c r="J15" s="143">
        <f t="shared" si="3"/>
        <v>0</v>
      </c>
      <c r="K15" s="143">
        <f t="shared" si="3"/>
        <v>0</v>
      </c>
      <c r="L15" s="143">
        <f t="shared" si="3"/>
        <v>0</v>
      </c>
      <c r="M15" s="143">
        <f t="shared" si="3"/>
        <v>0</v>
      </c>
      <c r="N15" s="143">
        <f t="shared" si="3"/>
        <v>0</v>
      </c>
      <c r="O15" s="143">
        <f t="shared" si="3"/>
        <v>0</v>
      </c>
      <c r="P15" s="145">
        <f t="shared" si="4"/>
        <v>1.1493581857824078</v>
      </c>
    </row>
    <row r="16" spans="2:16" x14ac:dyDescent="0.3">
      <c r="B16" s="140">
        <f>'UH Nakayasu'!A24</f>
        <v>8</v>
      </c>
      <c r="C16" s="141">
        <f>'UH Nakayasu'!G24</f>
        <v>2.3699880454954819E-3</v>
      </c>
      <c r="D16" s="143">
        <f t="shared" si="3"/>
        <v>3.3814670928290179E-2</v>
      </c>
      <c r="E16" s="143">
        <f t="shared" si="3"/>
        <v>5.0298871830599189E-2</v>
      </c>
      <c r="F16" s="143">
        <f t="shared" si="3"/>
        <v>0.27586946746890406</v>
      </c>
      <c r="G16" s="143">
        <f t="shared" si="3"/>
        <v>7.1704281618457155E-2</v>
      </c>
      <c r="H16" s="143">
        <f t="shared" si="3"/>
        <v>4.0042861948084853E-2</v>
      </c>
      <c r="I16" s="143">
        <f t="shared" si="3"/>
        <v>2.9557936477046149E-2</v>
      </c>
      <c r="J16" s="143">
        <f t="shared" si="3"/>
        <v>0</v>
      </c>
      <c r="K16" s="143">
        <f t="shared" si="3"/>
        <v>0</v>
      </c>
      <c r="L16" s="143">
        <f t="shared" si="3"/>
        <v>0</v>
      </c>
      <c r="M16" s="143">
        <f t="shared" si="3"/>
        <v>0</v>
      </c>
      <c r="N16" s="143">
        <f t="shared" si="3"/>
        <v>0</v>
      </c>
      <c r="O16" s="143">
        <f t="shared" si="3"/>
        <v>0</v>
      </c>
      <c r="P16" s="145">
        <f t="shared" si="4"/>
        <v>0.50128809027138166</v>
      </c>
    </row>
    <row r="17" spans="2:16" x14ac:dyDescent="0.3">
      <c r="B17" s="140">
        <f>'UH Nakayasu'!A25</f>
        <v>9</v>
      </c>
      <c r="C17" s="141">
        <f>'UH Nakayasu'!G25</f>
        <v>1.0336610431705309E-3</v>
      </c>
      <c r="D17" s="143">
        <f t="shared" si="3"/>
        <v>1.4748136849313608E-2</v>
      </c>
      <c r="E17" s="143">
        <f t="shared" si="3"/>
        <v>2.1937656785035925E-2</v>
      </c>
      <c r="F17" s="143">
        <f t="shared" si="3"/>
        <v>0.12031939235507415</v>
      </c>
      <c r="G17" s="143">
        <f t="shared" si="3"/>
        <v>3.1273542783644075E-2</v>
      </c>
      <c r="H17" s="143">
        <f t="shared" si="3"/>
        <v>1.7464538072865084E-2</v>
      </c>
      <c r="I17" s="143">
        <f t="shared" si="3"/>
        <v>1.2891578719522302E-2</v>
      </c>
      <c r="J17" s="143">
        <f t="shared" si="3"/>
        <v>0</v>
      </c>
      <c r="K17" s="143">
        <f t="shared" si="3"/>
        <v>0</v>
      </c>
      <c r="L17" s="143">
        <f t="shared" si="3"/>
        <v>0</v>
      </c>
      <c r="M17" s="143">
        <f t="shared" si="3"/>
        <v>0</v>
      </c>
      <c r="N17" s="143">
        <f t="shared" si="3"/>
        <v>0</v>
      </c>
      <c r="O17" s="143">
        <f t="shared" si="3"/>
        <v>0</v>
      </c>
      <c r="P17" s="145">
        <f t="shared" si="4"/>
        <v>0.21863484556545512</v>
      </c>
    </row>
    <row r="18" spans="2:16" x14ac:dyDescent="0.3">
      <c r="B18" s="140">
        <f>'UH Nakayasu'!A26</f>
        <v>10</v>
      </c>
      <c r="C18" s="141">
        <f>'UH Nakayasu'!G26</f>
        <v>4.5082723273611028E-4</v>
      </c>
      <c r="D18" s="143">
        <f t="shared" si="3"/>
        <v>6.4323423695988088E-3</v>
      </c>
      <c r="E18" s="143">
        <f t="shared" si="3"/>
        <v>9.568023450682233E-3</v>
      </c>
      <c r="F18" s="143">
        <f t="shared" si="3"/>
        <v>5.2476833734150373E-2</v>
      </c>
      <c r="G18" s="143">
        <f t="shared" si="3"/>
        <v>1.3639833719339073E-2</v>
      </c>
      <c r="H18" s="143">
        <f t="shared" si="3"/>
        <v>7.6170901693789154E-3</v>
      </c>
      <c r="I18" s="143">
        <f t="shared" si="3"/>
        <v>5.6226117818035425E-3</v>
      </c>
      <c r="J18" s="143">
        <f t="shared" si="3"/>
        <v>0</v>
      </c>
      <c r="K18" s="143">
        <f t="shared" si="3"/>
        <v>0</v>
      </c>
      <c r="L18" s="143">
        <f t="shared" si="3"/>
        <v>0</v>
      </c>
      <c r="M18" s="143">
        <f t="shared" si="3"/>
        <v>0</v>
      </c>
      <c r="N18" s="143">
        <f t="shared" si="3"/>
        <v>0</v>
      </c>
      <c r="O18" s="143">
        <f t="shared" si="3"/>
        <v>0</v>
      </c>
      <c r="P18" s="145">
        <f>SUM(D18:I18)</f>
        <v>9.5356735224952943E-2</v>
      </c>
    </row>
    <row r="19" spans="2:16" x14ac:dyDescent="0.3">
      <c r="B19" s="140">
        <f>'UH Nakayasu'!A27</f>
        <v>3.1921070089847481</v>
      </c>
      <c r="C19" s="141">
        <f>'UH Nakayasu'!G27</f>
        <v>0.12804333240715551</v>
      </c>
      <c r="D19" s="143">
        <f t="shared" ref="D19:O19" si="7">$C19*D$4</f>
        <v>1.8269050589259148</v>
      </c>
      <c r="E19" s="143">
        <f t="shared" si="7"/>
        <v>2.7174968995102473</v>
      </c>
      <c r="F19" s="143">
        <f t="shared" si="7"/>
        <v>14.904398353925451</v>
      </c>
      <c r="G19" s="143">
        <f t="shared" si="7"/>
        <v>3.8739668682037256</v>
      </c>
      <c r="H19" s="143">
        <f t="shared" si="7"/>
        <v>2.163395504334936</v>
      </c>
      <c r="I19" s="143">
        <f t="shared" si="7"/>
        <v>1.5969264877911056</v>
      </c>
      <c r="J19" s="143">
        <f t="shared" si="7"/>
        <v>0</v>
      </c>
      <c r="K19" s="143">
        <f t="shared" si="7"/>
        <v>0</v>
      </c>
      <c r="L19" s="143">
        <f t="shared" si="7"/>
        <v>0</v>
      </c>
      <c r="M19" s="143">
        <f t="shared" si="7"/>
        <v>0</v>
      </c>
      <c r="N19" s="143">
        <f t="shared" si="7"/>
        <v>0</v>
      </c>
      <c r="O19" s="143">
        <f t="shared" si="7"/>
        <v>0</v>
      </c>
      <c r="P19" s="145">
        <f>SUM(D19:I19)</f>
        <v>27.08308917269138</v>
      </c>
    </row>
    <row r="20" spans="2:16" x14ac:dyDescent="0.3">
      <c r="B20" s="140">
        <f>'UH Nakayasu'!A28</f>
        <v>11</v>
      </c>
      <c r="C20" s="141">
        <f>'UH Nakayasu'!G28</f>
        <v>9.9327806265111195E-4</v>
      </c>
      <c r="D20" s="143">
        <f t="shared" si="3"/>
        <v>1.4171957910367855E-2</v>
      </c>
      <c r="E20" s="143">
        <f t="shared" si="3"/>
        <v>2.1080598301072482E-2</v>
      </c>
      <c r="F20" s="143">
        <f t="shared" si="3"/>
        <v>0.1156187647076591</v>
      </c>
      <c r="G20" s="143">
        <f t="shared" si="3"/>
        <v>3.0051750710363083E-2</v>
      </c>
      <c r="H20" s="143">
        <f t="shared" si="3"/>
        <v>1.6782235005107109E-2</v>
      </c>
      <c r="I20" s="143">
        <f t="shared" si="3"/>
        <v>1.2387931633531525E-2</v>
      </c>
      <c r="J20" s="143">
        <f t="shared" si="3"/>
        <v>0</v>
      </c>
      <c r="K20" s="143">
        <f t="shared" si="3"/>
        <v>0</v>
      </c>
      <c r="L20" s="143">
        <f t="shared" si="3"/>
        <v>0</v>
      </c>
      <c r="M20" s="143">
        <f t="shared" si="3"/>
        <v>0</v>
      </c>
      <c r="N20" s="143">
        <f t="shared" si="3"/>
        <v>0</v>
      </c>
      <c r="O20" s="143">
        <f t="shared" si="3"/>
        <v>0</v>
      </c>
      <c r="P20" s="145">
        <f t="shared" si="4"/>
        <v>0.21009323826810117</v>
      </c>
    </row>
    <row r="21" spans="2:16" x14ac:dyDescent="0.3">
      <c r="B21" s="140">
        <f>'UH Nakayasu'!A29</f>
        <v>12</v>
      </c>
      <c r="C21" s="141">
        <f>'UH Nakayasu'!G29</f>
        <v>5.3308300710671783E-4</v>
      </c>
      <c r="D21" s="143">
        <f t="shared" si="3"/>
        <v>7.6059567038906407E-3</v>
      </c>
      <c r="E21" s="143">
        <f t="shared" si="3"/>
        <v>1.1313759113888456E-2</v>
      </c>
      <c r="F21" s="143">
        <f t="shared" si="3"/>
        <v>6.205150509799591E-2</v>
      </c>
      <c r="G21" s="143">
        <f t="shared" si="3"/>
        <v>1.6128492352628185E-2</v>
      </c>
      <c r="H21" s="143">
        <f t="shared" si="3"/>
        <v>9.0068679042562428E-3</v>
      </c>
      <c r="I21" s="143">
        <f t="shared" si="3"/>
        <v>6.6484865571374225E-3</v>
      </c>
      <c r="J21" s="143">
        <f t="shared" si="3"/>
        <v>0</v>
      </c>
      <c r="K21" s="143">
        <f t="shared" si="3"/>
        <v>0</v>
      </c>
      <c r="L21" s="143">
        <f t="shared" si="3"/>
        <v>0</v>
      </c>
      <c r="M21" s="143">
        <f t="shared" si="3"/>
        <v>0</v>
      </c>
      <c r="N21" s="143">
        <f t="shared" si="3"/>
        <v>0</v>
      </c>
      <c r="O21" s="143">
        <f t="shared" si="3"/>
        <v>0</v>
      </c>
      <c r="P21" s="145">
        <f t="shared" si="4"/>
        <v>0.11275506772979686</v>
      </c>
    </row>
    <row r="22" spans="2:16" x14ac:dyDescent="0.3">
      <c r="B22" s="140">
        <f>'UH Nakayasu'!A30</f>
        <v>13</v>
      </c>
      <c r="C22" s="141">
        <f>'UH Nakayasu'!G30</f>
        <v>2.8610064306409429E-4</v>
      </c>
      <c r="D22" s="143">
        <f t="shared" si="3"/>
        <v>4.0820455259140236E-3</v>
      </c>
      <c r="E22" s="143">
        <f t="shared" si="3"/>
        <v>6.071988254744266E-3</v>
      </c>
      <c r="F22" s="143">
        <f t="shared" si="3"/>
        <v>3.330245998270507E-2</v>
      </c>
      <c r="G22" s="143">
        <f t="shared" si="3"/>
        <v>8.6560103627867091E-3</v>
      </c>
      <c r="H22" s="143">
        <f t="shared" si="3"/>
        <v>4.8339014094388472E-3</v>
      </c>
      <c r="I22" s="143">
        <f t="shared" si="3"/>
        <v>3.5681802909527265E-3</v>
      </c>
      <c r="J22" s="143">
        <f t="shared" si="3"/>
        <v>0</v>
      </c>
      <c r="K22" s="143">
        <f t="shared" si="3"/>
        <v>0</v>
      </c>
      <c r="L22" s="143">
        <f t="shared" si="3"/>
        <v>0</v>
      </c>
      <c r="M22" s="143">
        <f t="shared" si="3"/>
        <v>0</v>
      </c>
      <c r="N22" s="143">
        <f t="shared" si="3"/>
        <v>0</v>
      </c>
      <c r="O22" s="143">
        <f t="shared" si="3"/>
        <v>0</v>
      </c>
      <c r="P22" s="145">
        <f t="shared" si="4"/>
        <v>6.0514585826541636E-2</v>
      </c>
    </row>
    <row r="23" spans="2:16" x14ac:dyDescent="0.3">
      <c r="B23" s="140">
        <f>'UH Nakayasu'!A31</f>
        <v>14</v>
      </c>
      <c r="C23" s="141">
        <f>'UH Nakayasu'!G31</f>
        <v>1.5354752800308678E-4</v>
      </c>
      <c r="D23" s="143">
        <f t="shared" ref="D23:O33" si="8">$C23*D$4</f>
        <v>2.1907954941567231E-3</v>
      </c>
      <c r="E23" s="143">
        <f t="shared" si="8"/>
        <v>3.2587790666758136E-3</v>
      </c>
      <c r="F23" s="143">
        <f t="shared" si="8"/>
        <v>1.7873117487612635E-2</v>
      </c>
      <c r="G23" s="143">
        <f t="shared" si="8"/>
        <v>4.6455994622746971E-3</v>
      </c>
      <c r="H23" s="143">
        <f t="shared" si="8"/>
        <v>2.594309485224371E-3</v>
      </c>
      <c r="I23" s="143">
        <f t="shared" si="8"/>
        <v>1.9150088489049114E-3</v>
      </c>
      <c r="J23" s="143">
        <f t="shared" si="8"/>
        <v>0</v>
      </c>
      <c r="K23" s="143">
        <f t="shared" si="8"/>
        <v>0</v>
      </c>
      <c r="L23" s="143">
        <f t="shared" si="8"/>
        <v>0</v>
      </c>
      <c r="M23" s="143">
        <f t="shared" si="8"/>
        <v>0</v>
      </c>
      <c r="N23" s="143">
        <f t="shared" si="8"/>
        <v>0</v>
      </c>
      <c r="O23" s="143">
        <f t="shared" si="8"/>
        <v>0</v>
      </c>
      <c r="P23" s="145">
        <f t="shared" si="4"/>
        <v>3.2477609844849153E-2</v>
      </c>
    </row>
    <row r="24" spans="2:16" x14ac:dyDescent="0.3">
      <c r="B24" s="140">
        <f>'UH Nakayasu'!A32</f>
        <v>15</v>
      </c>
      <c r="C24" s="141">
        <f>'UH Nakayasu'!G32</f>
        <v>8.2407516122138841E-5</v>
      </c>
      <c r="D24" s="143">
        <f t="shared" si="8"/>
        <v>1.1757793652099689E-3</v>
      </c>
      <c r="E24" s="143">
        <f t="shared" si="8"/>
        <v>1.7489561178098355E-3</v>
      </c>
      <c r="F24" s="143">
        <f t="shared" si="8"/>
        <v>9.5923342867734757E-3</v>
      </c>
      <c r="G24" s="143">
        <f t="shared" si="8"/>
        <v>2.4932495987607531E-3</v>
      </c>
      <c r="H24" s="143">
        <f t="shared" si="8"/>
        <v>1.3923415343107786E-3</v>
      </c>
      <c r="I24" s="143">
        <f t="shared" si="8"/>
        <v>1.0277672629610652E-3</v>
      </c>
      <c r="J24" s="143">
        <f t="shared" si="8"/>
        <v>0</v>
      </c>
      <c r="K24" s="143">
        <f t="shared" si="8"/>
        <v>0</v>
      </c>
      <c r="L24" s="143">
        <f t="shared" si="8"/>
        <v>0</v>
      </c>
      <c r="M24" s="143">
        <f t="shared" si="8"/>
        <v>0</v>
      </c>
      <c r="N24" s="143">
        <f t="shared" si="8"/>
        <v>0</v>
      </c>
      <c r="O24" s="143">
        <f t="shared" si="8"/>
        <v>0</v>
      </c>
      <c r="P24" s="145">
        <f t="shared" si="4"/>
        <v>1.7430428165825875E-2</v>
      </c>
    </row>
    <row r="25" spans="2:16" x14ac:dyDescent="0.3">
      <c r="B25" s="140">
        <f>'UH Nakayasu'!A33</f>
        <v>16</v>
      </c>
      <c r="C25" s="141">
        <f>'UH Nakayasu'!G33</f>
        <v>4.4227339910572035E-5</v>
      </c>
      <c r="D25" s="143">
        <f t="shared" si="8"/>
        <v>6.3102974209178523E-4</v>
      </c>
      <c r="E25" s="143">
        <f t="shared" si="8"/>
        <v>9.3864832179148131E-4</v>
      </c>
      <c r="F25" s="143">
        <f t="shared" si="8"/>
        <v>5.1481157180879016E-3</v>
      </c>
      <c r="G25" s="143">
        <f t="shared" si="8"/>
        <v>1.3381036424257072E-3</v>
      </c>
      <c r="H25" s="143">
        <f t="shared" si="8"/>
        <v>7.4725662424166678E-4</v>
      </c>
      <c r="I25" s="143">
        <f t="shared" si="8"/>
        <v>5.5159303698180116E-4</v>
      </c>
      <c r="J25" s="143">
        <f t="shared" si="8"/>
        <v>0</v>
      </c>
      <c r="K25" s="143">
        <f t="shared" si="8"/>
        <v>0</v>
      </c>
      <c r="L25" s="143">
        <f t="shared" si="8"/>
        <v>0</v>
      </c>
      <c r="M25" s="143">
        <f t="shared" si="8"/>
        <v>0</v>
      </c>
      <c r="N25" s="143">
        <f t="shared" si="8"/>
        <v>0</v>
      </c>
      <c r="O25" s="143">
        <f t="shared" si="8"/>
        <v>0</v>
      </c>
      <c r="P25" s="145">
        <f t="shared" si="4"/>
        <v>9.3547470856203425E-3</v>
      </c>
    </row>
    <row r="26" spans="2:16" x14ac:dyDescent="0.3">
      <c r="B26" s="140">
        <f>'UH Nakayasu'!A34</f>
        <v>17</v>
      </c>
      <c r="C26" s="141">
        <f>'UH Nakayasu'!G34</f>
        <v>2.3736397935670558E-5</v>
      </c>
      <c r="D26" s="143">
        <f t="shared" si="8"/>
        <v>3.3866773579013663E-4</v>
      </c>
      <c r="E26" s="143">
        <f t="shared" si="8"/>
        <v>5.0376373828366159E-4</v>
      </c>
      <c r="F26" s="143">
        <f t="shared" si="8"/>
        <v>2.7629453534962624E-3</v>
      </c>
      <c r="G26" s="143">
        <f t="shared" si="8"/>
        <v>7.1814765708291058E-4</v>
      </c>
      <c r="H26" s="143">
        <f t="shared" si="8"/>
        <v>4.0104561180778092E-4</v>
      </c>
      <c r="I26" s="143">
        <f t="shared" si="8"/>
        <v>2.960348022471817E-4</v>
      </c>
      <c r="J26" s="143">
        <f t="shared" si="8"/>
        <v>0</v>
      </c>
      <c r="K26" s="143">
        <f t="shared" si="8"/>
        <v>0</v>
      </c>
      <c r="L26" s="143">
        <f t="shared" si="8"/>
        <v>0</v>
      </c>
      <c r="M26" s="143">
        <f t="shared" si="8"/>
        <v>0</v>
      </c>
      <c r="N26" s="143">
        <f t="shared" si="8"/>
        <v>0</v>
      </c>
      <c r="O26" s="143">
        <f t="shared" si="8"/>
        <v>0</v>
      </c>
      <c r="P26" s="145">
        <f t="shared" si="4"/>
        <v>5.0206048987079333E-3</v>
      </c>
    </row>
    <row r="27" spans="2:16" x14ac:dyDescent="0.3">
      <c r="B27" s="140">
        <f>'UH Nakayasu'!A35</f>
        <v>18</v>
      </c>
      <c r="C27" s="141">
        <f>'UH Nakayasu'!G35</f>
        <v>1.2739101833837112E-5</v>
      </c>
      <c r="D27" s="143">
        <f t="shared" si="8"/>
        <v>1.8175979294575775E-4</v>
      </c>
      <c r="E27" s="143">
        <f t="shared" si="8"/>
        <v>2.7036526686072921E-4</v>
      </c>
      <c r="F27" s="143">
        <f t="shared" si="8"/>
        <v>1.4828468209416893E-3</v>
      </c>
      <c r="G27" s="143">
        <f t="shared" si="8"/>
        <v>3.8542310253243922E-4</v>
      </c>
      <c r="H27" s="143">
        <f t="shared" si="8"/>
        <v>2.1523741313568011E-4</v>
      </c>
      <c r="I27" s="143">
        <f t="shared" si="8"/>
        <v>1.5887909793252047E-4</v>
      </c>
      <c r="J27" s="143">
        <f t="shared" si="8"/>
        <v>0</v>
      </c>
      <c r="K27" s="143">
        <f t="shared" si="8"/>
        <v>0</v>
      </c>
      <c r="L27" s="143">
        <f t="shared" si="8"/>
        <v>0</v>
      </c>
      <c r="M27" s="143">
        <f t="shared" si="8"/>
        <v>0</v>
      </c>
      <c r="N27" s="143">
        <f t="shared" si="8"/>
        <v>0</v>
      </c>
      <c r="O27" s="143">
        <f t="shared" si="8"/>
        <v>0</v>
      </c>
      <c r="P27" s="145">
        <f t="shared" si="4"/>
        <v>2.6945114943488164E-3</v>
      </c>
    </row>
    <row r="28" spans="2:16" x14ac:dyDescent="0.3">
      <c r="B28" s="140">
        <f>'UH Nakayasu'!A36</f>
        <v>19</v>
      </c>
      <c r="C28" s="141">
        <f>'UH Nakayasu'!G36</f>
        <v>6.8369563053623236E-6</v>
      </c>
      <c r="D28" s="143">
        <f t="shared" si="8"/>
        <v>9.7548773740161184E-5</v>
      </c>
      <c r="E28" s="143">
        <f t="shared" si="8"/>
        <v>1.4510249938536328E-4</v>
      </c>
      <c r="F28" s="143">
        <f t="shared" si="8"/>
        <v>7.9582996152799184E-4</v>
      </c>
      <c r="G28" s="143">
        <f t="shared" si="8"/>
        <v>2.0685295913815233E-4</v>
      </c>
      <c r="H28" s="143">
        <f t="shared" si="8"/>
        <v>1.1551589806583846E-4</v>
      </c>
      <c r="I28" s="143">
        <f t="shared" si="8"/>
        <v>8.5268919627816292E-5</v>
      </c>
      <c r="J28" s="143">
        <f t="shared" si="8"/>
        <v>0</v>
      </c>
      <c r="K28" s="143">
        <f t="shared" si="8"/>
        <v>0</v>
      </c>
      <c r="L28" s="143">
        <f t="shared" si="8"/>
        <v>0</v>
      </c>
      <c r="M28" s="143">
        <f t="shared" si="8"/>
        <v>0</v>
      </c>
      <c r="N28" s="143">
        <f t="shared" si="8"/>
        <v>0</v>
      </c>
      <c r="O28" s="143">
        <f t="shared" si="8"/>
        <v>0</v>
      </c>
      <c r="P28" s="145">
        <f t="shared" si="4"/>
        <v>1.4461190114853234E-3</v>
      </c>
    </row>
    <row r="29" spans="2:16" x14ac:dyDescent="0.3">
      <c r="B29" s="140">
        <f>'UH Nakayasu'!A37</f>
        <v>20</v>
      </c>
      <c r="C29" s="141">
        <f>'UH Nakayasu'!G37</f>
        <v>3.6693302346696201E-6</v>
      </c>
      <c r="D29" s="143">
        <f t="shared" si="8"/>
        <v>5.2353510663653479E-5</v>
      </c>
      <c r="E29" s="143">
        <f t="shared" si="8"/>
        <v>7.7875148580846081E-5</v>
      </c>
      <c r="F29" s="143">
        <f t="shared" si="8"/>
        <v>4.2711446571631521E-4</v>
      </c>
      <c r="G29" s="143">
        <f t="shared" si="8"/>
        <v>1.1101604035427254E-4</v>
      </c>
      <c r="H29" s="143">
        <f t="shared" si="8"/>
        <v>6.1996297537480352E-5</v>
      </c>
      <c r="I29" s="143">
        <f t="shared" si="8"/>
        <v>4.576302829704557E-5</v>
      </c>
      <c r="J29" s="143">
        <f t="shared" si="8"/>
        <v>0</v>
      </c>
      <c r="K29" s="143">
        <f t="shared" si="8"/>
        <v>0</v>
      </c>
      <c r="L29" s="143">
        <f t="shared" si="8"/>
        <v>0</v>
      </c>
      <c r="M29" s="143">
        <f t="shared" si="8"/>
        <v>0</v>
      </c>
      <c r="N29" s="143">
        <f t="shared" si="8"/>
        <v>0</v>
      </c>
      <c r="O29" s="143">
        <f t="shared" si="8"/>
        <v>0</v>
      </c>
      <c r="P29" s="145">
        <f t="shared" si="4"/>
        <v>7.7611849114961329E-4</v>
      </c>
    </row>
    <row r="30" spans="2:16" x14ac:dyDescent="0.3">
      <c r="B30" s="140">
        <f>'UH Nakayasu'!A38</f>
        <v>21</v>
      </c>
      <c r="C30" s="141">
        <f>'UH Nakayasu'!G38</f>
        <v>1.9692950736719734E-6</v>
      </c>
      <c r="D30" s="143">
        <f t="shared" si="8"/>
        <v>2.8097637455803653E-5</v>
      </c>
      <c r="E30" s="143">
        <f t="shared" si="8"/>
        <v>4.179486082029936E-5</v>
      </c>
      <c r="F30" s="143">
        <f t="shared" si="8"/>
        <v>2.2922832218313786E-4</v>
      </c>
      <c r="G30" s="143">
        <f t="shared" si="8"/>
        <v>5.9581266167481485E-5</v>
      </c>
      <c r="H30" s="143">
        <f t="shared" si="8"/>
        <v>3.3272830603499665E-5</v>
      </c>
      <c r="I30" s="143">
        <f t="shared" si="8"/>
        <v>2.456058746911813E-5</v>
      </c>
      <c r="J30" s="143">
        <f t="shared" si="8"/>
        <v>0</v>
      </c>
      <c r="K30" s="143">
        <f t="shared" si="8"/>
        <v>0</v>
      </c>
      <c r="L30" s="143">
        <f t="shared" si="8"/>
        <v>0</v>
      </c>
      <c r="M30" s="143">
        <f t="shared" si="8"/>
        <v>0</v>
      </c>
      <c r="N30" s="143">
        <f t="shared" si="8"/>
        <v>0</v>
      </c>
      <c r="O30" s="143">
        <f t="shared" si="8"/>
        <v>0</v>
      </c>
      <c r="P30" s="145">
        <f t="shared" si="4"/>
        <v>4.165355046993401E-4</v>
      </c>
    </row>
    <row r="31" spans="2:16" x14ac:dyDescent="0.3">
      <c r="B31" s="140">
        <f>'UH Nakayasu'!A39</f>
        <v>22</v>
      </c>
      <c r="C31" s="141">
        <f>'UH Nakayasu'!G39</f>
        <v>1.0569021699236337E-6</v>
      </c>
      <c r="D31" s="143">
        <f t="shared" si="8"/>
        <v>1.5079738122430809E-5</v>
      </c>
      <c r="E31" s="143">
        <f t="shared" si="8"/>
        <v>2.2430909254378499E-5</v>
      </c>
      <c r="F31" s="143">
        <f t="shared" si="8"/>
        <v>1.2302468754546206E-4</v>
      </c>
      <c r="G31" s="143">
        <f t="shared" si="8"/>
        <v>3.1976705949805252E-5</v>
      </c>
      <c r="H31" s="143">
        <f t="shared" si="8"/>
        <v>1.78572156780797E-5</v>
      </c>
      <c r="I31" s="143">
        <f t="shared" si="8"/>
        <v>1.3181436615442436E-5</v>
      </c>
      <c r="J31" s="143">
        <f t="shared" si="8"/>
        <v>0</v>
      </c>
      <c r="K31" s="143">
        <f t="shared" si="8"/>
        <v>0</v>
      </c>
      <c r="L31" s="143">
        <f t="shared" si="8"/>
        <v>0</v>
      </c>
      <c r="M31" s="143">
        <f t="shared" si="8"/>
        <v>0</v>
      </c>
      <c r="N31" s="143">
        <f t="shared" si="8"/>
        <v>0</v>
      </c>
      <c r="O31" s="143">
        <f t="shared" si="8"/>
        <v>0</v>
      </c>
      <c r="P31" s="145">
        <f t="shared" si="4"/>
        <v>2.2355069316559877E-4</v>
      </c>
    </row>
    <row r="32" spans="2:16" x14ac:dyDescent="0.3">
      <c r="B32" s="140">
        <f>'UH Nakayasu'!A40</f>
        <v>23</v>
      </c>
      <c r="C32" s="141">
        <f>'UH Nakayasu'!G40</f>
        <v>5.6722946790621377E-7</v>
      </c>
      <c r="D32" s="143">
        <f t="shared" si="8"/>
        <v>8.0931538176040636E-6</v>
      </c>
      <c r="E32" s="143">
        <f t="shared" si="8"/>
        <v>1.2038458320066666E-5</v>
      </c>
      <c r="F32" s="143">
        <f t="shared" si="8"/>
        <v>6.6026194326749117E-5</v>
      </c>
      <c r="G32" s="143">
        <f t="shared" si="8"/>
        <v>1.7161597749971561E-5</v>
      </c>
      <c r="H32" s="143">
        <f t="shared" si="8"/>
        <v>9.5837999349509576E-6</v>
      </c>
      <c r="I32" s="143">
        <f t="shared" si="8"/>
        <v>7.0743532281300345E-6</v>
      </c>
      <c r="J32" s="143">
        <f t="shared" si="8"/>
        <v>0</v>
      </c>
      <c r="K32" s="143">
        <f t="shared" si="8"/>
        <v>0</v>
      </c>
      <c r="L32" s="143">
        <f t="shared" si="8"/>
        <v>0</v>
      </c>
      <c r="M32" s="143">
        <f t="shared" si="8"/>
        <v>0</v>
      </c>
      <c r="N32" s="143">
        <f t="shared" si="8"/>
        <v>0</v>
      </c>
      <c r="O32" s="143">
        <f t="shared" si="8"/>
        <v>0</v>
      </c>
      <c r="P32" s="145">
        <f t="shared" si="4"/>
        <v>1.1997755737747239E-4</v>
      </c>
    </row>
    <row r="33" spans="2:16" ht="15" thickBot="1" x14ac:dyDescent="0.35">
      <c r="B33" s="140">
        <f>'UH Nakayasu'!A41</f>
        <v>24</v>
      </c>
      <c r="C33" s="141">
        <f>'UH Nakayasu'!G41</f>
        <v>3.0442672786301071E-7</v>
      </c>
      <c r="D33" s="146">
        <f t="shared" si="8"/>
        <v>4.3435196409658336E-6</v>
      </c>
      <c r="E33" s="146">
        <f t="shared" si="8"/>
        <v>6.4609275121423669E-6</v>
      </c>
      <c r="F33" s="146">
        <f t="shared" si="8"/>
        <v>3.5435638360493089E-5</v>
      </c>
      <c r="G33" s="146">
        <f t="shared" si="8"/>
        <v>9.2104683263544137E-6</v>
      </c>
      <c r="H33" s="146">
        <f t="shared" si="8"/>
        <v>5.1435354116215407E-6</v>
      </c>
      <c r="I33" s="146">
        <f t="shared" si="8"/>
        <v>3.7967389334272651E-6</v>
      </c>
      <c r="J33" s="146">
        <f t="shared" si="8"/>
        <v>0</v>
      </c>
      <c r="K33" s="146">
        <f t="shared" si="8"/>
        <v>0</v>
      </c>
      <c r="L33" s="146">
        <f t="shared" si="8"/>
        <v>0</v>
      </c>
      <c r="M33" s="146">
        <f t="shared" si="8"/>
        <v>0</v>
      </c>
      <c r="N33" s="146">
        <f t="shared" si="8"/>
        <v>0</v>
      </c>
      <c r="O33" s="146">
        <f t="shared" si="8"/>
        <v>0</v>
      </c>
      <c r="P33" s="153">
        <f t="shared" si="4"/>
        <v>6.4390828185004501E-5</v>
      </c>
    </row>
    <row r="67" spans="2:2" x14ac:dyDescent="0.3">
      <c r="B67" s="147"/>
    </row>
    <row r="68" spans="2:2" x14ac:dyDescent="0.3">
      <c r="B68" s="147"/>
    </row>
    <row r="69" spans="2:2" x14ac:dyDescent="0.3">
      <c r="B69" s="147"/>
    </row>
    <row r="70" spans="2:2" x14ac:dyDescent="0.3">
      <c r="B70" s="147"/>
    </row>
    <row r="71" spans="2:2" x14ac:dyDescent="0.3">
      <c r="B71" s="147"/>
    </row>
    <row r="72" spans="2:2" x14ac:dyDescent="0.3">
      <c r="B72" s="147"/>
    </row>
    <row r="73" spans="2:2" x14ac:dyDescent="0.3">
      <c r="B73" s="147"/>
    </row>
    <row r="74" spans="2:2" x14ac:dyDescent="0.3">
      <c r="B74" s="147"/>
    </row>
    <row r="75" spans="2:2" x14ac:dyDescent="0.3">
      <c r="B75" s="147"/>
    </row>
    <row r="76" spans="2:2" x14ac:dyDescent="0.3">
      <c r="B76" s="147"/>
    </row>
    <row r="77" spans="2:2" x14ac:dyDescent="0.3">
      <c r="B77" s="147"/>
    </row>
    <row r="78" spans="2:2" x14ac:dyDescent="0.3">
      <c r="B78" s="147"/>
    </row>
    <row r="79" spans="2:2" x14ac:dyDescent="0.3">
      <c r="B79" s="147"/>
    </row>
    <row r="80" spans="2:2" x14ac:dyDescent="0.3">
      <c r="B80" s="147"/>
    </row>
    <row r="81" spans="2:2" x14ac:dyDescent="0.3">
      <c r="B81" s="147"/>
    </row>
    <row r="82" spans="2:2" x14ac:dyDescent="0.3">
      <c r="B82" s="147"/>
    </row>
    <row r="83" spans="2:2" x14ac:dyDescent="0.3">
      <c r="B83" s="147"/>
    </row>
    <row r="84" spans="2:2" x14ac:dyDescent="0.3">
      <c r="B84" s="147"/>
    </row>
    <row r="85" spans="2:2" x14ac:dyDescent="0.3">
      <c r="B85" s="147"/>
    </row>
    <row r="86" spans="2:2" x14ac:dyDescent="0.3">
      <c r="B86" s="147"/>
    </row>
    <row r="87" spans="2:2" x14ac:dyDescent="0.3">
      <c r="B87" s="147"/>
    </row>
    <row r="88" spans="2:2" x14ac:dyDescent="0.3">
      <c r="B88" s="147"/>
    </row>
    <row r="89" spans="2:2" x14ac:dyDescent="0.3">
      <c r="B89" s="147"/>
    </row>
    <row r="90" spans="2:2" x14ac:dyDescent="0.3">
      <c r="B90" s="147"/>
    </row>
    <row r="91" spans="2:2" x14ac:dyDescent="0.3">
      <c r="B91" s="147"/>
    </row>
    <row r="92" spans="2:2" x14ac:dyDescent="0.3">
      <c r="B92" s="147"/>
    </row>
    <row r="93" spans="2:2" x14ac:dyDescent="0.3">
      <c r="B93" s="147"/>
    </row>
    <row r="94" spans="2:2" x14ac:dyDescent="0.3">
      <c r="B94" s="147"/>
    </row>
    <row r="95" spans="2:2" x14ac:dyDescent="0.3">
      <c r="B95" s="147"/>
    </row>
    <row r="96" spans="2:2" x14ac:dyDescent="0.3">
      <c r="B96" s="147"/>
    </row>
    <row r="97" spans="2:2" x14ac:dyDescent="0.3">
      <c r="B97" s="147"/>
    </row>
    <row r="98" spans="2:2" x14ac:dyDescent="0.3">
      <c r="B98" s="147"/>
    </row>
    <row r="99" spans="2:2" x14ac:dyDescent="0.3">
      <c r="B99" s="147"/>
    </row>
    <row r="100" spans="2:2" x14ac:dyDescent="0.3">
      <c r="B100" s="147"/>
    </row>
    <row r="101" spans="2:2" x14ac:dyDescent="0.3">
      <c r="B101" s="147"/>
    </row>
    <row r="102" spans="2:2" x14ac:dyDescent="0.3">
      <c r="B102" s="147"/>
    </row>
    <row r="103" spans="2:2" x14ac:dyDescent="0.3">
      <c r="B103" s="147"/>
    </row>
    <row r="104" spans="2:2" x14ac:dyDescent="0.3">
      <c r="B104" s="147"/>
    </row>
    <row r="105" spans="2:2" x14ac:dyDescent="0.3">
      <c r="B105" s="147"/>
    </row>
    <row r="106" spans="2:2" x14ac:dyDescent="0.3">
      <c r="B106" s="147"/>
    </row>
    <row r="107" spans="2:2" x14ac:dyDescent="0.3">
      <c r="B107" s="147"/>
    </row>
    <row r="108" spans="2:2" x14ac:dyDescent="0.3">
      <c r="B108" s="147"/>
    </row>
    <row r="109" spans="2:2" x14ac:dyDescent="0.3">
      <c r="B109" s="147"/>
    </row>
    <row r="110" spans="2:2" x14ac:dyDescent="0.3">
      <c r="B110" s="147"/>
    </row>
    <row r="111" spans="2:2" x14ac:dyDescent="0.3">
      <c r="B111" s="147"/>
    </row>
    <row r="112" spans="2:2" x14ac:dyDescent="0.3">
      <c r="B112" s="147"/>
    </row>
    <row r="113" spans="2:2" x14ac:dyDescent="0.3">
      <c r="B113" s="147"/>
    </row>
    <row r="114" spans="2:2" x14ac:dyDescent="0.3">
      <c r="B114" s="147"/>
    </row>
    <row r="115" spans="2:2" x14ac:dyDescent="0.3">
      <c r="B115" s="147"/>
    </row>
    <row r="116" spans="2:2" x14ac:dyDescent="0.3">
      <c r="B116" s="147"/>
    </row>
    <row r="117" spans="2:2" x14ac:dyDescent="0.3">
      <c r="B117" s="147"/>
    </row>
    <row r="118" spans="2:2" x14ac:dyDescent="0.3">
      <c r="B118" s="147"/>
    </row>
    <row r="119" spans="2:2" x14ac:dyDescent="0.3">
      <c r="B119" s="147"/>
    </row>
    <row r="120" spans="2:2" x14ac:dyDescent="0.3">
      <c r="B120" s="147"/>
    </row>
    <row r="121" spans="2:2" x14ac:dyDescent="0.3">
      <c r="B121" s="147"/>
    </row>
    <row r="122" spans="2:2" x14ac:dyDescent="0.3">
      <c r="B122" s="147"/>
    </row>
    <row r="123" spans="2:2" x14ac:dyDescent="0.3">
      <c r="B123" s="147"/>
    </row>
    <row r="124" spans="2:2" x14ac:dyDescent="0.3">
      <c r="B124" s="147"/>
    </row>
    <row r="125" spans="2:2" x14ac:dyDescent="0.3">
      <c r="B125" s="147"/>
    </row>
    <row r="126" spans="2:2" x14ac:dyDescent="0.3">
      <c r="B126" s="147"/>
    </row>
    <row r="127" spans="2:2" x14ac:dyDescent="0.3">
      <c r="B127" s="147"/>
    </row>
    <row r="128" spans="2:2" x14ac:dyDescent="0.3">
      <c r="B128" s="147"/>
    </row>
    <row r="129" spans="2:2" x14ac:dyDescent="0.3">
      <c r="B129" s="147"/>
    </row>
    <row r="130" spans="2:2" x14ac:dyDescent="0.3">
      <c r="B130" s="147"/>
    </row>
    <row r="131" spans="2:2" x14ac:dyDescent="0.3">
      <c r="B131" s="147"/>
    </row>
    <row r="132" spans="2:2" x14ac:dyDescent="0.3">
      <c r="B132" s="147"/>
    </row>
    <row r="133" spans="2:2" x14ac:dyDescent="0.3">
      <c r="B133" s="147"/>
    </row>
    <row r="134" spans="2:2" x14ac:dyDescent="0.3">
      <c r="B134" s="147"/>
    </row>
    <row r="135" spans="2:2" x14ac:dyDescent="0.3">
      <c r="B135" s="147"/>
    </row>
    <row r="136" spans="2:2" x14ac:dyDescent="0.3">
      <c r="B136" s="147"/>
    </row>
    <row r="137" spans="2:2" x14ac:dyDescent="0.3">
      <c r="B137" s="147"/>
    </row>
    <row r="138" spans="2:2" x14ac:dyDescent="0.3">
      <c r="B138" s="147"/>
    </row>
    <row r="139" spans="2:2" x14ac:dyDescent="0.3">
      <c r="B139" s="147"/>
    </row>
    <row r="140" spans="2:2" x14ac:dyDescent="0.3">
      <c r="B140" s="147"/>
    </row>
    <row r="141" spans="2:2" x14ac:dyDescent="0.3">
      <c r="B141" s="147"/>
    </row>
    <row r="142" spans="2:2" x14ac:dyDescent="0.3">
      <c r="B142" s="147"/>
    </row>
    <row r="143" spans="2:2" x14ac:dyDescent="0.3">
      <c r="B143" s="147"/>
    </row>
    <row r="144" spans="2:2" x14ac:dyDescent="0.3">
      <c r="B144" s="147"/>
    </row>
    <row r="145" spans="2:2" x14ac:dyDescent="0.3">
      <c r="B145" s="147"/>
    </row>
    <row r="146" spans="2:2" x14ac:dyDescent="0.3">
      <c r="B146" s="147"/>
    </row>
    <row r="147" spans="2:2" x14ac:dyDescent="0.3">
      <c r="B147" s="147"/>
    </row>
    <row r="148" spans="2:2" x14ac:dyDescent="0.3">
      <c r="B148" s="147"/>
    </row>
    <row r="149" spans="2:2" x14ac:dyDescent="0.3">
      <c r="B149" s="147"/>
    </row>
    <row r="150" spans="2:2" x14ac:dyDescent="0.3">
      <c r="B150" s="147"/>
    </row>
    <row r="151" spans="2:2" x14ac:dyDescent="0.3">
      <c r="B151" s="147"/>
    </row>
    <row r="152" spans="2:2" x14ac:dyDescent="0.3">
      <c r="B152" s="147"/>
    </row>
    <row r="153" spans="2:2" x14ac:dyDescent="0.3">
      <c r="B153" s="147"/>
    </row>
    <row r="154" spans="2:2" x14ac:dyDescent="0.3">
      <c r="B154" s="147"/>
    </row>
    <row r="155" spans="2:2" x14ac:dyDescent="0.3">
      <c r="B155" s="147"/>
    </row>
    <row r="156" spans="2:2" x14ac:dyDescent="0.3">
      <c r="B156" s="147"/>
    </row>
    <row r="157" spans="2:2" x14ac:dyDescent="0.3">
      <c r="B157" s="147"/>
    </row>
    <row r="158" spans="2:2" x14ac:dyDescent="0.3">
      <c r="B158" s="147"/>
    </row>
    <row r="159" spans="2:2" x14ac:dyDescent="0.3">
      <c r="B159" s="147"/>
    </row>
    <row r="160" spans="2:2" x14ac:dyDescent="0.3">
      <c r="B160" s="147"/>
    </row>
    <row r="161" spans="2:2" x14ac:dyDescent="0.3">
      <c r="B161" s="147"/>
    </row>
    <row r="162" spans="2:2" x14ac:dyDescent="0.3">
      <c r="B162" s="147"/>
    </row>
    <row r="163" spans="2:2" x14ac:dyDescent="0.3">
      <c r="B163" s="147"/>
    </row>
    <row r="164" spans="2:2" x14ac:dyDescent="0.3">
      <c r="B164" s="147"/>
    </row>
    <row r="165" spans="2:2" x14ac:dyDescent="0.3">
      <c r="B165" s="147"/>
    </row>
    <row r="166" spans="2:2" x14ac:dyDescent="0.3">
      <c r="B166" s="147"/>
    </row>
    <row r="167" spans="2:2" x14ac:dyDescent="0.3">
      <c r="B167" s="147"/>
    </row>
    <row r="168" spans="2:2" x14ac:dyDescent="0.3">
      <c r="B168" s="147"/>
    </row>
    <row r="169" spans="2:2" x14ac:dyDescent="0.3">
      <c r="B169" s="147"/>
    </row>
    <row r="170" spans="2:2" x14ac:dyDescent="0.3">
      <c r="B170" s="147"/>
    </row>
    <row r="171" spans="2:2" x14ac:dyDescent="0.3">
      <c r="B171" s="147"/>
    </row>
    <row r="172" spans="2:2" x14ac:dyDescent="0.3">
      <c r="B172" s="147"/>
    </row>
    <row r="173" spans="2:2" x14ac:dyDescent="0.3">
      <c r="B173" s="147"/>
    </row>
    <row r="174" spans="2:2" x14ac:dyDescent="0.3">
      <c r="B174" s="147"/>
    </row>
    <row r="175" spans="2:2" x14ac:dyDescent="0.3">
      <c r="B175" s="147"/>
    </row>
    <row r="176" spans="2:2" x14ac:dyDescent="0.3">
      <c r="B176" s="147"/>
    </row>
    <row r="177" spans="2:2" x14ac:dyDescent="0.3">
      <c r="B177" s="147"/>
    </row>
    <row r="178" spans="2:2" x14ac:dyDescent="0.3">
      <c r="B178" s="147"/>
    </row>
    <row r="179" spans="2:2" x14ac:dyDescent="0.3">
      <c r="B179" s="147"/>
    </row>
    <row r="180" spans="2:2" x14ac:dyDescent="0.3">
      <c r="B180" s="147"/>
    </row>
    <row r="181" spans="2:2" x14ac:dyDescent="0.3">
      <c r="B181" s="147"/>
    </row>
    <row r="182" spans="2:2" x14ac:dyDescent="0.3">
      <c r="B182" s="147"/>
    </row>
    <row r="183" spans="2:2" x14ac:dyDescent="0.3">
      <c r="B183" s="147"/>
    </row>
    <row r="184" spans="2:2" x14ac:dyDescent="0.3">
      <c r="B184" s="147"/>
    </row>
    <row r="185" spans="2:2" x14ac:dyDescent="0.3">
      <c r="B185" s="147"/>
    </row>
    <row r="186" spans="2:2" x14ac:dyDescent="0.3">
      <c r="B186" s="147"/>
    </row>
    <row r="187" spans="2:2" x14ac:dyDescent="0.3">
      <c r="B187" s="147"/>
    </row>
    <row r="188" spans="2:2" x14ac:dyDescent="0.3">
      <c r="B188" s="147"/>
    </row>
    <row r="189" spans="2:2" x14ac:dyDescent="0.3">
      <c r="B189" s="147"/>
    </row>
    <row r="190" spans="2:2" x14ac:dyDescent="0.3">
      <c r="B190" s="147"/>
    </row>
    <row r="191" spans="2:2" x14ac:dyDescent="0.3">
      <c r="B191" s="147"/>
    </row>
    <row r="192" spans="2:2" x14ac:dyDescent="0.3">
      <c r="B192" s="147"/>
    </row>
    <row r="193" spans="2:2" x14ac:dyDescent="0.3">
      <c r="B193" s="147"/>
    </row>
    <row r="194" spans="2:2" x14ac:dyDescent="0.3">
      <c r="B194" s="147"/>
    </row>
    <row r="195" spans="2:2" x14ac:dyDescent="0.3">
      <c r="B195" s="147"/>
    </row>
    <row r="196" spans="2:2" x14ac:dyDescent="0.3">
      <c r="B196" s="147"/>
    </row>
    <row r="197" spans="2:2" x14ac:dyDescent="0.3">
      <c r="B197" s="147"/>
    </row>
    <row r="198" spans="2:2" x14ac:dyDescent="0.3">
      <c r="B198" s="147"/>
    </row>
    <row r="199" spans="2:2" x14ac:dyDescent="0.3">
      <c r="B199" s="147"/>
    </row>
    <row r="200" spans="2:2" x14ac:dyDescent="0.3">
      <c r="B200" s="147"/>
    </row>
    <row r="201" spans="2:2" x14ac:dyDescent="0.3">
      <c r="B201" s="147"/>
    </row>
    <row r="202" spans="2:2" x14ac:dyDescent="0.3">
      <c r="B202" s="147"/>
    </row>
    <row r="203" spans="2:2" x14ac:dyDescent="0.3">
      <c r="B203" s="147"/>
    </row>
    <row r="204" spans="2:2" x14ac:dyDescent="0.3">
      <c r="B204" s="147"/>
    </row>
    <row r="205" spans="2:2" x14ac:dyDescent="0.3">
      <c r="B205" s="147"/>
    </row>
    <row r="206" spans="2:2" x14ac:dyDescent="0.3">
      <c r="B206" s="147"/>
    </row>
    <row r="207" spans="2:2" x14ac:dyDescent="0.3">
      <c r="B207" s="147"/>
    </row>
    <row r="208" spans="2:2" x14ac:dyDescent="0.3">
      <c r="B208" s="147"/>
    </row>
    <row r="209" spans="2:2" x14ac:dyDescent="0.3">
      <c r="B209" s="147"/>
    </row>
    <row r="210" spans="2:2" x14ac:dyDescent="0.3">
      <c r="B210" s="147"/>
    </row>
    <row r="211" spans="2:2" x14ac:dyDescent="0.3">
      <c r="B211" s="147"/>
    </row>
    <row r="212" spans="2:2" x14ac:dyDescent="0.3">
      <c r="B212" s="147"/>
    </row>
    <row r="213" spans="2:2" x14ac:dyDescent="0.3">
      <c r="B213" s="147"/>
    </row>
    <row r="214" spans="2:2" x14ac:dyDescent="0.3">
      <c r="B214" s="147"/>
    </row>
    <row r="215" spans="2:2" x14ac:dyDescent="0.3">
      <c r="B215" s="147"/>
    </row>
    <row r="216" spans="2:2" x14ac:dyDescent="0.3">
      <c r="B216" s="147"/>
    </row>
    <row r="217" spans="2:2" x14ac:dyDescent="0.3">
      <c r="B217" s="147"/>
    </row>
    <row r="218" spans="2:2" x14ac:dyDescent="0.3">
      <c r="B218" s="147"/>
    </row>
    <row r="219" spans="2:2" x14ac:dyDescent="0.3">
      <c r="B219" s="147"/>
    </row>
    <row r="220" spans="2:2" x14ac:dyDescent="0.3">
      <c r="B220" s="147"/>
    </row>
    <row r="221" spans="2:2" x14ac:dyDescent="0.3">
      <c r="B221" s="147"/>
    </row>
    <row r="222" spans="2:2" x14ac:dyDescent="0.3">
      <c r="B222" s="147"/>
    </row>
    <row r="223" spans="2:2" x14ac:dyDescent="0.3">
      <c r="B223" s="147"/>
    </row>
    <row r="224" spans="2:2" x14ac:dyDescent="0.3">
      <c r="B224" s="147"/>
    </row>
    <row r="225" spans="2:2" x14ac:dyDescent="0.3">
      <c r="B225" s="147"/>
    </row>
    <row r="226" spans="2:2" x14ac:dyDescent="0.3">
      <c r="B226" s="147"/>
    </row>
    <row r="227" spans="2:2" x14ac:dyDescent="0.3">
      <c r="B227" s="147"/>
    </row>
    <row r="228" spans="2:2" x14ac:dyDescent="0.3">
      <c r="B228" s="147"/>
    </row>
    <row r="229" spans="2:2" x14ac:dyDescent="0.3">
      <c r="B229" s="147"/>
    </row>
    <row r="230" spans="2:2" x14ac:dyDescent="0.3">
      <c r="B230" s="147"/>
    </row>
    <row r="231" spans="2:2" x14ac:dyDescent="0.3">
      <c r="B231" s="147"/>
    </row>
    <row r="232" spans="2:2" x14ac:dyDescent="0.3">
      <c r="B232" s="147"/>
    </row>
    <row r="233" spans="2:2" x14ac:dyDescent="0.3">
      <c r="B233" s="147"/>
    </row>
    <row r="234" spans="2:2" x14ac:dyDescent="0.3">
      <c r="B234" s="147"/>
    </row>
    <row r="235" spans="2:2" x14ac:dyDescent="0.3">
      <c r="B235" s="147"/>
    </row>
    <row r="236" spans="2:2" x14ac:dyDescent="0.3">
      <c r="B236" s="147"/>
    </row>
    <row r="237" spans="2:2" x14ac:dyDescent="0.3">
      <c r="B237" s="147"/>
    </row>
    <row r="238" spans="2:2" x14ac:dyDescent="0.3">
      <c r="B238" s="147"/>
    </row>
    <row r="239" spans="2:2" x14ac:dyDescent="0.3">
      <c r="B239" s="147"/>
    </row>
    <row r="240" spans="2:2" x14ac:dyDescent="0.3">
      <c r="B240" s="147"/>
    </row>
    <row r="241" spans="2:2" x14ac:dyDescent="0.3">
      <c r="B241" s="147"/>
    </row>
    <row r="242" spans="2:2" x14ac:dyDescent="0.3">
      <c r="B242" s="147"/>
    </row>
    <row r="243" spans="2:2" x14ac:dyDescent="0.3">
      <c r="B243" s="147"/>
    </row>
    <row r="244" spans="2:2" x14ac:dyDescent="0.3">
      <c r="B244" s="147"/>
    </row>
    <row r="245" spans="2:2" x14ac:dyDescent="0.3">
      <c r="B245" s="147"/>
    </row>
    <row r="246" spans="2:2" x14ac:dyDescent="0.3">
      <c r="B246" s="147"/>
    </row>
    <row r="247" spans="2:2" x14ac:dyDescent="0.3">
      <c r="B247" s="147"/>
    </row>
    <row r="248" spans="2:2" x14ac:dyDescent="0.3">
      <c r="B248" s="147"/>
    </row>
    <row r="249" spans="2:2" x14ac:dyDescent="0.3">
      <c r="B249" s="147"/>
    </row>
    <row r="250" spans="2:2" x14ac:dyDescent="0.3">
      <c r="B250" s="147"/>
    </row>
    <row r="251" spans="2:2" x14ac:dyDescent="0.3">
      <c r="B251" s="147"/>
    </row>
    <row r="252" spans="2:2" x14ac:dyDescent="0.3">
      <c r="B252" s="147"/>
    </row>
    <row r="253" spans="2:2" x14ac:dyDescent="0.3">
      <c r="B253" s="147"/>
    </row>
    <row r="254" spans="2:2" x14ac:dyDescent="0.3">
      <c r="B254" s="147"/>
    </row>
    <row r="255" spans="2:2" x14ac:dyDescent="0.3">
      <c r="B255" s="147"/>
    </row>
    <row r="256" spans="2:2" x14ac:dyDescent="0.3">
      <c r="B256" s="147"/>
    </row>
    <row r="257" spans="2:2" x14ac:dyDescent="0.3">
      <c r="B257" s="147"/>
    </row>
    <row r="258" spans="2:2" x14ac:dyDescent="0.3">
      <c r="B258" s="147"/>
    </row>
    <row r="259" spans="2:2" x14ac:dyDescent="0.3">
      <c r="B259" s="147"/>
    </row>
    <row r="260" spans="2:2" x14ac:dyDescent="0.3">
      <c r="B260" s="147"/>
    </row>
    <row r="261" spans="2:2" x14ac:dyDescent="0.3">
      <c r="B261" s="147"/>
    </row>
    <row r="262" spans="2:2" x14ac:dyDescent="0.3">
      <c r="B262" s="147"/>
    </row>
    <row r="263" spans="2:2" x14ac:dyDescent="0.3">
      <c r="B263" s="147"/>
    </row>
    <row r="264" spans="2:2" x14ac:dyDescent="0.3">
      <c r="B264" s="147"/>
    </row>
    <row r="265" spans="2:2" x14ac:dyDescent="0.3">
      <c r="B265" s="147"/>
    </row>
    <row r="266" spans="2:2" x14ac:dyDescent="0.3">
      <c r="B266" s="147"/>
    </row>
    <row r="267" spans="2:2" x14ac:dyDescent="0.3">
      <c r="B267" s="147"/>
    </row>
    <row r="268" spans="2:2" x14ac:dyDescent="0.3">
      <c r="B268" s="147"/>
    </row>
    <row r="269" spans="2:2" x14ac:dyDescent="0.3">
      <c r="B269" s="147"/>
    </row>
    <row r="270" spans="2:2" x14ac:dyDescent="0.3">
      <c r="B270" s="147"/>
    </row>
    <row r="271" spans="2:2" x14ac:dyDescent="0.3">
      <c r="B271" s="147"/>
    </row>
    <row r="272" spans="2:2" x14ac:dyDescent="0.3">
      <c r="B272" s="147"/>
    </row>
    <row r="273" spans="2:2" x14ac:dyDescent="0.3">
      <c r="B273" s="147"/>
    </row>
    <row r="274" spans="2:2" x14ac:dyDescent="0.3">
      <c r="B274" s="147"/>
    </row>
    <row r="275" spans="2:2" x14ac:dyDescent="0.3">
      <c r="B275" s="147"/>
    </row>
    <row r="276" spans="2:2" x14ac:dyDescent="0.3">
      <c r="B276" s="147"/>
    </row>
    <row r="277" spans="2:2" x14ac:dyDescent="0.3">
      <c r="B277" s="147"/>
    </row>
    <row r="278" spans="2:2" x14ac:dyDescent="0.3">
      <c r="B278" s="147"/>
    </row>
    <row r="279" spans="2:2" x14ac:dyDescent="0.3">
      <c r="B279" s="147"/>
    </row>
    <row r="280" spans="2:2" x14ac:dyDescent="0.3">
      <c r="B280" s="147"/>
    </row>
    <row r="281" spans="2:2" x14ac:dyDescent="0.3">
      <c r="B281" s="147"/>
    </row>
    <row r="282" spans="2:2" x14ac:dyDescent="0.3">
      <c r="B282" s="147"/>
    </row>
    <row r="283" spans="2:2" x14ac:dyDescent="0.3">
      <c r="B283" s="147"/>
    </row>
    <row r="284" spans="2:2" x14ac:dyDescent="0.3">
      <c r="B284" s="147"/>
    </row>
    <row r="285" spans="2:2" x14ac:dyDescent="0.3">
      <c r="B285" s="147"/>
    </row>
    <row r="286" spans="2:2" x14ac:dyDescent="0.3">
      <c r="B286" s="147"/>
    </row>
    <row r="287" spans="2:2" x14ac:dyDescent="0.3">
      <c r="B287" s="147"/>
    </row>
    <row r="288" spans="2:2" x14ac:dyDescent="0.3">
      <c r="B288" s="147"/>
    </row>
    <row r="289" spans="2:2" x14ac:dyDescent="0.3">
      <c r="B289" s="147"/>
    </row>
    <row r="290" spans="2:2" x14ac:dyDescent="0.3">
      <c r="B290" s="147"/>
    </row>
    <row r="291" spans="2:2" x14ac:dyDescent="0.3">
      <c r="B291" s="147"/>
    </row>
    <row r="292" spans="2:2" x14ac:dyDescent="0.3">
      <c r="B292" s="147"/>
    </row>
    <row r="293" spans="2:2" x14ac:dyDescent="0.3">
      <c r="B293" s="147"/>
    </row>
    <row r="294" spans="2:2" x14ac:dyDescent="0.3">
      <c r="B294" s="147"/>
    </row>
    <row r="295" spans="2:2" x14ac:dyDescent="0.3">
      <c r="B295" s="147"/>
    </row>
    <row r="296" spans="2:2" x14ac:dyDescent="0.3">
      <c r="B296" s="147"/>
    </row>
    <row r="297" spans="2:2" x14ac:dyDescent="0.3">
      <c r="B297" s="147"/>
    </row>
    <row r="298" spans="2:2" x14ac:dyDescent="0.3">
      <c r="B298" s="147"/>
    </row>
    <row r="299" spans="2:2" x14ac:dyDescent="0.3">
      <c r="B299" s="147"/>
    </row>
    <row r="300" spans="2:2" x14ac:dyDescent="0.3">
      <c r="B300" s="147"/>
    </row>
    <row r="301" spans="2:2" x14ac:dyDescent="0.3">
      <c r="B301" s="147"/>
    </row>
    <row r="302" spans="2:2" x14ac:dyDescent="0.3">
      <c r="B302" s="147"/>
    </row>
    <row r="303" spans="2:2" x14ac:dyDescent="0.3">
      <c r="B303" s="147"/>
    </row>
    <row r="304" spans="2:2" x14ac:dyDescent="0.3">
      <c r="B304" s="147"/>
    </row>
    <row r="305" spans="2:2" x14ac:dyDescent="0.3">
      <c r="B305" s="147"/>
    </row>
    <row r="306" spans="2:2" x14ac:dyDescent="0.3">
      <c r="B306" s="147"/>
    </row>
    <row r="307" spans="2:2" x14ac:dyDescent="0.3">
      <c r="B307" s="147"/>
    </row>
    <row r="308" spans="2:2" x14ac:dyDescent="0.3">
      <c r="B308" s="147"/>
    </row>
    <row r="309" spans="2:2" x14ac:dyDescent="0.3">
      <c r="B309" s="147"/>
    </row>
    <row r="310" spans="2:2" x14ac:dyDescent="0.3">
      <c r="B310" s="147"/>
    </row>
    <row r="311" spans="2:2" x14ac:dyDescent="0.3">
      <c r="B311" s="147"/>
    </row>
    <row r="312" spans="2:2" x14ac:dyDescent="0.3">
      <c r="B312" s="147"/>
    </row>
    <row r="313" spans="2:2" x14ac:dyDescent="0.3">
      <c r="B313" s="147"/>
    </row>
    <row r="314" spans="2:2" x14ac:dyDescent="0.3">
      <c r="B314" s="147"/>
    </row>
    <row r="315" spans="2:2" x14ac:dyDescent="0.3">
      <c r="B315" s="147"/>
    </row>
    <row r="316" spans="2:2" x14ac:dyDescent="0.3">
      <c r="B316" s="147"/>
    </row>
    <row r="317" spans="2:2" x14ac:dyDescent="0.3">
      <c r="B317" s="147"/>
    </row>
    <row r="318" spans="2:2" x14ac:dyDescent="0.3">
      <c r="B318" s="147"/>
    </row>
    <row r="319" spans="2:2" x14ac:dyDescent="0.3">
      <c r="B319" s="147"/>
    </row>
    <row r="320" spans="2:2" x14ac:dyDescent="0.3">
      <c r="B320" s="147"/>
    </row>
    <row r="321" spans="2:2" x14ac:dyDescent="0.3">
      <c r="B321" s="147"/>
    </row>
    <row r="322" spans="2:2" x14ac:dyDescent="0.3">
      <c r="B322" s="147"/>
    </row>
    <row r="323" spans="2:2" x14ac:dyDescent="0.3">
      <c r="B323" s="147"/>
    </row>
    <row r="324" spans="2:2" x14ac:dyDescent="0.3">
      <c r="B324" s="147"/>
    </row>
    <row r="325" spans="2:2" x14ac:dyDescent="0.3">
      <c r="B325" s="147"/>
    </row>
    <row r="326" spans="2:2" x14ac:dyDescent="0.3">
      <c r="B326" s="147"/>
    </row>
    <row r="327" spans="2:2" x14ac:dyDescent="0.3">
      <c r="B327" s="147"/>
    </row>
    <row r="328" spans="2:2" x14ac:dyDescent="0.3">
      <c r="B328" s="147"/>
    </row>
    <row r="329" spans="2:2" x14ac:dyDescent="0.3">
      <c r="B329" s="147"/>
    </row>
    <row r="330" spans="2:2" x14ac:dyDescent="0.3">
      <c r="B330" s="147"/>
    </row>
    <row r="331" spans="2:2" x14ac:dyDescent="0.3">
      <c r="B331" s="147"/>
    </row>
    <row r="332" spans="2:2" x14ac:dyDescent="0.3">
      <c r="B332" s="147"/>
    </row>
    <row r="333" spans="2:2" x14ac:dyDescent="0.3">
      <c r="B333" s="147"/>
    </row>
    <row r="334" spans="2:2" x14ac:dyDescent="0.3">
      <c r="B334" s="147"/>
    </row>
    <row r="335" spans="2:2" x14ac:dyDescent="0.3">
      <c r="B335" s="147"/>
    </row>
    <row r="336" spans="2:2" x14ac:dyDescent="0.3">
      <c r="B336" s="147"/>
    </row>
    <row r="337" spans="2:2" x14ac:dyDescent="0.3">
      <c r="B337" s="147"/>
    </row>
    <row r="338" spans="2:2" x14ac:dyDescent="0.3">
      <c r="B338" s="147"/>
    </row>
    <row r="339" spans="2:2" x14ac:dyDescent="0.3">
      <c r="B339" s="147"/>
    </row>
    <row r="340" spans="2:2" x14ac:dyDescent="0.3">
      <c r="B340" s="147"/>
    </row>
    <row r="341" spans="2:2" x14ac:dyDescent="0.3">
      <c r="B341" s="147"/>
    </row>
    <row r="342" spans="2:2" x14ac:dyDescent="0.3">
      <c r="B342" s="147"/>
    </row>
    <row r="343" spans="2:2" x14ac:dyDescent="0.3">
      <c r="B343" s="147"/>
    </row>
    <row r="344" spans="2:2" x14ac:dyDescent="0.3">
      <c r="B344" s="147"/>
    </row>
    <row r="345" spans="2:2" x14ac:dyDescent="0.3">
      <c r="B345" s="147"/>
    </row>
    <row r="346" spans="2:2" x14ac:dyDescent="0.3">
      <c r="B346" s="147"/>
    </row>
    <row r="347" spans="2:2" x14ac:dyDescent="0.3">
      <c r="B347" s="147"/>
    </row>
    <row r="348" spans="2:2" x14ac:dyDescent="0.3">
      <c r="B348" s="147"/>
    </row>
    <row r="349" spans="2:2" x14ac:dyDescent="0.3">
      <c r="B349" s="147"/>
    </row>
    <row r="350" spans="2:2" x14ac:dyDescent="0.3">
      <c r="B350" s="147"/>
    </row>
    <row r="351" spans="2:2" x14ac:dyDescent="0.3">
      <c r="B351" s="147"/>
    </row>
    <row r="352" spans="2:2" x14ac:dyDescent="0.3">
      <c r="B352" s="147"/>
    </row>
    <row r="353" spans="2:2" x14ac:dyDescent="0.3">
      <c r="B353" s="147"/>
    </row>
    <row r="354" spans="2:2" x14ac:dyDescent="0.3">
      <c r="B354" s="147"/>
    </row>
    <row r="355" spans="2:2" x14ac:dyDescent="0.3">
      <c r="B355" s="147"/>
    </row>
    <row r="356" spans="2:2" x14ac:dyDescent="0.3">
      <c r="B356" s="147"/>
    </row>
    <row r="357" spans="2:2" x14ac:dyDescent="0.3">
      <c r="B357" s="147"/>
    </row>
    <row r="358" spans="2:2" x14ac:dyDescent="0.3">
      <c r="B358" s="147"/>
    </row>
    <row r="359" spans="2:2" x14ac:dyDescent="0.3">
      <c r="B359" s="147"/>
    </row>
    <row r="360" spans="2:2" x14ac:dyDescent="0.3">
      <c r="B360" s="147"/>
    </row>
    <row r="361" spans="2:2" x14ac:dyDescent="0.3">
      <c r="B361" s="147"/>
    </row>
    <row r="362" spans="2:2" x14ac:dyDescent="0.3">
      <c r="B362" s="147"/>
    </row>
  </sheetData>
  <mergeCells count="3">
    <mergeCell ref="B1:P1"/>
    <mergeCell ref="B3:B4"/>
    <mergeCell ref="D3:O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B1:T359"/>
  <sheetViews>
    <sheetView zoomScale="93" zoomScaleNormal="85" workbookViewId="0">
      <selection activeCell="P6" sqref="P6:P30"/>
    </sheetView>
  </sheetViews>
  <sheetFormatPr defaultColWidth="9.109375" defaultRowHeight="14.4" x14ac:dyDescent="0.3"/>
  <cols>
    <col min="1" max="1" width="4.33203125" style="11" customWidth="1"/>
    <col min="2" max="2" width="7.44140625" style="11" customWidth="1"/>
    <col min="3" max="3" width="11.88671875" style="11" bestFit="1" customWidth="1"/>
    <col min="4" max="5" width="9.88671875" style="11" customWidth="1"/>
    <col min="6" max="9" width="8.5546875" style="11" customWidth="1"/>
    <col min="10" max="11" width="8.5546875" style="11" hidden="1" customWidth="1"/>
    <col min="12" max="15" width="8.44140625" style="11" hidden="1" customWidth="1"/>
    <col min="16" max="16" width="10.5546875" style="11" customWidth="1"/>
    <col min="17" max="16384" width="9.109375" style="11"/>
  </cols>
  <sheetData>
    <row r="1" spans="2:16" ht="20.399999999999999" thickBot="1" x14ac:dyDescent="0.35">
      <c r="B1" s="292" t="str">
        <f>"Perhitungan Hidrograf Nakayasu, Tr = " &amp;Referensi!M8 &amp; " tahun"</f>
        <v>Perhitungan Hidrograf Nakayasu, Tr = 1000 tahun</v>
      </c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</row>
    <row r="2" spans="2:16" ht="12.75" customHeight="1" thickTop="1" thickBot="1" x14ac:dyDescent="0.35"/>
    <row r="3" spans="2:16" s="63" customFormat="1" x14ac:dyDescent="0.3">
      <c r="B3" s="293" t="s">
        <v>107</v>
      </c>
      <c r="C3" s="131" t="s">
        <v>108</v>
      </c>
      <c r="D3" s="295" t="s">
        <v>109</v>
      </c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132" t="s">
        <v>70</v>
      </c>
    </row>
    <row r="4" spans="2:16" s="63" customFormat="1" x14ac:dyDescent="0.3">
      <c r="B4" s="294"/>
      <c r="C4" s="133" t="s">
        <v>110</v>
      </c>
      <c r="D4" s="134">
        <f>'Input Data Nakayasu'!O6</f>
        <v>14.267865609094542</v>
      </c>
      <c r="E4" s="134">
        <f>'Input Data Nakayasu'!O7</f>
        <v>21.223259723271493</v>
      </c>
      <c r="F4" s="134">
        <f>'Input Data Nakayasu'!O8</f>
        <v>116.40120632390337</v>
      </c>
      <c r="G4" s="134">
        <f>'Input Data Nakayasu'!O9</f>
        <v>30.255123756738737</v>
      </c>
      <c r="H4" s="134">
        <f>'Input Data Nakayasu'!O10</f>
        <v>16.895807565018028</v>
      </c>
      <c r="I4" s="134">
        <f>'Input Data Nakayasu'!O11</f>
        <v>12.47176606364131</v>
      </c>
      <c r="J4" s="134">
        <v>0</v>
      </c>
      <c r="K4" s="134">
        <v>0</v>
      </c>
      <c r="L4" s="134">
        <v>0</v>
      </c>
      <c r="M4" s="134">
        <v>0</v>
      </c>
      <c r="N4" s="134">
        <v>0</v>
      </c>
      <c r="O4" s="134">
        <v>0</v>
      </c>
      <c r="P4" s="135" t="s">
        <v>111</v>
      </c>
    </row>
    <row r="5" spans="2:16" s="63" customFormat="1" ht="16.8" thickBot="1" x14ac:dyDescent="0.35">
      <c r="B5" s="136" t="s">
        <v>71</v>
      </c>
      <c r="C5" s="137" t="s">
        <v>127</v>
      </c>
      <c r="D5" s="138" t="s">
        <v>112</v>
      </c>
      <c r="E5" s="138" t="str">
        <f t="shared" ref="E5:H5" si="0">D5</f>
        <v>(mm)</v>
      </c>
      <c r="F5" s="138" t="str">
        <f t="shared" si="0"/>
        <v>(mm)</v>
      </c>
      <c r="G5" s="138" t="str">
        <f t="shared" si="0"/>
        <v>(mm)</v>
      </c>
      <c r="H5" s="138" t="str">
        <f t="shared" si="0"/>
        <v>(mm)</v>
      </c>
      <c r="I5" s="138" t="str">
        <f>H5</f>
        <v>(mm)</v>
      </c>
      <c r="J5" s="138" t="str">
        <f t="shared" ref="J5:O5" si="1">I5</f>
        <v>(mm)</v>
      </c>
      <c r="K5" s="138" t="str">
        <f t="shared" si="1"/>
        <v>(mm)</v>
      </c>
      <c r="L5" s="138" t="str">
        <f t="shared" si="1"/>
        <v>(mm)</v>
      </c>
      <c r="M5" s="138" t="str">
        <f t="shared" si="1"/>
        <v>(mm)</v>
      </c>
      <c r="N5" s="138" t="str">
        <f t="shared" si="1"/>
        <v>(mm)</v>
      </c>
      <c r="O5" s="138" t="str">
        <f t="shared" si="1"/>
        <v>(mm)</v>
      </c>
      <c r="P5" s="139" t="s">
        <v>113</v>
      </c>
    </row>
    <row r="6" spans="2:16" ht="15" thickTop="1" x14ac:dyDescent="0.3">
      <c r="B6" s="140">
        <f>'UH Nakayasu'!A14</f>
        <v>0</v>
      </c>
      <c r="C6" s="141">
        <f>'UH Nakayasu'!G14</f>
        <v>0</v>
      </c>
      <c r="D6" s="142">
        <f>$D$4*C6</f>
        <v>0</v>
      </c>
      <c r="E6" s="142">
        <f>$D$4*D6</f>
        <v>0</v>
      </c>
      <c r="F6" s="142">
        <f>F$4*C6</f>
        <v>0</v>
      </c>
      <c r="G6" s="143">
        <f>G$4*C6</f>
        <v>0</v>
      </c>
      <c r="H6" s="142">
        <f t="shared" ref="H6:O6" si="2">H$4*$C6</f>
        <v>0</v>
      </c>
      <c r="I6" s="142">
        <f t="shared" si="2"/>
        <v>0</v>
      </c>
      <c r="J6" s="142">
        <f t="shared" si="2"/>
        <v>0</v>
      </c>
      <c r="K6" s="142">
        <f t="shared" si="2"/>
        <v>0</v>
      </c>
      <c r="L6" s="142">
        <f t="shared" si="2"/>
        <v>0</v>
      </c>
      <c r="M6" s="142">
        <f t="shared" si="2"/>
        <v>0</v>
      </c>
      <c r="N6" s="142">
        <f t="shared" si="2"/>
        <v>0</v>
      </c>
      <c r="O6" s="142">
        <f t="shared" si="2"/>
        <v>0</v>
      </c>
      <c r="P6" s="258">
        <f>SUM(D6:I6)</f>
        <v>0</v>
      </c>
    </row>
    <row r="7" spans="2:16" x14ac:dyDescent="0.3">
      <c r="B7" s="140">
        <f>'UH Nakayasu'!A15</f>
        <v>1</v>
      </c>
      <c r="C7" s="141">
        <f>'UH Nakayasu'!G15</f>
        <v>0.15333996387688015</v>
      </c>
      <c r="D7" s="143">
        <f t="shared" ref="D7:O19" si="3">$C7*D$4</f>
        <v>2.1878339970987377</v>
      </c>
      <c r="E7" s="143">
        <f t="shared" si="3"/>
        <v>3.2543738793160961</v>
      </c>
      <c r="F7" s="143">
        <f t="shared" si="3"/>
        <v>17.848956772932617</v>
      </c>
      <c r="G7" s="143">
        <f t="shared" si="3"/>
        <v>4.6393195839488559</v>
      </c>
      <c r="H7" s="143">
        <f t="shared" si="3"/>
        <v>2.5908025216905828</v>
      </c>
      <c r="I7" s="143">
        <f t="shared" si="3"/>
        <v>1.9124201576796582</v>
      </c>
      <c r="J7" s="143">
        <f t="shared" si="3"/>
        <v>0</v>
      </c>
      <c r="K7" s="143">
        <f t="shared" si="3"/>
        <v>0</v>
      </c>
      <c r="L7" s="143">
        <f t="shared" si="3"/>
        <v>0</v>
      </c>
      <c r="M7" s="143">
        <f t="shared" si="3"/>
        <v>0</v>
      </c>
      <c r="N7" s="143">
        <f t="shared" si="3"/>
        <v>0</v>
      </c>
      <c r="O7" s="143">
        <f t="shared" si="3"/>
        <v>0</v>
      </c>
      <c r="P7" s="259">
        <f t="shared" ref="P7:P23" si="4">SUM(D7:I7)</f>
        <v>32.433706912666544</v>
      </c>
    </row>
    <row r="8" spans="2:16" x14ac:dyDescent="0.3">
      <c r="B8" s="140">
        <f>'UH Nakayasu'!A17</f>
        <v>2</v>
      </c>
      <c r="C8" s="141">
        <f>'UH Nakayasu'!G17</f>
        <v>0.30925265401773849</v>
      </c>
      <c r="D8" s="143">
        <f t="shared" si="3"/>
        <v>4.4123753067809046</v>
      </c>
      <c r="E8" s="143">
        <f t="shared" si="3"/>
        <v>6.5633493963294836</v>
      </c>
      <c r="F8" s="143">
        <f t="shared" si="3"/>
        <v>35.997381986533483</v>
      </c>
      <c r="G8" s="143">
        <f t="shared" si="3"/>
        <v>9.3564773194065847</v>
      </c>
      <c r="H8" s="143">
        <f t="shared" si="3"/>
        <v>5.2250733312548094</v>
      </c>
      <c r="I8" s="143">
        <f t="shared" si="3"/>
        <v>3.8569267554694382</v>
      </c>
      <c r="J8" s="143">
        <f t="shared" si="3"/>
        <v>0</v>
      </c>
      <c r="K8" s="143">
        <f t="shared" si="3"/>
        <v>0</v>
      </c>
      <c r="L8" s="143">
        <f t="shared" si="3"/>
        <v>0</v>
      </c>
      <c r="M8" s="143">
        <f t="shared" si="3"/>
        <v>0</v>
      </c>
      <c r="N8" s="143">
        <f t="shared" si="3"/>
        <v>0</v>
      </c>
      <c r="O8" s="143">
        <f t="shared" si="3"/>
        <v>0</v>
      </c>
      <c r="P8" s="259">
        <f t="shared" si="4"/>
        <v>65.411584095774714</v>
      </c>
    </row>
    <row r="9" spans="2:16" x14ac:dyDescent="0.3">
      <c r="B9" s="140">
        <f>'UH Nakayasu'!A18</f>
        <v>3</v>
      </c>
      <c r="C9" s="141">
        <f>'UH Nakayasu'!G18</f>
        <v>8.9076147466301756E-2</v>
      </c>
      <c r="D9" s="143">
        <f t="shared" si="3"/>
        <v>1.2709265010250808</v>
      </c>
      <c r="E9" s="143">
        <f t="shared" si="3"/>
        <v>1.890486212825754</v>
      </c>
      <c r="F9" s="143">
        <f t="shared" si="3"/>
        <v>10.368571019763433</v>
      </c>
      <c r="G9" s="143">
        <f t="shared" si="3"/>
        <v>2.6950098653664694</v>
      </c>
      <c r="H9" s="143">
        <f t="shared" si="3"/>
        <v>1.5050134462238027</v>
      </c>
      <c r="I9" s="143">
        <f t="shared" si="3"/>
        <v>1.110936873050131</v>
      </c>
      <c r="J9" s="143">
        <f t="shared" si="3"/>
        <v>0</v>
      </c>
      <c r="K9" s="143">
        <f t="shared" si="3"/>
        <v>0</v>
      </c>
      <c r="L9" s="143">
        <f t="shared" si="3"/>
        <v>0</v>
      </c>
      <c r="M9" s="143">
        <f t="shared" si="3"/>
        <v>0</v>
      </c>
      <c r="N9" s="143">
        <f t="shared" si="3"/>
        <v>0</v>
      </c>
      <c r="O9" s="143">
        <f t="shared" si="3"/>
        <v>0</v>
      </c>
      <c r="P9" s="259">
        <f t="shared" si="4"/>
        <v>18.840943918254673</v>
      </c>
    </row>
    <row r="10" spans="2:16" x14ac:dyDescent="0.3">
      <c r="B10" s="140">
        <f>'UH Nakayasu'!A19</f>
        <v>4</v>
      </c>
      <c r="C10" s="141">
        <f>'UH Nakayasu'!G19</f>
        <v>2.5657209224737066E-2</v>
      </c>
      <c r="D10" s="143">
        <f t="shared" si="3"/>
        <v>0.36607361312296921</v>
      </c>
      <c r="E10" s="143">
        <f t="shared" si="3"/>
        <v>0.54452961515091203</v>
      </c>
      <c r="F10" s="143">
        <f t="shared" si="3"/>
        <v>2.9865301046641761</v>
      </c>
      <c r="G10" s="143">
        <f t="shared" si="3"/>
        <v>0.77626204034695867</v>
      </c>
      <c r="H10" s="143">
        <f t="shared" si="3"/>
        <v>0.43349926971656288</v>
      </c>
      <c r="I10" s="143">
        <f t="shared" si="3"/>
        <v>0.3199907112968205</v>
      </c>
      <c r="J10" s="143">
        <f t="shared" si="3"/>
        <v>0</v>
      </c>
      <c r="K10" s="143">
        <f t="shared" si="3"/>
        <v>0</v>
      </c>
      <c r="L10" s="143">
        <f t="shared" si="3"/>
        <v>0</v>
      </c>
      <c r="M10" s="143">
        <f t="shared" si="3"/>
        <v>0</v>
      </c>
      <c r="N10" s="143">
        <f t="shared" si="3"/>
        <v>0</v>
      </c>
      <c r="O10" s="143">
        <f t="shared" si="3"/>
        <v>0</v>
      </c>
      <c r="P10" s="259">
        <f t="shared" si="4"/>
        <v>5.4268853542983999</v>
      </c>
    </row>
    <row r="11" spans="2:16" x14ac:dyDescent="0.3">
      <c r="B11" s="140">
        <f>'UH Nakayasu'!A20</f>
        <v>5</v>
      </c>
      <c r="C11" s="141">
        <f>'UH Nakayasu'!G20</f>
        <v>7.3902206586894618E-3</v>
      </c>
      <c r="D11" s="143">
        <f t="shared" si="3"/>
        <v>0.10544267517973539</v>
      </c>
      <c r="E11" s="143">
        <f t="shared" si="3"/>
        <v>0.15684457245165298</v>
      </c>
      <c r="F11" s="143">
        <f t="shared" si="3"/>
        <v>0.86023059967128512</v>
      </c>
      <c r="G11" s="143">
        <f t="shared" si="3"/>
        <v>0.22359204061825694</v>
      </c>
      <c r="H11" s="143">
        <f t="shared" si="3"/>
        <v>0.12486374611223792</v>
      </c>
      <c r="I11" s="143">
        <f t="shared" si="3"/>
        <v>9.2169103213864151E-2</v>
      </c>
      <c r="J11" s="143">
        <f t="shared" si="3"/>
        <v>0</v>
      </c>
      <c r="K11" s="143">
        <f t="shared" si="3"/>
        <v>0</v>
      </c>
      <c r="L11" s="143">
        <f t="shared" si="3"/>
        <v>0</v>
      </c>
      <c r="M11" s="143">
        <f t="shared" si="3"/>
        <v>0</v>
      </c>
      <c r="N11" s="143">
        <f t="shared" si="3"/>
        <v>0</v>
      </c>
      <c r="O11" s="143">
        <f t="shared" si="3"/>
        <v>0</v>
      </c>
      <c r="P11" s="259">
        <f t="shared" si="4"/>
        <v>1.5631427372470326</v>
      </c>
    </row>
    <row r="12" spans="2:16" x14ac:dyDescent="0.3">
      <c r="B12" s="140">
        <f>'UH Nakayasu'!A22</f>
        <v>6</v>
      </c>
      <c r="C12" s="141">
        <f>'UH Nakayasu'!G22</f>
        <v>1.2458970816164703E-2</v>
      </c>
      <c r="D12" s="143">
        <f t="shared" si="3"/>
        <v>0.17776292123266893</v>
      </c>
      <c r="E12" s="143">
        <f t="shared" si="3"/>
        <v>0.26441997351612329</v>
      </c>
      <c r="F12" s="143">
        <f t="shared" si="3"/>
        <v>1.4502392325558784</v>
      </c>
      <c r="G12" s="143">
        <f t="shared" si="3"/>
        <v>0.37694770392465932</v>
      </c>
      <c r="H12" s="143">
        <f t="shared" si="3"/>
        <v>0.21050437336809444</v>
      </c>
      <c r="I12" s="143">
        <f t="shared" si="3"/>
        <v>0.15538536941294043</v>
      </c>
      <c r="J12" s="143">
        <f t="shared" si="3"/>
        <v>0</v>
      </c>
      <c r="K12" s="143">
        <f t="shared" si="3"/>
        <v>0</v>
      </c>
      <c r="L12" s="143">
        <f t="shared" si="3"/>
        <v>0</v>
      </c>
      <c r="M12" s="143">
        <f t="shared" si="3"/>
        <v>0</v>
      </c>
      <c r="N12" s="143">
        <f t="shared" si="3"/>
        <v>0</v>
      </c>
      <c r="O12" s="143">
        <f t="shared" si="3"/>
        <v>0</v>
      </c>
      <c r="P12" s="259">
        <f>SUM(D12:I12)</f>
        <v>2.635259574010365</v>
      </c>
    </row>
    <row r="13" spans="2:16" x14ac:dyDescent="0.3">
      <c r="B13" s="140">
        <f>'UH Nakayasu'!A23</f>
        <v>7</v>
      </c>
      <c r="C13" s="141">
        <f>'UH Nakayasu'!G23</f>
        <v>5.43393153191015E-3</v>
      </c>
      <c r="D13" s="143">
        <f t="shared" si="3"/>
        <v>7.7530604826315255E-2</v>
      </c>
      <c r="E13" s="143">
        <f t="shared" si="3"/>
        <v>0.11532574022020364</v>
      </c>
      <c r="F13" s="143">
        <f t="shared" si="3"/>
        <v>0.63251618539583765</v>
      </c>
      <c r="G13" s="143">
        <f t="shared" si="3"/>
        <v>0.16440427098358648</v>
      </c>
      <c r="H13" s="143">
        <f t="shared" si="3"/>
        <v>9.1810661484637512E-2</v>
      </c>
      <c r="I13" s="143">
        <f t="shared" si="3"/>
        <v>6.7770722871827449E-2</v>
      </c>
      <c r="J13" s="143">
        <f t="shared" si="3"/>
        <v>0</v>
      </c>
      <c r="K13" s="143">
        <f t="shared" si="3"/>
        <v>0</v>
      </c>
      <c r="L13" s="143">
        <f t="shared" si="3"/>
        <v>0</v>
      </c>
      <c r="M13" s="143">
        <f t="shared" si="3"/>
        <v>0</v>
      </c>
      <c r="N13" s="143">
        <f t="shared" si="3"/>
        <v>0</v>
      </c>
      <c r="O13" s="143">
        <f t="shared" si="3"/>
        <v>0</v>
      </c>
      <c r="P13" s="259">
        <f t="shared" si="4"/>
        <v>1.1493581857824078</v>
      </c>
    </row>
    <row r="14" spans="2:16" x14ac:dyDescent="0.3">
      <c r="B14" s="140">
        <f>'UH Nakayasu'!A24</f>
        <v>8</v>
      </c>
      <c r="C14" s="141">
        <f>'UH Nakayasu'!G24</f>
        <v>2.3699880454954819E-3</v>
      </c>
      <c r="D14" s="143">
        <f t="shared" si="3"/>
        <v>3.3814670928290179E-2</v>
      </c>
      <c r="E14" s="143">
        <f t="shared" si="3"/>
        <v>5.0298871830599189E-2</v>
      </c>
      <c r="F14" s="143">
        <f t="shared" si="3"/>
        <v>0.27586946746890406</v>
      </c>
      <c r="G14" s="143">
        <f t="shared" si="3"/>
        <v>7.1704281618457155E-2</v>
      </c>
      <c r="H14" s="143">
        <f t="shared" si="3"/>
        <v>4.0042861948084853E-2</v>
      </c>
      <c r="I14" s="143">
        <f t="shared" si="3"/>
        <v>2.9557936477046149E-2</v>
      </c>
      <c r="J14" s="143">
        <f t="shared" si="3"/>
        <v>0</v>
      </c>
      <c r="K14" s="143">
        <f t="shared" si="3"/>
        <v>0</v>
      </c>
      <c r="L14" s="143">
        <f t="shared" si="3"/>
        <v>0</v>
      </c>
      <c r="M14" s="143">
        <f t="shared" si="3"/>
        <v>0</v>
      </c>
      <c r="N14" s="143">
        <f t="shared" si="3"/>
        <v>0</v>
      </c>
      <c r="O14" s="143">
        <f t="shared" si="3"/>
        <v>0</v>
      </c>
      <c r="P14" s="259">
        <f t="shared" si="4"/>
        <v>0.50128809027138166</v>
      </c>
    </row>
    <row r="15" spans="2:16" x14ac:dyDescent="0.3">
      <c r="B15" s="140">
        <f>'UH Nakayasu'!A25</f>
        <v>9</v>
      </c>
      <c r="C15" s="141">
        <f>'UH Nakayasu'!G25</f>
        <v>1.0336610431705309E-3</v>
      </c>
      <c r="D15" s="143">
        <f t="shared" si="3"/>
        <v>1.4748136849313608E-2</v>
      </c>
      <c r="E15" s="143">
        <f t="shared" si="3"/>
        <v>2.1937656785035925E-2</v>
      </c>
      <c r="F15" s="143">
        <f t="shared" si="3"/>
        <v>0.12031939235507415</v>
      </c>
      <c r="G15" s="143">
        <f t="shared" si="3"/>
        <v>3.1273542783644075E-2</v>
      </c>
      <c r="H15" s="143">
        <f t="shared" si="3"/>
        <v>1.7464538072865084E-2</v>
      </c>
      <c r="I15" s="143">
        <f t="shared" si="3"/>
        <v>1.2891578719522302E-2</v>
      </c>
      <c r="J15" s="143">
        <f t="shared" si="3"/>
        <v>0</v>
      </c>
      <c r="K15" s="143">
        <f t="shared" si="3"/>
        <v>0</v>
      </c>
      <c r="L15" s="143">
        <f t="shared" si="3"/>
        <v>0</v>
      </c>
      <c r="M15" s="143">
        <f t="shared" si="3"/>
        <v>0</v>
      </c>
      <c r="N15" s="143">
        <f t="shared" si="3"/>
        <v>0</v>
      </c>
      <c r="O15" s="143">
        <f t="shared" si="3"/>
        <v>0</v>
      </c>
      <c r="P15" s="259">
        <f t="shared" si="4"/>
        <v>0.21863484556545512</v>
      </c>
    </row>
    <row r="16" spans="2:16" x14ac:dyDescent="0.3">
      <c r="B16" s="140">
        <f>'UH Nakayasu'!A26</f>
        <v>10</v>
      </c>
      <c r="C16" s="141">
        <f>'UH Nakayasu'!G26</f>
        <v>4.5082723273611028E-4</v>
      </c>
      <c r="D16" s="143">
        <f t="shared" si="3"/>
        <v>6.4323423695988088E-3</v>
      </c>
      <c r="E16" s="143">
        <f t="shared" si="3"/>
        <v>9.568023450682233E-3</v>
      </c>
      <c r="F16" s="143">
        <f t="shared" si="3"/>
        <v>5.2476833734150373E-2</v>
      </c>
      <c r="G16" s="143">
        <f t="shared" si="3"/>
        <v>1.3639833719339073E-2</v>
      </c>
      <c r="H16" s="143">
        <f t="shared" si="3"/>
        <v>7.6170901693789154E-3</v>
      </c>
      <c r="I16" s="143">
        <f t="shared" si="3"/>
        <v>5.6226117818035425E-3</v>
      </c>
      <c r="J16" s="143">
        <f t="shared" si="3"/>
        <v>0</v>
      </c>
      <c r="K16" s="143">
        <f t="shared" si="3"/>
        <v>0</v>
      </c>
      <c r="L16" s="143">
        <f t="shared" si="3"/>
        <v>0</v>
      </c>
      <c r="M16" s="143">
        <f t="shared" si="3"/>
        <v>0</v>
      </c>
      <c r="N16" s="143">
        <f t="shared" si="3"/>
        <v>0</v>
      </c>
      <c r="O16" s="143">
        <f t="shared" si="3"/>
        <v>0</v>
      </c>
      <c r="P16" s="259">
        <f t="shared" si="4"/>
        <v>9.5356735224952943E-2</v>
      </c>
    </row>
    <row r="17" spans="2:20" x14ac:dyDescent="0.3">
      <c r="B17" s="140">
        <f>'UH Nakayasu'!A28</f>
        <v>11</v>
      </c>
      <c r="C17" s="141">
        <f>'UH Nakayasu'!G28</f>
        <v>9.9327806265111195E-4</v>
      </c>
      <c r="D17" s="143">
        <f t="shared" si="3"/>
        <v>1.4171957910367855E-2</v>
      </c>
      <c r="E17" s="143">
        <f t="shared" si="3"/>
        <v>2.1080598301072482E-2</v>
      </c>
      <c r="F17" s="143">
        <f t="shared" si="3"/>
        <v>0.1156187647076591</v>
      </c>
      <c r="G17" s="143">
        <f t="shared" si="3"/>
        <v>3.0051750710363083E-2</v>
      </c>
      <c r="H17" s="143">
        <f t="shared" si="3"/>
        <v>1.6782235005107109E-2</v>
      </c>
      <c r="I17" s="143">
        <f t="shared" si="3"/>
        <v>1.2387931633531525E-2</v>
      </c>
      <c r="J17" s="143">
        <f t="shared" si="3"/>
        <v>0</v>
      </c>
      <c r="K17" s="143">
        <f t="shared" si="3"/>
        <v>0</v>
      </c>
      <c r="L17" s="143">
        <f t="shared" si="3"/>
        <v>0</v>
      </c>
      <c r="M17" s="143">
        <f t="shared" si="3"/>
        <v>0</v>
      </c>
      <c r="N17" s="143">
        <f t="shared" si="3"/>
        <v>0</v>
      </c>
      <c r="O17" s="143">
        <f t="shared" si="3"/>
        <v>0</v>
      </c>
      <c r="P17" s="259">
        <f t="shared" si="4"/>
        <v>0.21009323826810117</v>
      </c>
    </row>
    <row r="18" spans="2:20" x14ac:dyDescent="0.3">
      <c r="B18" s="140">
        <f>'UH Nakayasu'!A29</f>
        <v>12</v>
      </c>
      <c r="C18" s="141">
        <f>'UH Nakayasu'!G29</f>
        <v>5.3308300710671783E-4</v>
      </c>
      <c r="D18" s="143">
        <f t="shared" si="3"/>
        <v>7.6059567038906407E-3</v>
      </c>
      <c r="E18" s="143">
        <f t="shared" si="3"/>
        <v>1.1313759113888456E-2</v>
      </c>
      <c r="F18" s="143">
        <f t="shared" si="3"/>
        <v>6.205150509799591E-2</v>
      </c>
      <c r="G18" s="143">
        <f t="shared" si="3"/>
        <v>1.6128492352628185E-2</v>
      </c>
      <c r="H18" s="143">
        <f t="shared" si="3"/>
        <v>9.0068679042562428E-3</v>
      </c>
      <c r="I18" s="143">
        <f t="shared" si="3"/>
        <v>6.6484865571374225E-3</v>
      </c>
      <c r="J18" s="143">
        <f t="shared" si="3"/>
        <v>0</v>
      </c>
      <c r="K18" s="143">
        <f t="shared" si="3"/>
        <v>0</v>
      </c>
      <c r="L18" s="143">
        <f t="shared" si="3"/>
        <v>0</v>
      </c>
      <c r="M18" s="143">
        <f t="shared" si="3"/>
        <v>0</v>
      </c>
      <c r="N18" s="143">
        <f t="shared" si="3"/>
        <v>0</v>
      </c>
      <c r="O18" s="143">
        <f t="shared" si="3"/>
        <v>0</v>
      </c>
      <c r="P18" s="259">
        <f t="shared" si="4"/>
        <v>0.11275506772979686</v>
      </c>
    </row>
    <row r="19" spans="2:20" x14ac:dyDescent="0.3">
      <c r="B19" s="140">
        <f>'UH Nakayasu'!A30</f>
        <v>13</v>
      </c>
      <c r="C19" s="141">
        <f>'UH Nakayasu'!G30</f>
        <v>2.8610064306409429E-4</v>
      </c>
      <c r="D19" s="143">
        <f t="shared" si="3"/>
        <v>4.0820455259140236E-3</v>
      </c>
      <c r="E19" s="143">
        <f t="shared" si="3"/>
        <v>6.071988254744266E-3</v>
      </c>
      <c r="F19" s="143">
        <f t="shared" si="3"/>
        <v>3.330245998270507E-2</v>
      </c>
      <c r="G19" s="143">
        <f t="shared" si="3"/>
        <v>8.6560103627867091E-3</v>
      </c>
      <c r="H19" s="143">
        <f t="shared" si="3"/>
        <v>4.8339014094388472E-3</v>
      </c>
      <c r="I19" s="143">
        <f t="shared" si="3"/>
        <v>3.5681802909527265E-3</v>
      </c>
      <c r="J19" s="143">
        <f t="shared" si="3"/>
        <v>0</v>
      </c>
      <c r="K19" s="143">
        <f t="shared" si="3"/>
        <v>0</v>
      </c>
      <c r="L19" s="143">
        <f t="shared" si="3"/>
        <v>0</v>
      </c>
      <c r="M19" s="143">
        <f t="shared" si="3"/>
        <v>0</v>
      </c>
      <c r="N19" s="143">
        <f t="shared" si="3"/>
        <v>0</v>
      </c>
      <c r="O19" s="143">
        <f t="shared" si="3"/>
        <v>0</v>
      </c>
      <c r="P19" s="259">
        <f t="shared" si="4"/>
        <v>6.0514585826541636E-2</v>
      </c>
    </row>
    <row r="20" spans="2:20" x14ac:dyDescent="0.3">
      <c r="B20" s="140">
        <f>'UH Nakayasu'!A31</f>
        <v>14</v>
      </c>
      <c r="C20" s="141">
        <f>'UH Nakayasu'!G31</f>
        <v>1.5354752800308678E-4</v>
      </c>
      <c r="D20" s="143">
        <f t="shared" ref="D20:O30" si="5">$C20*D$4</f>
        <v>2.1907954941567231E-3</v>
      </c>
      <c r="E20" s="143">
        <f t="shared" si="5"/>
        <v>3.2587790666758136E-3</v>
      </c>
      <c r="F20" s="143">
        <f t="shared" si="5"/>
        <v>1.7873117487612635E-2</v>
      </c>
      <c r="G20" s="143">
        <f t="shared" si="5"/>
        <v>4.6455994622746971E-3</v>
      </c>
      <c r="H20" s="143">
        <f t="shared" si="5"/>
        <v>2.594309485224371E-3</v>
      </c>
      <c r="I20" s="143">
        <f t="shared" si="5"/>
        <v>1.9150088489049114E-3</v>
      </c>
      <c r="J20" s="143">
        <f t="shared" si="5"/>
        <v>0</v>
      </c>
      <c r="K20" s="143">
        <f t="shared" si="5"/>
        <v>0</v>
      </c>
      <c r="L20" s="143">
        <f t="shared" si="5"/>
        <v>0</v>
      </c>
      <c r="M20" s="143">
        <f t="shared" si="5"/>
        <v>0</v>
      </c>
      <c r="N20" s="143">
        <f t="shared" si="5"/>
        <v>0</v>
      </c>
      <c r="O20" s="143">
        <f t="shared" si="5"/>
        <v>0</v>
      </c>
      <c r="P20" s="259">
        <f t="shared" si="4"/>
        <v>3.2477609844849153E-2</v>
      </c>
    </row>
    <row r="21" spans="2:20" x14ac:dyDescent="0.3">
      <c r="B21" s="140">
        <f>'UH Nakayasu'!A32</f>
        <v>15</v>
      </c>
      <c r="C21" s="141">
        <f>'UH Nakayasu'!G32</f>
        <v>8.2407516122138841E-5</v>
      </c>
      <c r="D21" s="143">
        <f t="shared" si="5"/>
        <v>1.1757793652099689E-3</v>
      </c>
      <c r="E21" s="143">
        <f t="shared" si="5"/>
        <v>1.7489561178098355E-3</v>
      </c>
      <c r="F21" s="143">
        <f t="shared" si="5"/>
        <v>9.5923342867734757E-3</v>
      </c>
      <c r="G21" s="143">
        <f t="shared" si="5"/>
        <v>2.4932495987607531E-3</v>
      </c>
      <c r="H21" s="143">
        <f t="shared" si="5"/>
        <v>1.3923415343107786E-3</v>
      </c>
      <c r="I21" s="143">
        <f t="shared" si="5"/>
        <v>1.0277672629610652E-3</v>
      </c>
      <c r="J21" s="143">
        <f t="shared" si="5"/>
        <v>0</v>
      </c>
      <c r="K21" s="143">
        <f t="shared" si="5"/>
        <v>0</v>
      </c>
      <c r="L21" s="143">
        <f t="shared" si="5"/>
        <v>0</v>
      </c>
      <c r="M21" s="143">
        <f t="shared" si="5"/>
        <v>0</v>
      </c>
      <c r="N21" s="143">
        <f t="shared" si="5"/>
        <v>0</v>
      </c>
      <c r="O21" s="143">
        <f t="shared" si="5"/>
        <v>0</v>
      </c>
      <c r="P21" s="259">
        <f t="shared" si="4"/>
        <v>1.7430428165825875E-2</v>
      </c>
    </row>
    <row r="22" spans="2:20" x14ac:dyDescent="0.3">
      <c r="B22" s="140">
        <f>'UH Nakayasu'!A33</f>
        <v>16</v>
      </c>
      <c r="C22" s="141">
        <f>'UH Nakayasu'!G33</f>
        <v>4.4227339910572035E-5</v>
      </c>
      <c r="D22" s="143">
        <f t="shared" si="5"/>
        <v>6.3102974209178523E-4</v>
      </c>
      <c r="E22" s="143">
        <f t="shared" si="5"/>
        <v>9.3864832179148131E-4</v>
      </c>
      <c r="F22" s="143">
        <f t="shared" si="5"/>
        <v>5.1481157180879016E-3</v>
      </c>
      <c r="G22" s="143">
        <f t="shared" si="5"/>
        <v>1.3381036424257072E-3</v>
      </c>
      <c r="H22" s="143">
        <f t="shared" si="5"/>
        <v>7.4725662424166678E-4</v>
      </c>
      <c r="I22" s="143">
        <f t="shared" si="5"/>
        <v>5.5159303698180116E-4</v>
      </c>
      <c r="J22" s="143">
        <f t="shared" si="5"/>
        <v>0</v>
      </c>
      <c r="K22" s="143">
        <f t="shared" si="5"/>
        <v>0</v>
      </c>
      <c r="L22" s="143">
        <f t="shared" si="5"/>
        <v>0</v>
      </c>
      <c r="M22" s="143">
        <f t="shared" si="5"/>
        <v>0</v>
      </c>
      <c r="N22" s="143">
        <f t="shared" si="5"/>
        <v>0</v>
      </c>
      <c r="O22" s="143">
        <f t="shared" si="5"/>
        <v>0</v>
      </c>
      <c r="P22" s="259">
        <f t="shared" si="4"/>
        <v>9.3547470856203425E-3</v>
      </c>
    </row>
    <row r="23" spans="2:20" x14ac:dyDescent="0.3">
      <c r="B23" s="140">
        <f>'UH Nakayasu'!A34</f>
        <v>17</v>
      </c>
      <c r="C23" s="141">
        <f>'UH Nakayasu'!G34</f>
        <v>2.3736397935670558E-5</v>
      </c>
      <c r="D23" s="143">
        <f t="shared" si="5"/>
        <v>3.3866773579013663E-4</v>
      </c>
      <c r="E23" s="143">
        <f t="shared" si="5"/>
        <v>5.0376373828366159E-4</v>
      </c>
      <c r="F23" s="143">
        <f t="shared" si="5"/>
        <v>2.7629453534962624E-3</v>
      </c>
      <c r="G23" s="143">
        <f t="shared" si="5"/>
        <v>7.1814765708291058E-4</v>
      </c>
      <c r="H23" s="143">
        <f t="shared" si="5"/>
        <v>4.0104561180778092E-4</v>
      </c>
      <c r="I23" s="143">
        <f t="shared" si="5"/>
        <v>2.960348022471817E-4</v>
      </c>
      <c r="J23" s="143">
        <f t="shared" si="5"/>
        <v>0</v>
      </c>
      <c r="K23" s="143">
        <f t="shared" si="5"/>
        <v>0</v>
      </c>
      <c r="L23" s="143">
        <f t="shared" si="5"/>
        <v>0</v>
      </c>
      <c r="M23" s="143">
        <f t="shared" si="5"/>
        <v>0</v>
      </c>
      <c r="N23" s="143">
        <f t="shared" si="5"/>
        <v>0</v>
      </c>
      <c r="O23" s="143">
        <f t="shared" si="5"/>
        <v>0</v>
      </c>
      <c r="P23" s="259">
        <f t="shared" si="4"/>
        <v>5.0206048987079333E-3</v>
      </c>
    </row>
    <row r="24" spans="2:20" x14ac:dyDescent="0.3">
      <c r="B24" s="140">
        <f>'UH Nakayasu'!A35</f>
        <v>18</v>
      </c>
      <c r="C24" s="141">
        <f>'UH Nakayasu'!G35</f>
        <v>1.2739101833837112E-5</v>
      </c>
      <c r="D24" s="143">
        <f t="shared" si="5"/>
        <v>1.8175979294575775E-4</v>
      </c>
      <c r="E24" s="143">
        <f t="shared" si="5"/>
        <v>2.7036526686072921E-4</v>
      </c>
      <c r="F24" s="143">
        <f t="shared" si="5"/>
        <v>1.4828468209416893E-3</v>
      </c>
      <c r="G24" s="143">
        <f t="shared" si="5"/>
        <v>3.8542310253243922E-4</v>
      </c>
      <c r="H24" s="143">
        <f t="shared" si="5"/>
        <v>2.1523741313568011E-4</v>
      </c>
      <c r="I24" s="143">
        <f t="shared" si="5"/>
        <v>1.5887909793252047E-4</v>
      </c>
      <c r="J24" s="143">
        <f t="shared" si="5"/>
        <v>0</v>
      </c>
      <c r="K24" s="143">
        <f t="shared" si="5"/>
        <v>0</v>
      </c>
      <c r="L24" s="143">
        <f t="shared" si="5"/>
        <v>0</v>
      </c>
      <c r="M24" s="143">
        <f t="shared" si="5"/>
        <v>0</v>
      </c>
      <c r="N24" s="143">
        <f t="shared" si="5"/>
        <v>0</v>
      </c>
      <c r="O24" s="143">
        <f t="shared" si="5"/>
        <v>0</v>
      </c>
      <c r="P24" s="259">
        <f t="shared" ref="P24:P30" si="6">SUM(D24:I24)</f>
        <v>2.6945114943488164E-3</v>
      </c>
    </row>
    <row r="25" spans="2:20" x14ac:dyDescent="0.3">
      <c r="B25" s="140">
        <f>'UH Nakayasu'!A36</f>
        <v>19</v>
      </c>
      <c r="C25" s="141">
        <f>'UH Nakayasu'!G36</f>
        <v>6.8369563053623236E-6</v>
      </c>
      <c r="D25" s="143">
        <f t="shared" si="5"/>
        <v>9.7548773740161184E-5</v>
      </c>
      <c r="E25" s="143">
        <f t="shared" si="5"/>
        <v>1.4510249938536328E-4</v>
      </c>
      <c r="F25" s="143">
        <f t="shared" si="5"/>
        <v>7.9582996152799184E-4</v>
      </c>
      <c r="G25" s="143">
        <f t="shared" si="5"/>
        <v>2.0685295913815233E-4</v>
      </c>
      <c r="H25" s="143">
        <f t="shared" si="5"/>
        <v>1.1551589806583846E-4</v>
      </c>
      <c r="I25" s="143">
        <f t="shared" si="5"/>
        <v>8.5268919627816292E-5</v>
      </c>
      <c r="J25" s="143">
        <f t="shared" si="5"/>
        <v>0</v>
      </c>
      <c r="K25" s="143">
        <f t="shared" si="5"/>
        <v>0</v>
      </c>
      <c r="L25" s="143">
        <f t="shared" si="5"/>
        <v>0</v>
      </c>
      <c r="M25" s="143">
        <f t="shared" si="5"/>
        <v>0</v>
      </c>
      <c r="N25" s="143">
        <f t="shared" si="5"/>
        <v>0</v>
      </c>
      <c r="O25" s="143">
        <f t="shared" si="5"/>
        <v>0</v>
      </c>
      <c r="P25" s="259">
        <f t="shared" si="6"/>
        <v>1.4461190114853234E-3</v>
      </c>
    </row>
    <row r="26" spans="2:20" x14ac:dyDescent="0.3">
      <c r="B26" s="140">
        <f>'UH Nakayasu'!A37</f>
        <v>20</v>
      </c>
      <c r="C26" s="141">
        <f>'UH Nakayasu'!G37</f>
        <v>3.6693302346696201E-6</v>
      </c>
      <c r="D26" s="143">
        <f t="shared" si="5"/>
        <v>5.2353510663653479E-5</v>
      </c>
      <c r="E26" s="143">
        <f t="shared" si="5"/>
        <v>7.7875148580846081E-5</v>
      </c>
      <c r="F26" s="143">
        <f t="shared" si="5"/>
        <v>4.2711446571631521E-4</v>
      </c>
      <c r="G26" s="143">
        <f t="shared" si="5"/>
        <v>1.1101604035427254E-4</v>
      </c>
      <c r="H26" s="143">
        <f t="shared" si="5"/>
        <v>6.1996297537480352E-5</v>
      </c>
      <c r="I26" s="143">
        <f t="shared" si="5"/>
        <v>4.576302829704557E-5</v>
      </c>
      <c r="J26" s="143">
        <f t="shared" si="5"/>
        <v>0</v>
      </c>
      <c r="K26" s="143">
        <f t="shared" si="5"/>
        <v>0</v>
      </c>
      <c r="L26" s="143">
        <f t="shared" si="5"/>
        <v>0</v>
      </c>
      <c r="M26" s="143">
        <f t="shared" si="5"/>
        <v>0</v>
      </c>
      <c r="N26" s="143">
        <f t="shared" si="5"/>
        <v>0</v>
      </c>
      <c r="O26" s="143">
        <f t="shared" si="5"/>
        <v>0</v>
      </c>
      <c r="P26" s="259">
        <f t="shared" si="6"/>
        <v>7.7611849114961329E-4</v>
      </c>
    </row>
    <row r="27" spans="2:20" x14ac:dyDescent="0.3">
      <c r="B27" s="140">
        <f>'UH Nakayasu'!A38</f>
        <v>21</v>
      </c>
      <c r="C27" s="141">
        <f>'UH Nakayasu'!G38</f>
        <v>1.9692950736719734E-6</v>
      </c>
      <c r="D27" s="143">
        <f t="shared" si="5"/>
        <v>2.8097637455803653E-5</v>
      </c>
      <c r="E27" s="143">
        <f t="shared" si="5"/>
        <v>4.179486082029936E-5</v>
      </c>
      <c r="F27" s="143">
        <f t="shared" si="5"/>
        <v>2.2922832218313786E-4</v>
      </c>
      <c r="G27" s="143">
        <f t="shared" si="5"/>
        <v>5.9581266167481485E-5</v>
      </c>
      <c r="H27" s="143">
        <f t="shared" si="5"/>
        <v>3.3272830603499665E-5</v>
      </c>
      <c r="I27" s="143">
        <f t="shared" si="5"/>
        <v>2.456058746911813E-5</v>
      </c>
      <c r="J27" s="143">
        <f t="shared" si="5"/>
        <v>0</v>
      </c>
      <c r="K27" s="143">
        <f t="shared" si="5"/>
        <v>0</v>
      </c>
      <c r="L27" s="143">
        <f t="shared" si="5"/>
        <v>0</v>
      </c>
      <c r="M27" s="143">
        <f t="shared" si="5"/>
        <v>0</v>
      </c>
      <c r="N27" s="143">
        <f t="shared" si="5"/>
        <v>0</v>
      </c>
      <c r="O27" s="143">
        <f t="shared" si="5"/>
        <v>0</v>
      </c>
      <c r="P27" s="259">
        <f t="shared" si="6"/>
        <v>4.165355046993401E-4</v>
      </c>
    </row>
    <row r="28" spans="2:20" x14ac:dyDescent="0.3">
      <c r="B28" s="140">
        <f>'UH Nakayasu'!A39</f>
        <v>22</v>
      </c>
      <c r="C28" s="141">
        <f>'UH Nakayasu'!G39</f>
        <v>1.0569021699236337E-6</v>
      </c>
      <c r="D28" s="143">
        <f t="shared" si="5"/>
        <v>1.5079738122430809E-5</v>
      </c>
      <c r="E28" s="143">
        <f t="shared" si="5"/>
        <v>2.2430909254378499E-5</v>
      </c>
      <c r="F28" s="143">
        <f t="shared" si="5"/>
        <v>1.2302468754546206E-4</v>
      </c>
      <c r="G28" s="143">
        <f t="shared" si="5"/>
        <v>3.1976705949805252E-5</v>
      </c>
      <c r="H28" s="143">
        <f t="shared" si="5"/>
        <v>1.78572156780797E-5</v>
      </c>
      <c r="I28" s="143">
        <f t="shared" si="5"/>
        <v>1.3181436615442436E-5</v>
      </c>
      <c r="J28" s="143">
        <f t="shared" si="5"/>
        <v>0</v>
      </c>
      <c r="K28" s="143">
        <f t="shared" si="5"/>
        <v>0</v>
      </c>
      <c r="L28" s="143">
        <f t="shared" si="5"/>
        <v>0</v>
      </c>
      <c r="M28" s="143">
        <f t="shared" si="5"/>
        <v>0</v>
      </c>
      <c r="N28" s="143">
        <f t="shared" si="5"/>
        <v>0</v>
      </c>
      <c r="O28" s="143">
        <f t="shared" si="5"/>
        <v>0</v>
      </c>
      <c r="P28" s="259">
        <f t="shared" si="6"/>
        <v>2.2355069316559877E-4</v>
      </c>
      <c r="R28" s="11" t="s">
        <v>317</v>
      </c>
      <c r="S28" s="11">
        <v>75.986512474077415</v>
      </c>
      <c r="T28" s="11">
        <f>S28*5%</f>
        <v>3.7993256237038708</v>
      </c>
    </row>
    <row r="29" spans="2:20" x14ac:dyDescent="0.3">
      <c r="B29" s="140">
        <f>'UH Nakayasu'!A40</f>
        <v>23</v>
      </c>
      <c r="C29" s="141">
        <f>'UH Nakayasu'!G40</f>
        <v>5.6722946790621377E-7</v>
      </c>
      <c r="D29" s="143">
        <f t="shared" si="5"/>
        <v>8.0931538176040636E-6</v>
      </c>
      <c r="E29" s="143">
        <f t="shared" si="5"/>
        <v>1.2038458320066666E-5</v>
      </c>
      <c r="F29" s="143">
        <f t="shared" si="5"/>
        <v>6.6026194326749117E-5</v>
      </c>
      <c r="G29" s="143">
        <f t="shared" si="5"/>
        <v>1.7161597749971561E-5</v>
      </c>
      <c r="H29" s="143">
        <f t="shared" si="5"/>
        <v>9.5837999349509576E-6</v>
      </c>
      <c r="I29" s="143">
        <f t="shared" si="5"/>
        <v>7.0743532281300345E-6</v>
      </c>
      <c r="J29" s="143">
        <f t="shared" si="5"/>
        <v>0</v>
      </c>
      <c r="K29" s="143">
        <f t="shared" si="5"/>
        <v>0</v>
      </c>
      <c r="L29" s="143">
        <f t="shared" si="5"/>
        <v>0</v>
      </c>
      <c r="M29" s="143">
        <f t="shared" si="5"/>
        <v>0</v>
      </c>
      <c r="N29" s="143">
        <f t="shared" si="5"/>
        <v>0</v>
      </c>
      <c r="O29" s="143">
        <f t="shared" si="5"/>
        <v>0</v>
      </c>
      <c r="P29" s="259">
        <f t="shared" si="6"/>
        <v>1.1997755737747239E-4</v>
      </c>
      <c r="R29" s="11" t="s">
        <v>316</v>
      </c>
      <c r="S29" s="11">
        <v>58.012999999999998</v>
      </c>
      <c r="T29" s="11">
        <f>S29*5%</f>
        <v>2.9006500000000002</v>
      </c>
    </row>
    <row r="30" spans="2:20" x14ac:dyDescent="0.3">
      <c r="B30" s="140">
        <f>'UH Nakayasu'!A41</f>
        <v>24</v>
      </c>
      <c r="C30" s="141">
        <f>'UH Nakayasu'!G41</f>
        <v>3.0442672786301071E-7</v>
      </c>
      <c r="D30" s="143">
        <f t="shared" si="5"/>
        <v>4.3435196409658336E-6</v>
      </c>
      <c r="E30" s="143">
        <f t="shared" si="5"/>
        <v>6.4609275121423669E-6</v>
      </c>
      <c r="F30" s="143">
        <f t="shared" si="5"/>
        <v>3.5435638360493089E-5</v>
      </c>
      <c r="G30" s="143">
        <f t="shared" si="5"/>
        <v>9.2104683263544137E-6</v>
      </c>
      <c r="H30" s="143">
        <f t="shared" si="5"/>
        <v>5.1435354116215407E-6</v>
      </c>
      <c r="I30" s="143">
        <f t="shared" si="5"/>
        <v>3.7967389334272651E-6</v>
      </c>
      <c r="J30" s="143">
        <f t="shared" si="5"/>
        <v>0</v>
      </c>
      <c r="K30" s="143">
        <f t="shared" si="5"/>
        <v>0</v>
      </c>
      <c r="L30" s="143">
        <f t="shared" si="5"/>
        <v>0</v>
      </c>
      <c r="M30" s="143">
        <f t="shared" si="5"/>
        <v>0</v>
      </c>
      <c r="N30" s="143">
        <f t="shared" si="5"/>
        <v>0</v>
      </c>
      <c r="O30" s="143">
        <f t="shared" si="5"/>
        <v>0</v>
      </c>
      <c r="P30" s="259">
        <f t="shared" si="6"/>
        <v>6.4390828185004501E-5</v>
      </c>
    </row>
    <row r="31" spans="2:20" ht="15" thickBot="1" x14ac:dyDescent="0.35"/>
    <row r="32" spans="2:20" ht="15" thickBot="1" x14ac:dyDescent="0.35">
      <c r="B32" s="245" t="s">
        <v>312</v>
      </c>
      <c r="C32" s="248">
        <f>MAX(C6:C30)</f>
        <v>0.30925265401773849</v>
      </c>
      <c r="I32" s="245" t="s">
        <v>312</v>
      </c>
      <c r="J32" s="246"/>
      <c r="K32" s="246"/>
      <c r="L32" s="246"/>
      <c r="M32" s="246"/>
      <c r="N32" s="246"/>
      <c r="O32" s="246"/>
      <c r="P32" s="247">
        <f>MAX(P6:P30)</f>
        <v>65.411584095774714</v>
      </c>
    </row>
    <row r="64" spans="2:2" x14ac:dyDescent="0.3">
      <c r="B64" s="147"/>
    </row>
    <row r="65" spans="2:2" x14ac:dyDescent="0.3">
      <c r="B65" s="147"/>
    </row>
    <row r="66" spans="2:2" x14ac:dyDescent="0.3">
      <c r="B66" s="147"/>
    </row>
    <row r="67" spans="2:2" x14ac:dyDescent="0.3">
      <c r="B67" s="147"/>
    </row>
    <row r="68" spans="2:2" x14ac:dyDescent="0.3">
      <c r="B68" s="147"/>
    </row>
    <row r="69" spans="2:2" x14ac:dyDescent="0.3">
      <c r="B69" s="147"/>
    </row>
    <row r="70" spans="2:2" x14ac:dyDescent="0.3">
      <c r="B70" s="147"/>
    </row>
    <row r="71" spans="2:2" x14ac:dyDescent="0.3">
      <c r="B71" s="147"/>
    </row>
    <row r="72" spans="2:2" x14ac:dyDescent="0.3">
      <c r="B72" s="147"/>
    </row>
    <row r="73" spans="2:2" x14ac:dyDescent="0.3">
      <c r="B73" s="147"/>
    </row>
    <row r="74" spans="2:2" x14ac:dyDescent="0.3">
      <c r="B74" s="147"/>
    </row>
    <row r="75" spans="2:2" x14ac:dyDescent="0.3">
      <c r="B75" s="147"/>
    </row>
    <row r="76" spans="2:2" x14ac:dyDescent="0.3">
      <c r="B76" s="147"/>
    </row>
    <row r="77" spans="2:2" x14ac:dyDescent="0.3">
      <c r="B77" s="147"/>
    </row>
    <row r="78" spans="2:2" x14ac:dyDescent="0.3">
      <c r="B78" s="147"/>
    </row>
    <row r="79" spans="2:2" x14ac:dyDescent="0.3">
      <c r="B79" s="147"/>
    </row>
    <row r="80" spans="2:2" x14ac:dyDescent="0.3">
      <c r="B80" s="147"/>
    </row>
    <row r="81" spans="2:2" x14ac:dyDescent="0.3">
      <c r="B81" s="147"/>
    </row>
    <row r="82" spans="2:2" x14ac:dyDescent="0.3">
      <c r="B82" s="147"/>
    </row>
    <row r="83" spans="2:2" x14ac:dyDescent="0.3">
      <c r="B83" s="147"/>
    </row>
    <row r="84" spans="2:2" x14ac:dyDescent="0.3">
      <c r="B84" s="147"/>
    </row>
    <row r="85" spans="2:2" x14ac:dyDescent="0.3">
      <c r="B85" s="147"/>
    </row>
    <row r="86" spans="2:2" x14ac:dyDescent="0.3">
      <c r="B86" s="147"/>
    </row>
    <row r="87" spans="2:2" x14ac:dyDescent="0.3">
      <c r="B87" s="147"/>
    </row>
    <row r="88" spans="2:2" x14ac:dyDescent="0.3">
      <c r="B88" s="147"/>
    </row>
    <row r="89" spans="2:2" x14ac:dyDescent="0.3">
      <c r="B89" s="147"/>
    </row>
    <row r="90" spans="2:2" x14ac:dyDescent="0.3">
      <c r="B90" s="147"/>
    </row>
    <row r="91" spans="2:2" x14ac:dyDescent="0.3">
      <c r="B91" s="147"/>
    </row>
    <row r="92" spans="2:2" x14ac:dyDescent="0.3">
      <c r="B92" s="147"/>
    </row>
    <row r="93" spans="2:2" x14ac:dyDescent="0.3">
      <c r="B93" s="147"/>
    </row>
    <row r="94" spans="2:2" x14ac:dyDescent="0.3">
      <c r="B94" s="147"/>
    </row>
    <row r="95" spans="2:2" x14ac:dyDescent="0.3">
      <c r="B95" s="147"/>
    </row>
    <row r="96" spans="2:2" x14ac:dyDescent="0.3">
      <c r="B96" s="147"/>
    </row>
    <row r="97" spans="2:2" x14ac:dyDescent="0.3">
      <c r="B97" s="147"/>
    </row>
    <row r="98" spans="2:2" x14ac:dyDescent="0.3">
      <c r="B98" s="147"/>
    </row>
    <row r="99" spans="2:2" x14ac:dyDescent="0.3">
      <c r="B99" s="147"/>
    </row>
    <row r="100" spans="2:2" x14ac:dyDescent="0.3">
      <c r="B100" s="147"/>
    </row>
    <row r="101" spans="2:2" x14ac:dyDescent="0.3">
      <c r="B101" s="147"/>
    </row>
    <row r="102" spans="2:2" x14ac:dyDescent="0.3">
      <c r="B102" s="147"/>
    </row>
    <row r="103" spans="2:2" x14ac:dyDescent="0.3">
      <c r="B103" s="147"/>
    </row>
    <row r="104" spans="2:2" x14ac:dyDescent="0.3">
      <c r="B104" s="147"/>
    </row>
    <row r="105" spans="2:2" x14ac:dyDescent="0.3">
      <c r="B105" s="147"/>
    </row>
    <row r="106" spans="2:2" x14ac:dyDescent="0.3">
      <c r="B106" s="147"/>
    </row>
    <row r="107" spans="2:2" x14ac:dyDescent="0.3">
      <c r="B107" s="147"/>
    </row>
    <row r="108" spans="2:2" x14ac:dyDescent="0.3">
      <c r="B108" s="147"/>
    </row>
    <row r="109" spans="2:2" x14ac:dyDescent="0.3">
      <c r="B109" s="147"/>
    </row>
    <row r="110" spans="2:2" x14ac:dyDescent="0.3">
      <c r="B110" s="147"/>
    </row>
    <row r="111" spans="2:2" x14ac:dyDescent="0.3">
      <c r="B111" s="147"/>
    </row>
    <row r="112" spans="2:2" x14ac:dyDescent="0.3">
      <c r="B112" s="147"/>
    </row>
    <row r="113" spans="2:2" x14ac:dyDescent="0.3">
      <c r="B113" s="147"/>
    </row>
    <row r="114" spans="2:2" x14ac:dyDescent="0.3">
      <c r="B114" s="147"/>
    </row>
    <row r="115" spans="2:2" x14ac:dyDescent="0.3">
      <c r="B115" s="147"/>
    </row>
    <row r="116" spans="2:2" x14ac:dyDescent="0.3">
      <c r="B116" s="147"/>
    </row>
    <row r="117" spans="2:2" x14ac:dyDescent="0.3">
      <c r="B117" s="147"/>
    </row>
    <row r="118" spans="2:2" x14ac:dyDescent="0.3">
      <c r="B118" s="147"/>
    </row>
    <row r="119" spans="2:2" x14ac:dyDescent="0.3">
      <c r="B119" s="147"/>
    </row>
    <row r="120" spans="2:2" x14ac:dyDescent="0.3">
      <c r="B120" s="147"/>
    </row>
    <row r="121" spans="2:2" x14ac:dyDescent="0.3">
      <c r="B121" s="147"/>
    </row>
    <row r="122" spans="2:2" x14ac:dyDescent="0.3">
      <c r="B122" s="147"/>
    </row>
    <row r="123" spans="2:2" x14ac:dyDescent="0.3">
      <c r="B123" s="147"/>
    </row>
    <row r="124" spans="2:2" x14ac:dyDescent="0.3">
      <c r="B124" s="147"/>
    </row>
    <row r="125" spans="2:2" x14ac:dyDescent="0.3">
      <c r="B125" s="147"/>
    </row>
    <row r="126" spans="2:2" x14ac:dyDescent="0.3">
      <c r="B126" s="147"/>
    </row>
    <row r="127" spans="2:2" x14ac:dyDescent="0.3">
      <c r="B127" s="147"/>
    </row>
    <row r="128" spans="2:2" x14ac:dyDescent="0.3">
      <c r="B128" s="147"/>
    </row>
    <row r="129" spans="2:2" x14ac:dyDescent="0.3">
      <c r="B129" s="147"/>
    </row>
    <row r="130" spans="2:2" x14ac:dyDescent="0.3">
      <c r="B130" s="147"/>
    </row>
    <row r="131" spans="2:2" x14ac:dyDescent="0.3">
      <c r="B131" s="147"/>
    </row>
    <row r="132" spans="2:2" x14ac:dyDescent="0.3">
      <c r="B132" s="147"/>
    </row>
    <row r="133" spans="2:2" x14ac:dyDescent="0.3">
      <c r="B133" s="147"/>
    </row>
    <row r="134" spans="2:2" x14ac:dyDescent="0.3">
      <c r="B134" s="147"/>
    </row>
    <row r="135" spans="2:2" x14ac:dyDescent="0.3">
      <c r="B135" s="147"/>
    </row>
    <row r="136" spans="2:2" x14ac:dyDescent="0.3">
      <c r="B136" s="147"/>
    </row>
    <row r="137" spans="2:2" x14ac:dyDescent="0.3">
      <c r="B137" s="147"/>
    </row>
    <row r="138" spans="2:2" x14ac:dyDescent="0.3">
      <c r="B138" s="147"/>
    </row>
    <row r="139" spans="2:2" x14ac:dyDescent="0.3">
      <c r="B139" s="147"/>
    </row>
    <row r="140" spans="2:2" x14ac:dyDescent="0.3">
      <c r="B140" s="147"/>
    </row>
    <row r="141" spans="2:2" x14ac:dyDescent="0.3">
      <c r="B141" s="147"/>
    </row>
    <row r="142" spans="2:2" x14ac:dyDescent="0.3">
      <c r="B142" s="147"/>
    </row>
    <row r="143" spans="2:2" x14ac:dyDescent="0.3">
      <c r="B143" s="147"/>
    </row>
    <row r="144" spans="2:2" x14ac:dyDescent="0.3">
      <c r="B144" s="147"/>
    </row>
    <row r="145" spans="2:2" x14ac:dyDescent="0.3">
      <c r="B145" s="147"/>
    </row>
    <row r="146" spans="2:2" x14ac:dyDescent="0.3">
      <c r="B146" s="147"/>
    </row>
    <row r="147" spans="2:2" x14ac:dyDescent="0.3">
      <c r="B147" s="147"/>
    </row>
    <row r="148" spans="2:2" x14ac:dyDescent="0.3">
      <c r="B148" s="147"/>
    </row>
    <row r="149" spans="2:2" x14ac:dyDescent="0.3">
      <c r="B149" s="147"/>
    </row>
    <row r="150" spans="2:2" x14ac:dyDescent="0.3">
      <c r="B150" s="147"/>
    </row>
    <row r="151" spans="2:2" x14ac:dyDescent="0.3">
      <c r="B151" s="147"/>
    </row>
    <row r="152" spans="2:2" x14ac:dyDescent="0.3">
      <c r="B152" s="147"/>
    </row>
    <row r="153" spans="2:2" x14ac:dyDescent="0.3">
      <c r="B153" s="147"/>
    </row>
    <row r="154" spans="2:2" x14ac:dyDescent="0.3">
      <c r="B154" s="147"/>
    </row>
    <row r="155" spans="2:2" x14ac:dyDescent="0.3">
      <c r="B155" s="147"/>
    </row>
    <row r="156" spans="2:2" x14ac:dyDescent="0.3">
      <c r="B156" s="147"/>
    </row>
    <row r="157" spans="2:2" x14ac:dyDescent="0.3">
      <c r="B157" s="147"/>
    </row>
    <row r="158" spans="2:2" x14ac:dyDescent="0.3">
      <c r="B158" s="147"/>
    </row>
    <row r="159" spans="2:2" x14ac:dyDescent="0.3">
      <c r="B159" s="147"/>
    </row>
    <row r="160" spans="2:2" x14ac:dyDescent="0.3">
      <c r="B160" s="147"/>
    </row>
    <row r="161" spans="2:2" x14ac:dyDescent="0.3">
      <c r="B161" s="147"/>
    </row>
    <row r="162" spans="2:2" x14ac:dyDescent="0.3">
      <c r="B162" s="147"/>
    </row>
    <row r="163" spans="2:2" x14ac:dyDescent="0.3">
      <c r="B163" s="147"/>
    </row>
    <row r="164" spans="2:2" x14ac:dyDescent="0.3">
      <c r="B164" s="147"/>
    </row>
    <row r="165" spans="2:2" x14ac:dyDescent="0.3">
      <c r="B165" s="147"/>
    </row>
    <row r="166" spans="2:2" x14ac:dyDescent="0.3">
      <c r="B166" s="147"/>
    </row>
    <row r="167" spans="2:2" x14ac:dyDescent="0.3">
      <c r="B167" s="147"/>
    </row>
    <row r="168" spans="2:2" x14ac:dyDescent="0.3">
      <c r="B168" s="147"/>
    </row>
    <row r="169" spans="2:2" x14ac:dyDescent="0.3">
      <c r="B169" s="147"/>
    </row>
    <row r="170" spans="2:2" x14ac:dyDescent="0.3">
      <c r="B170" s="147"/>
    </row>
    <row r="171" spans="2:2" x14ac:dyDescent="0.3">
      <c r="B171" s="147"/>
    </row>
    <row r="172" spans="2:2" x14ac:dyDescent="0.3">
      <c r="B172" s="147"/>
    </row>
    <row r="173" spans="2:2" x14ac:dyDescent="0.3">
      <c r="B173" s="147"/>
    </row>
    <row r="174" spans="2:2" x14ac:dyDescent="0.3">
      <c r="B174" s="147"/>
    </row>
    <row r="175" spans="2:2" x14ac:dyDescent="0.3">
      <c r="B175" s="147"/>
    </row>
    <row r="176" spans="2:2" x14ac:dyDescent="0.3">
      <c r="B176" s="147"/>
    </row>
    <row r="177" spans="2:2" x14ac:dyDescent="0.3">
      <c r="B177" s="147"/>
    </row>
    <row r="178" spans="2:2" x14ac:dyDescent="0.3">
      <c r="B178" s="147"/>
    </row>
    <row r="179" spans="2:2" x14ac:dyDescent="0.3">
      <c r="B179" s="147"/>
    </row>
    <row r="180" spans="2:2" x14ac:dyDescent="0.3">
      <c r="B180" s="147"/>
    </row>
    <row r="181" spans="2:2" x14ac:dyDescent="0.3">
      <c r="B181" s="147"/>
    </row>
    <row r="182" spans="2:2" x14ac:dyDescent="0.3">
      <c r="B182" s="147"/>
    </row>
    <row r="183" spans="2:2" x14ac:dyDescent="0.3">
      <c r="B183" s="147"/>
    </row>
    <row r="184" spans="2:2" x14ac:dyDescent="0.3">
      <c r="B184" s="147"/>
    </row>
    <row r="185" spans="2:2" x14ac:dyDescent="0.3">
      <c r="B185" s="147"/>
    </row>
    <row r="186" spans="2:2" x14ac:dyDescent="0.3">
      <c r="B186" s="147"/>
    </row>
    <row r="187" spans="2:2" x14ac:dyDescent="0.3">
      <c r="B187" s="147"/>
    </row>
    <row r="188" spans="2:2" x14ac:dyDescent="0.3">
      <c r="B188" s="147"/>
    </row>
    <row r="189" spans="2:2" x14ac:dyDescent="0.3">
      <c r="B189" s="147"/>
    </row>
    <row r="190" spans="2:2" x14ac:dyDescent="0.3">
      <c r="B190" s="147"/>
    </row>
    <row r="191" spans="2:2" x14ac:dyDescent="0.3">
      <c r="B191" s="147"/>
    </row>
    <row r="192" spans="2:2" x14ac:dyDescent="0.3">
      <c r="B192" s="147"/>
    </row>
    <row r="193" spans="2:2" x14ac:dyDescent="0.3">
      <c r="B193" s="147"/>
    </row>
    <row r="194" spans="2:2" x14ac:dyDescent="0.3">
      <c r="B194" s="147"/>
    </row>
    <row r="195" spans="2:2" x14ac:dyDescent="0.3">
      <c r="B195" s="147"/>
    </row>
    <row r="196" spans="2:2" x14ac:dyDescent="0.3">
      <c r="B196" s="147"/>
    </row>
    <row r="197" spans="2:2" x14ac:dyDescent="0.3">
      <c r="B197" s="147"/>
    </row>
    <row r="198" spans="2:2" x14ac:dyDescent="0.3">
      <c r="B198" s="147"/>
    </row>
    <row r="199" spans="2:2" x14ac:dyDescent="0.3">
      <c r="B199" s="147"/>
    </row>
    <row r="200" spans="2:2" x14ac:dyDescent="0.3">
      <c r="B200" s="147"/>
    </row>
    <row r="201" spans="2:2" x14ac:dyDescent="0.3">
      <c r="B201" s="147"/>
    </row>
    <row r="202" spans="2:2" x14ac:dyDescent="0.3">
      <c r="B202" s="147"/>
    </row>
    <row r="203" spans="2:2" x14ac:dyDescent="0.3">
      <c r="B203" s="147"/>
    </row>
    <row r="204" spans="2:2" x14ac:dyDescent="0.3">
      <c r="B204" s="147"/>
    </row>
    <row r="205" spans="2:2" x14ac:dyDescent="0.3">
      <c r="B205" s="147"/>
    </row>
    <row r="206" spans="2:2" x14ac:dyDescent="0.3">
      <c r="B206" s="147"/>
    </row>
    <row r="207" spans="2:2" x14ac:dyDescent="0.3">
      <c r="B207" s="147"/>
    </row>
    <row r="208" spans="2:2" x14ac:dyDescent="0.3">
      <c r="B208" s="147"/>
    </row>
    <row r="209" spans="2:2" x14ac:dyDescent="0.3">
      <c r="B209" s="147"/>
    </row>
    <row r="210" spans="2:2" x14ac:dyDescent="0.3">
      <c r="B210" s="147"/>
    </row>
    <row r="211" spans="2:2" x14ac:dyDescent="0.3">
      <c r="B211" s="147"/>
    </row>
    <row r="212" spans="2:2" x14ac:dyDescent="0.3">
      <c r="B212" s="147"/>
    </row>
    <row r="213" spans="2:2" x14ac:dyDescent="0.3">
      <c r="B213" s="147"/>
    </row>
    <row r="214" spans="2:2" x14ac:dyDescent="0.3">
      <c r="B214" s="147"/>
    </row>
    <row r="215" spans="2:2" x14ac:dyDescent="0.3">
      <c r="B215" s="147"/>
    </row>
    <row r="216" spans="2:2" x14ac:dyDescent="0.3">
      <c r="B216" s="147"/>
    </row>
    <row r="217" spans="2:2" x14ac:dyDescent="0.3">
      <c r="B217" s="147"/>
    </row>
    <row r="218" spans="2:2" x14ac:dyDescent="0.3">
      <c r="B218" s="147"/>
    </row>
    <row r="219" spans="2:2" x14ac:dyDescent="0.3">
      <c r="B219" s="147"/>
    </row>
    <row r="220" spans="2:2" x14ac:dyDescent="0.3">
      <c r="B220" s="147"/>
    </row>
    <row r="221" spans="2:2" x14ac:dyDescent="0.3">
      <c r="B221" s="147"/>
    </row>
    <row r="222" spans="2:2" x14ac:dyDescent="0.3">
      <c r="B222" s="147"/>
    </row>
    <row r="223" spans="2:2" x14ac:dyDescent="0.3">
      <c r="B223" s="147"/>
    </row>
    <row r="224" spans="2:2" x14ac:dyDescent="0.3">
      <c r="B224" s="147"/>
    </row>
    <row r="225" spans="2:2" x14ac:dyDescent="0.3">
      <c r="B225" s="147"/>
    </row>
    <row r="226" spans="2:2" x14ac:dyDescent="0.3">
      <c r="B226" s="147"/>
    </row>
    <row r="227" spans="2:2" x14ac:dyDescent="0.3">
      <c r="B227" s="147"/>
    </row>
    <row r="228" spans="2:2" x14ac:dyDescent="0.3">
      <c r="B228" s="147"/>
    </row>
    <row r="229" spans="2:2" x14ac:dyDescent="0.3">
      <c r="B229" s="147"/>
    </row>
    <row r="230" spans="2:2" x14ac:dyDescent="0.3">
      <c r="B230" s="147"/>
    </row>
    <row r="231" spans="2:2" x14ac:dyDescent="0.3">
      <c r="B231" s="147"/>
    </row>
    <row r="232" spans="2:2" x14ac:dyDescent="0.3">
      <c r="B232" s="147"/>
    </row>
    <row r="233" spans="2:2" x14ac:dyDescent="0.3">
      <c r="B233" s="147"/>
    </row>
    <row r="234" spans="2:2" x14ac:dyDescent="0.3">
      <c r="B234" s="147"/>
    </row>
    <row r="235" spans="2:2" x14ac:dyDescent="0.3">
      <c r="B235" s="147"/>
    </row>
    <row r="236" spans="2:2" x14ac:dyDescent="0.3">
      <c r="B236" s="147"/>
    </row>
    <row r="237" spans="2:2" x14ac:dyDescent="0.3">
      <c r="B237" s="147"/>
    </row>
    <row r="238" spans="2:2" x14ac:dyDescent="0.3">
      <c r="B238" s="147"/>
    </row>
    <row r="239" spans="2:2" x14ac:dyDescent="0.3">
      <c r="B239" s="147"/>
    </row>
    <row r="240" spans="2:2" x14ac:dyDescent="0.3">
      <c r="B240" s="147"/>
    </row>
    <row r="241" spans="2:2" x14ac:dyDescent="0.3">
      <c r="B241" s="147"/>
    </row>
    <row r="242" spans="2:2" x14ac:dyDescent="0.3">
      <c r="B242" s="147"/>
    </row>
    <row r="243" spans="2:2" x14ac:dyDescent="0.3">
      <c r="B243" s="147"/>
    </row>
    <row r="244" spans="2:2" x14ac:dyDescent="0.3">
      <c r="B244" s="147"/>
    </row>
    <row r="245" spans="2:2" x14ac:dyDescent="0.3">
      <c r="B245" s="147"/>
    </row>
    <row r="246" spans="2:2" x14ac:dyDescent="0.3">
      <c r="B246" s="147"/>
    </row>
    <row r="247" spans="2:2" x14ac:dyDescent="0.3">
      <c r="B247" s="147"/>
    </row>
    <row r="248" spans="2:2" x14ac:dyDescent="0.3">
      <c r="B248" s="147"/>
    </row>
    <row r="249" spans="2:2" x14ac:dyDescent="0.3">
      <c r="B249" s="147"/>
    </row>
    <row r="250" spans="2:2" x14ac:dyDescent="0.3">
      <c r="B250" s="147"/>
    </row>
    <row r="251" spans="2:2" x14ac:dyDescent="0.3">
      <c r="B251" s="147"/>
    </row>
    <row r="252" spans="2:2" x14ac:dyDescent="0.3">
      <c r="B252" s="147"/>
    </row>
    <row r="253" spans="2:2" x14ac:dyDescent="0.3">
      <c r="B253" s="147"/>
    </row>
    <row r="254" spans="2:2" x14ac:dyDescent="0.3">
      <c r="B254" s="147"/>
    </row>
    <row r="255" spans="2:2" x14ac:dyDescent="0.3">
      <c r="B255" s="147"/>
    </row>
    <row r="256" spans="2:2" x14ac:dyDescent="0.3">
      <c r="B256" s="147"/>
    </row>
    <row r="257" spans="2:2" x14ac:dyDescent="0.3">
      <c r="B257" s="147"/>
    </row>
    <row r="258" spans="2:2" x14ac:dyDescent="0.3">
      <c r="B258" s="147"/>
    </row>
    <row r="259" spans="2:2" x14ac:dyDescent="0.3">
      <c r="B259" s="147"/>
    </row>
    <row r="260" spans="2:2" x14ac:dyDescent="0.3">
      <c r="B260" s="147"/>
    </row>
    <row r="261" spans="2:2" x14ac:dyDescent="0.3">
      <c r="B261" s="147"/>
    </row>
    <row r="262" spans="2:2" x14ac:dyDescent="0.3">
      <c r="B262" s="147"/>
    </row>
    <row r="263" spans="2:2" x14ac:dyDescent="0.3">
      <c r="B263" s="147"/>
    </row>
    <row r="264" spans="2:2" x14ac:dyDescent="0.3">
      <c r="B264" s="147"/>
    </row>
    <row r="265" spans="2:2" x14ac:dyDescent="0.3">
      <c r="B265" s="147"/>
    </row>
    <row r="266" spans="2:2" x14ac:dyDescent="0.3">
      <c r="B266" s="147"/>
    </row>
    <row r="267" spans="2:2" x14ac:dyDescent="0.3">
      <c r="B267" s="147"/>
    </row>
    <row r="268" spans="2:2" x14ac:dyDescent="0.3">
      <c r="B268" s="147"/>
    </row>
    <row r="269" spans="2:2" x14ac:dyDescent="0.3">
      <c r="B269" s="147"/>
    </row>
    <row r="270" spans="2:2" x14ac:dyDescent="0.3">
      <c r="B270" s="147"/>
    </row>
    <row r="271" spans="2:2" x14ac:dyDescent="0.3">
      <c r="B271" s="147"/>
    </row>
    <row r="272" spans="2:2" x14ac:dyDescent="0.3">
      <c r="B272" s="147"/>
    </row>
    <row r="273" spans="2:2" x14ac:dyDescent="0.3">
      <c r="B273" s="147"/>
    </row>
    <row r="274" spans="2:2" x14ac:dyDescent="0.3">
      <c r="B274" s="147"/>
    </row>
    <row r="275" spans="2:2" x14ac:dyDescent="0.3">
      <c r="B275" s="147"/>
    </row>
    <row r="276" spans="2:2" x14ac:dyDescent="0.3">
      <c r="B276" s="147"/>
    </row>
    <row r="277" spans="2:2" x14ac:dyDescent="0.3">
      <c r="B277" s="147"/>
    </row>
    <row r="278" spans="2:2" x14ac:dyDescent="0.3">
      <c r="B278" s="147"/>
    </row>
    <row r="279" spans="2:2" x14ac:dyDescent="0.3">
      <c r="B279" s="147"/>
    </row>
    <row r="280" spans="2:2" x14ac:dyDescent="0.3">
      <c r="B280" s="147"/>
    </row>
    <row r="281" spans="2:2" x14ac:dyDescent="0.3">
      <c r="B281" s="147"/>
    </row>
    <row r="282" spans="2:2" x14ac:dyDescent="0.3">
      <c r="B282" s="147"/>
    </row>
    <row r="283" spans="2:2" x14ac:dyDescent="0.3">
      <c r="B283" s="147"/>
    </row>
    <row r="284" spans="2:2" x14ac:dyDescent="0.3">
      <c r="B284" s="147"/>
    </row>
    <row r="285" spans="2:2" x14ac:dyDescent="0.3">
      <c r="B285" s="147"/>
    </row>
    <row r="286" spans="2:2" x14ac:dyDescent="0.3">
      <c r="B286" s="147"/>
    </row>
    <row r="287" spans="2:2" x14ac:dyDescent="0.3">
      <c r="B287" s="147"/>
    </row>
    <row r="288" spans="2:2" x14ac:dyDescent="0.3">
      <c r="B288" s="147"/>
    </row>
    <row r="289" spans="2:2" x14ac:dyDescent="0.3">
      <c r="B289" s="147"/>
    </row>
    <row r="290" spans="2:2" x14ac:dyDescent="0.3">
      <c r="B290" s="147"/>
    </row>
    <row r="291" spans="2:2" x14ac:dyDescent="0.3">
      <c r="B291" s="147"/>
    </row>
    <row r="292" spans="2:2" x14ac:dyDescent="0.3">
      <c r="B292" s="147"/>
    </row>
    <row r="293" spans="2:2" x14ac:dyDescent="0.3">
      <c r="B293" s="147"/>
    </row>
    <row r="294" spans="2:2" x14ac:dyDescent="0.3">
      <c r="B294" s="147"/>
    </row>
    <row r="295" spans="2:2" x14ac:dyDescent="0.3">
      <c r="B295" s="147"/>
    </row>
    <row r="296" spans="2:2" x14ac:dyDescent="0.3">
      <c r="B296" s="147"/>
    </row>
    <row r="297" spans="2:2" x14ac:dyDescent="0.3">
      <c r="B297" s="147"/>
    </row>
    <row r="298" spans="2:2" x14ac:dyDescent="0.3">
      <c r="B298" s="147"/>
    </row>
    <row r="299" spans="2:2" x14ac:dyDescent="0.3">
      <c r="B299" s="147"/>
    </row>
    <row r="300" spans="2:2" x14ac:dyDescent="0.3">
      <c r="B300" s="147"/>
    </row>
    <row r="301" spans="2:2" x14ac:dyDescent="0.3">
      <c r="B301" s="147"/>
    </row>
    <row r="302" spans="2:2" x14ac:dyDescent="0.3">
      <c r="B302" s="147"/>
    </row>
    <row r="303" spans="2:2" x14ac:dyDescent="0.3">
      <c r="B303" s="147"/>
    </row>
    <row r="304" spans="2:2" x14ac:dyDescent="0.3">
      <c r="B304" s="147"/>
    </row>
    <row r="305" spans="2:2" x14ac:dyDescent="0.3">
      <c r="B305" s="147"/>
    </row>
    <row r="306" spans="2:2" x14ac:dyDescent="0.3">
      <c r="B306" s="147"/>
    </row>
    <row r="307" spans="2:2" x14ac:dyDescent="0.3">
      <c r="B307" s="147"/>
    </row>
    <row r="308" spans="2:2" x14ac:dyDescent="0.3">
      <c r="B308" s="147"/>
    </row>
    <row r="309" spans="2:2" x14ac:dyDescent="0.3">
      <c r="B309" s="147"/>
    </row>
    <row r="310" spans="2:2" x14ac:dyDescent="0.3">
      <c r="B310" s="147"/>
    </row>
    <row r="311" spans="2:2" x14ac:dyDescent="0.3">
      <c r="B311" s="147"/>
    </row>
    <row r="312" spans="2:2" x14ac:dyDescent="0.3">
      <c r="B312" s="147"/>
    </row>
    <row r="313" spans="2:2" x14ac:dyDescent="0.3">
      <c r="B313" s="147"/>
    </row>
    <row r="314" spans="2:2" x14ac:dyDescent="0.3">
      <c r="B314" s="147"/>
    </row>
    <row r="315" spans="2:2" x14ac:dyDescent="0.3">
      <c r="B315" s="147"/>
    </row>
    <row r="316" spans="2:2" x14ac:dyDescent="0.3">
      <c r="B316" s="147"/>
    </row>
    <row r="317" spans="2:2" x14ac:dyDescent="0.3">
      <c r="B317" s="147"/>
    </row>
    <row r="318" spans="2:2" x14ac:dyDescent="0.3">
      <c r="B318" s="147"/>
    </row>
    <row r="319" spans="2:2" x14ac:dyDescent="0.3">
      <c r="B319" s="147"/>
    </row>
    <row r="320" spans="2:2" x14ac:dyDescent="0.3">
      <c r="B320" s="147"/>
    </row>
    <row r="321" spans="2:2" x14ac:dyDescent="0.3">
      <c r="B321" s="147"/>
    </row>
    <row r="322" spans="2:2" x14ac:dyDescent="0.3">
      <c r="B322" s="147"/>
    </row>
    <row r="323" spans="2:2" x14ac:dyDescent="0.3">
      <c r="B323" s="147"/>
    </row>
    <row r="324" spans="2:2" x14ac:dyDescent="0.3">
      <c r="B324" s="147"/>
    </row>
    <row r="325" spans="2:2" x14ac:dyDescent="0.3">
      <c r="B325" s="147"/>
    </row>
    <row r="326" spans="2:2" x14ac:dyDescent="0.3">
      <c r="B326" s="147"/>
    </row>
    <row r="327" spans="2:2" x14ac:dyDescent="0.3">
      <c r="B327" s="147"/>
    </row>
    <row r="328" spans="2:2" x14ac:dyDescent="0.3">
      <c r="B328" s="147"/>
    </row>
    <row r="329" spans="2:2" x14ac:dyDescent="0.3">
      <c r="B329" s="147"/>
    </row>
    <row r="330" spans="2:2" x14ac:dyDescent="0.3">
      <c r="B330" s="147"/>
    </row>
    <row r="331" spans="2:2" x14ac:dyDescent="0.3">
      <c r="B331" s="147"/>
    </row>
    <row r="332" spans="2:2" x14ac:dyDescent="0.3">
      <c r="B332" s="147"/>
    </row>
    <row r="333" spans="2:2" x14ac:dyDescent="0.3">
      <c r="B333" s="147"/>
    </row>
    <row r="334" spans="2:2" x14ac:dyDescent="0.3">
      <c r="B334" s="147"/>
    </row>
    <row r="335" spans="2:2" x14ac:dyDescent="0.3">
      <c r="B335" s="147"/>
    </row>
    <row r="336" spans="2:2" x14ac:dyDescent="0.3">
      <c r="B336" s="147"/>
    </row>
    <row r="337" spans="2:2" x14ac:dyDescent="0.3">
      <c r="B337" s="147"/>
    </row>
    <row r="338" spans="2:2" x14ac:dyDescent="0.3">
      <c r="B338" s="147"/>
    </row>
    <row r="339" spans="2:2" x14ac:dyDescent="0.3">
      <c r="B339" s="147"/>
    </row>
    <row r="340" spans="2:2" x14ac:dyDescent="0.3">
      <c r="B340" s="147"/>
    </row>
    <row r="341" spans="2:2" x14ac:dyDescent="0.3">
      <c r="B341" s="147"/>
    </row>
    <row r="342" spans="2:2" x14ac:dyDescent="0.3">
      <c r="B342" s="147"/>
    </row>
    <row r="343" spans="2:2" x14ac:dyDescent="0.3">
      <c r="B343" s="147"/>
    </row>
    <row r="344" spans="2:2" x14ac:dyDescent="0.3">
      <c r="B344" s="147"/>
    </row>
    <row r="345" spans="2:2" x14ac:dyDescent="0.3">
      <c r="B345" s="147"/>
    </row>
    <row r="346" spans="2:2" x14ac:dyDescent="0.3">
      <c r="B346" s="147"/>
    </row>
    <row r="347" spans="2:2" x14ac:dyDescent="0.3">
      <c r="B347" s="147"/>
    </row>
    <row r="348" spans="2:2" x14ac:dyDescent="0.3">
      <c r="B348" s="147"/>
    </row>
    <row r="349" spans="2:2" x14ac:dyDescent="0.3">
      <c r="B349" s="147"/>
    </row>
    <row r="350" spans="2:2" x14ac:dyDescent="0.3">
      <c r="B350" s="147"/>
    </row>
    <row r="351" spans="2:2" x14ac:dyDescent="0.3">
      <c r="B351" s="147"/>
    </row>
    <row r="352" spans="2:2" x14ac:dyDescent="0.3">
      <c r="B352" s="147"/>
    </row>
    <row r="353" spans="2:2" x14ac:dyDescent="0.3">
      <c r="B353" s="147"/>
    </row>
    <row r="354" spans="2:2" x14ac:dyDescent="0.3">
      <c r="B354" s="147"/>
    </row>
    <row r="355" spans="2:2" x14ac:dyDescent="0.3">
      <c r="B355" s="147"/>
    </row>
    <row r="356" spans="2:2" x14ac:dyDescent="0.3">
      <c r="B356" s="147"/>
    </row>
    <row r="357" spans="2:2" x14ac:dyDescent="0.3">
      <c r="B357" s="147"/>
    </row>
    <row r="358" spans="2:2" x14ac:dyDescent="0.3">
      <c r="B358" s="147"/>
    </row>
    <row r="359" spans="2:2" x14ac:dyDescent="0.3">
      <c r="B359" s="147"/>
    </row>
  </sheetData>
  <mergeCells count="3">
    <mergeCell ref="B1:P1"/>
    <mergeCell ref="B3:B4"/>
    <mergeCell ref="D3:O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C079-4044-4956-B680-757CC03DE55D}">
  <dimension ref="B1:T29"/>
  <sheetViews>
    <sheetView tabSelected="1" zoomScale="85" zoomScaleNormal="85" workbookViewId="0">
      <selection activeCell="P19" sqref="P19"/>
    </sheetView>
  </sheetViews>
  <sheetFormatPr defaultRowHeight="14.4" x14ac:dyDescent="0.3"/>
  <sheetData>
    <row r="1" spans="2:20" x14ac:dyDescent="0.3">
      <c r="B1" s="325" t="s">
        <v>107</v>
      </c>
      <c r="C1" s="327" t="s">
        <v>321</v>
      </c>
      <c r="D1" s="328"/>
      <c r="E1" s="328"/>
      <c r="F1" s="328"/>
      <c r="G1" s="328"/>
      <c r="H1" s="328"/>
      <c r="I1" s="328"/>
      <c r="J1" s="329"/>
      <c r="K1" s="330"/>
      <c r="L1" s="325" t="s">
        <v>107</v>
      </c>
      <c r="M1" s="327" t="s">
        <v>322</v>
      </c>
      <c r="N1" s="328"/>
      <c r="O1" s="328"/>
      <c r="P1" s="328"/>
      <c r="Q1" s="328"/>
      <c r="R1" s="328"/>
      <c r="S1" s="328"/>
      <c r="T1" s="329"/>
    </row>
    <row r="2" spans="2:20" ht="15.6" x14ac:dyDescent="0.3">
      <c r="B2" s="326" t="s">
        <v>331</v>
      </c>
      <c r="C2" s="324" t="s">
        <v>323</v>
      </c>
      <c r="D2" s="324" t="s">
        <v>324</v>
      </c>
      <c r="E2" s="324" t="s">
        <v>325</v>
      </c>
      <c r="F2" s="324" t="s">
        <v>326</v>
      </c>
      <c r="G2" s="324" t="s">
        <v>327</v>
      </c>
      <c r="H2" s="324" t="s">
        <v>328</v>
      </c>
      <c r="I2" s="324" t="s">
        <v>329</v>
      </c>
      <c r="J2" s="324" t="s">
        <v>330</v>
      </c>
      <c r="K2" s="330"/>
      <c r="L2" s="326" t="s">
        <v>331</v>
      </c>
      <c r="M2" s="324" t="s">
        <v>323</v>
      </c>
      <c r="N2" s="324" t="s">
        <v>324</v>
      </c>
      <c r="O2" s="324" t="s">
        <v>325</v>
      </c>
      <c r="P2" s="324" t="s">
        <v>326</v>
      </c>
      <c r="Q2" s="324" t="s">
        <v>327</v>
      </c>
      <c r="R2" s="324" t="s">
        <v>328</v>
      </c>
      <c r="S2" s="324" t="s">
        <v>329</v>
      </c>
      <c r="T2" s="324" t="s">
        <v>330</v>
      </c>
    </row>
    <row r="3" spans="2:20" x14ac:dyDescent="0.3">
      <c r="B3" s="323">
        <v>0</v>
      </c>
      <c r="C3" s="322">
        <v>0</v>
      </c>
      <c r="D3" s="322">
        <v>0</v>
      </c>
      <c r="E3" s="322">
        <v>0</v>
      </c>
      <c r="F3" s="322">
        <v>0</v>
      </c>
      <c r="G3" s="322">
        <v>0</v>
      </c>
      <c r="H3" s="322">
        <v>0</v>
      </c>
      <c r="I3" s="322">
        <v>0</v>
      </c>
      <c r="J3" s="322">
        <v>0</v>
      </c>
      <c r="K3" s="321"/>
      <c r="L3" s="323">
        <v>0</v>
      </c>
      <c r="M3" s="322">
        <v>0</v>
      </c>
      <c r="N3" s="322">
        <v>0</v>
      </c>
      <c r="O3" s="322">
        <v>0</v>
      </c>
      <c r="P3" s="322">
        <v>0</v>
      </c>
      <c r="Q3" s="322">
        <v>0</v>
      </c>
      <c r="R3" s="322">
        <v>0</v>
      </c>
      <c r="S3" s="322">
        <v>0</v>
      </c>
      <c r="T3" s="322">
        <v>0</v>
      </c>
    </row>
    <row r="4" spans="2:20" x14ac:dyDescent="0.3">
      <c r="B4" s="323">
        <v>1</v>
      </c>
      <c r="C4" s="322">
        <v>36.622733669901443</v>
      </c>
      <c r="D4" s="322">
        <v>44.27326011965858</v>
      </c>
      <c r="E4" s="322">
        <v>48.362902167361675</v>
      </c>
      <c r="F4" s="322">
        <v>52.713752609729532</v>
      </c>
      <c r="G4" s="322">
        <v>55.406514521610035</v>
      </c>
      <c r="H4" s="322">
        <v>57.980129999253393</v>
      </c>
      <c r="I4" s="322">
        <v>60.198656172038902</v>
      </c>
      <c r="J4" s="322">
        <v>64.671036304016809</v>
      </c>
      <c r="K4" s="321"/>
      <c r="L4" s="323">
        <v>1</v>
      </c>
      <c r="M4" s="322">
        <v>18.36697041015951</v>
      </c>
      <c r="N4" s="322">
        <v>22.203849278661796</v>
      </c>
      <c r="O4" s="322">
        <v>24.254879525484679</v>
      </c>
      <c r="P4" s="322">
        <v>26.436910557200804</v>
      </c>
      <c r="Q4" s="322">
        <v>27.787379880515168</v>
      </c>
      <c r="R4" s="322">
        <v>29.078095089026561</v>
      </c>
      <c r="S4" s="322">
        <v>30.19072652001131</v>
      </c>
      <c r="T4" s="322">
        <v>32.433706912666544</v>
      </c>
    </row>
    <row r="5" spans="2:20" x14ac:dyDescent="0.3">
      <c r="B5" s="323">
        <v>2</v>
      </c>
      <c r="C5" s="322">
        <v>48.51807558285676</v>
      </c>
      <c r="D5" s="322">
        <v>58.653551101524137</v>
      </c>
      <c r="E5" s="322">
        <v>64.071539932335014</v>
      </c>
      <c r="F5" s="322">
        <v>69.835579627329139</v>
      </c>
      <c r="G5" s="322">
        <v>73.402971049958779</v>
      </c>
      <c r="H5" s="322">
        <v>76.81251637202557</v>
      </c>
      <c r="I5" s="322">
        <v>79.751636687399966</v>
      </c>
      <c r="J5" s="322">
        <v>85.676679837767153</v>
      </c>
      <c r="K5" s="321"/>
      <c r="L5" s="323">
        <v>2</v>
      </c>
      <c r="M5" s="322">
        <v>37.042100454436763</v>
      </c>
      <c r="N5" s="322">
        <v>44.780233053591594</v>
      </c>
      <c r="O5" s="322">
        <v>48.916705576892269</v>
      </c>
      <c r="P5" s="322">
        <v>53.317377591195651</v>
      </c>
      <c r="Q5" s="322">
        <v>56.040974309529517</v>
      </c>
      <c r="R5" s="322">
        <v>58.64406024825908</v>
      </c>
      <c r="S5" s="322">
        <v>60.887990755845884</v>
      </c>
      <c r="T5" s="322">
        <v>65.411584095774714</v>
      </c>
    </row>
    <row r="6" spans="2:20" x14ac:dyDescent="0.3">
      <c r="B6" s="323">
        <v>3</v>
      </c>
      <c r="C6" s="322">
        <v>17.838372958167877</v>
      </c>
      <c r="D6" s="322">
        <v>21.564827279333333</v>
      </c>
      <c r="E6" s="322">
        <v>23.556829317463258</v>
      </c>
      <c r="F6" s="322">
        <v>25.676061966115956</v>
      </c>
      <c r="G6" s="322">
        <v>26.987665073208728</v>
      </c>
      <c r="H6" s="322">
        <v>28.241233776050972</v>
      </c>
      <c r="I6" s="322">
        <v>29.32184391412293</v>
      </c>
      <c r="J6" s="322">
        <v>31.500271814235962</v>
      </c>
      <c r="K6" s="321"/>
      <c r="L6" s="323">
        <v>3</v>
      </c>
      <c r="M6" s="322">
        <v>10.66948839298146</v>
      </c>
      <c r="N6" s="322">
        <v>12.89835541016339</v>
      </c>
      <c r="O6" s="322">
        <v>14.089811753993839</v>
      </c>
      <c r="P6" s="322">
        <v>15.357367276005395</v>
      </c>
      <c r="Q6" s="322">
        <v>16.141863382244562</v>
      </c>
      <c r="R6" s="322">
        <v>16.89164794814333</v>
      </c>
      <c r="S6" s="322">
        <v>17.537982529920175</v>
      </c>
      <c r="T6" s="322">
        <v>18.840943918254673</v>
      </c>
    </row>
    <row r="7" spans="2:20" x14ac:dyDescent="0.3">
      <c r="B7" s="323">
        <v>4</v>
      </c>
      <c r="C7" s="322">
        <v>6.5585360913846644</v>
      </c>
      <c r="D7" s="322">
        <v>7.9286209761201469</v>
      </c>
      <c r="E7" s="322">
        <v>8.6610093666882939</v>
      </c>
      <c r="F7" s="322">
        <v>9.4401759333266071</v>
      </c>
      <c r="G7" s="322">
        <v>9.9224058057265694</v>
      </c>
      <c r="H7" s="322">
        <v>10.383298489151301</v>
      </c>
      <c r="I7" s="322">
        <v>10.780600452053472</v>
      </c>
      <c r="J7" s="322">
        <v>11.581531009951055</v>
      </c>
      <c r="K7" s="321"/>
      <c r="L7" s="323">
        <v>4</v>
      </c>
      <c r="M7" s="322">
        <v>3.0732053844514398</v>
      </c>
      <c r="N7" s="322">
        <v>3.7152011265280325</v>
      </c>
      <c r="O7" s="322">
        <v>4.0583844092060666</v>
      </c>
      <c r="P7" s="322">
        <v>4.4234870562926458</v>
      </c>
      <c r="Q7" s="322">
        <v>4.6494508109710173</v>
      </c>
      <c r="R7" s="322">
        <v>4.8654163643535426</v>
      </c>
      <c r="S7" s="322">
        <v>5.0515845144759419</v>
      </c>
      <c r="T7" s="322">
        <v>5.4268853542983999</v>
      </c>
    </row>
    <row r="8" spans="2:20" x14ac:dyDescent="0.3">
      <c r="B8" s="323">
        <v>5</v>
      </c>
      <c r="C8" s="322">
        <v>2.4113407519209691</v>
      </c>
      <c r="D8" s="322">
        <v>2.915072296601104</v>
      </c>
      <c r="E8" s="322">
        <v>3.1843454922965067</v>
      </c>
      <c r="F8" s="322">
        <v>3.4708173617030602</v>
      </c>
      <c r="G8" s="322">
        <v>3.6481161562677746</v>
      </c>
      <c r="H8" s="322">
        <v>3.8175700243747386</v>
      </c>
      <c r="I8" s="322">
        <v>3.9636438433817998</v>
      </c>
      <c r="J8" s="322">
        <v>4.2581175592852976</v>
      </c>
      <c r="K8" s="321"/>
      <c r="L8" s="323">
        <v>5</v>
      </c>
      <c r="M8" s="322">
        <v>0.88519627063225415</v>
      </c>
      <c r="N8" s="322">
        <v>1.0701146752150397</v>
      </c>
      <c r="O8" s="322">
        <v>1.1689640926691729</v>
      </c>
      <c r="P8" s="322">
        <v>1.2741270938906786</v>
      </c>
      <c r="Q8" s="322">
        <v>1.3392129726124025</v>
      </c>
      <c r="R8" s="322">
        <v>1.4014190013426844</v>
      </c>
      <c r="S8" s="322">
        <v>1.455042281137982</v>
      </c>
      <c r="T8" s="322">
        <v>1.5631427372470326</v>
      </c>
    </row>
    <row r="9" spans="2:20" x14ac:dyDescent="0.3">
      <c r="B9" s="323">
        <v>6</v>
      </c>
      <c r="C9" s="322">
        <v>3.1847816745611728</v>
      </c>
      <c r="D9" s="322">
        <v>3.8500858175437269</v>
      </c>
      <c r="E9" s="322">
        <v>4.2057287678061739</v>
      </c>
      <c r="F9" s="322">
        <v>4.5840868904549366</v>
      </c>
      <c r="G9" s="322">
        <v>4.8182545216375718</v>
      </c>
      <c r="H9" s="322">
        <v>5.0420609552163356</v>
      </c>
      <c r="I9" s="322">
        <v>5.234988156208666</v>
      </c>
      <c r="J9" s="322">
        <v>5.6239147288227915</v>
      </c>
      <c r="K9" s="321"/>
      <c r="L9" s="323">
        <v>6</v>
      </c>
      <c r="M9" s="322">
        <v>1.4923281741821277</v>
      </c>
      <c r="N9" s="322">
        <v>1.8040770532037211</v>
      </c>
      <c r="O9" s="322">
        <v>1.9707245816246557</v>
      </c>
      <c r="P9" s="322">
        <v>2.1480160081828688</v>
      </c>
      <c r="Q9" s="322">
        <v>2.2577425104064432</v>
      </c>
      <c r="R9" s="322">
        <v>2.3626139523205363</v>
      </c>
      <c r="S9" s="322">
        <v>2.4530159726243683</v>
      </c>
      <c r="T9" s="322">
        <v>2.635259574010365</v>
      </c>
    </row>
    <row r="10" spans="2:20" x14ac:dyDescent="0.3">
      <c r="B10" s="323">
        <v>7</v>
      </c>
      <c r="C10" s="322">
        <v>1.6344844040746662</v>
      </c>
      <c r="D10" s="322">
        <v>1.9759298646402104</v>
      </c>
      <c r="E10" s="322">
        <v>2.1584519069724117</v>
      </c>
      <c r="F10" s="322">
        <v>2.3526317641237138</v>
      </c>
      <c r="G10" s="322">
        <v>2.4728105958986935</v>
      </c>
      <c r="H10" s="322">
        <v>2.5876718839229236</v>
      </c>
      <c r="I10" s="322">
        <v>2.6866854218563176</v>
      </c>
      <c r="J10" s="322">
        <v>2.8862891882135817</v>
      </c>
      <c r="K10" s="321"/>
      <c r="L10" s="323">
        <v>7</v>
      </c>
      <c r="M10" s="322">
        <v>0.6508731131406934</v>
      </c>
      <c r="N10" s="322">
        <v>0.78684117091599526</v>
      </c>
      <c r="O10" s="322">
        <v>0.85952384051712416</v>
      </c>
      <c r="P10" s="322">
        <v>0.93684880477998866</v>
      </c>
      <c r="Q10" s="322">
        <v>0.98470559079519449</v>
      </c>
      <c r="R10" s="322">
        <v>1.0304448611909895</v>
      </c>
      <c r="S10" s="322">
        <v>1.0698733497817183</v>
      </c>
      <c r="T10" s="322">
        <v>1.1493581857824078</v>
      </c>
    </row>
    <row r="11" spans="2:20" x14ac:dyDescent="0.3">
      <c r="B11" s="323">
        <v>8</v>
      </c>
      <c r="C11" s="322">
        <v>0.83884534016964529</v>
      </c>
      <c r="D11" s="322">
        <v>1.0140809880617012</v>
      </c>
      <c r="E11" s="322">
        <v>1.1077544206786938</v>
      </c>
      <c r="F11" s="322">
        <v>1.2074108431689363</v>
      </c>
      <c r="G11" s="322">
        <v>1.2690886742758938</v>
      </c>
      <c r="H11" s="322">
        <v>1.3280374510184636</v>
      </c>
      <c r="I11" s="322">
        <v>1.378852891473008</v>
      </c>
      <c r="J11" s="322">
        <v>1.4812929568977329</v>
      </c>
      <c r="K11" s="321"/>
      <c r="L11" s="323">
        <v>8</v>
      </c>
      <c r="M11" s="322">
        <v>0.28387576991343255</v>
      </c>
      <c r="N11" s="322">
        <v>0.34317770804135528</v>
      </c>
      <c r="O11" s="322">
        <v>0.37487797092796199</v>
      </c>
      <c r="P11" s="322">
        <v>0.40860295252649437</v>
      </c>
      <c r="Q11" s="322">
        <v>0.42947550310719762</v>
      </c>
      <c r="R11" s="322">
        <v>0.44942450750873342</v>
      </c>
      <c r="S11" s="322">
        <v>0.46662108903782279</v>
      </c>
      <c r="T11" s="322">
        <v>0.50128809027138166</v>
      </c>
    </row>
    <row r="12" spans="2:20" x14ac:dyDescent="0.3">
      <c r="B12" s="323">
        <v>9</v>
      </c>
      <c r="C12" s="322">
        <v>0.43050976991285062</v>
      </c>
      <c r="D12" s="322">
        <v>0.52044370033115805</v>
      </c>
      <c r="E12" s="322">
        <v>0.56851850744009758</v>
      </c>
      <c r="F12" s="322">
        <v>0.61966388724030652</v>
      </c>
      <c r="G12" s="322">
        <v>0.65131800464079181</v>
      </c>
      <c r="H12" s="322">
        <v>0.68157152468413529</v>
      </c>
      <c r="I12" s="322">
        <v>0.70765087749270172</v>
      </c>
      <c r="J12" s="322">
        <v>0.76022487043749987</v>
      </c>
      <c r="K12" s="321"/>
      <c r="L12" s="323">
        <v>9</v>
      </c>
      <c r="M12" s="322">
        <v>0.12381130994194953</v>
      </c>
      <c r="N12" s="322">
        <v>0.14967561898091247</v>
      </c>
      <c r="O12" s="322">
        <v>0.16350156500896487</v>
      </c>
      <c r="P12" s="322">
        <v>0.1782105842068899</v>
      </c>
      <c r="Q12" s="322">
        <v>0.18731406574043025</v>
      </c>
      <c r="R12" s="322">
        <v>0.19601474620972517</v>
      </c>
      <c r="S12" s="322">
        <v>0.20351496817755768</v>
      </c>
      <c r="T12" s="322">
        <v>0.21863484556545512</v>
      </c>
    </row>
    <row r="13" spans="2:20" x14ac:dyDescent="0.3">
      <c r="B13" s="323">
        <v>10</v>
      </c>
      <c r="C13" s="322">
        <v>0.22094497413901509</v>
      </c>
      <c r="D13" s="322">
        <v>0.26710060478710784</v>
      </c>
      <c r="E13" s="322">
        <v>0.29177341770741161</v>
      </c>
      <c r="F13" s="322">
        <v>0.31802210102898837</v>
      </c>
      <c r="G13" s="322">
        <v>0.33426753525423103</v>
      </c>
      <c r="H13" s="322">
        <v>0.34979415897044502</v>
      </c>
      <c r="I13" s="322">
        <v>0.36317852869802958</v>
      </c>
      <c r="J13" s="322">
        <v>0.39016040070972552</v>
      </c>
      <c r="K13" s="321"/>
      <c r="L13" s="323">
        <v>10</v>
      </c>
      <c r="M13" s="322">
        <v>5.3999819971306907E-2</v>
      </c>
      <c r="N13" s="322">
        <v>6.52804374887299E-2</v>
      </c>
      <c r="O13" s="322">
        <v>7.1310569928148312E-2</v>
      </c>
      <c r="P13" s="322">
        <v>7.7725851286651507E-2</v>
      </c>
      <c r="Q13" s="322">
        <v>8.1696299254238477E-2</v>
      </c>
      <c r="R13" s="322">
        <v>8.5491067108565175E-2</v>
      </c>
      <c r="S13" s="322">
        <v>8.8762259669226171E-2</v>
      </c>
      <c r="T13" s="322">
        <v>9.5356735224952943E-2</v>
      </c>
    </row>
    <row r="14" spans="2:20" x14ac:dyDescent="0.3">
      <c r="B14" s="323">
        <v>11</v>
      </c>
      <c r="C14" s="322">
        <v>0.36616250056889987</v>
      </c>
      <c r="D14" s="322">
        <v>0.44265422073270261</v>
      </c>
      <c r="E14" s="322">
        <v>0.48354340099205023</v>
      </c>
      <c r="F14" s="322">
        <v>0.52704420276010699</v>
      </c>
      <c r="G14" s="322">
        <v>0.55396705466892548</v>
      </c>
      <c r="H14" s="322">
        <v>0.57969865316975511</v>
      </c>
      <c r="I14" s="322">
        <v>0.60187998726476599</v>
      </c>
      <c r="J14" s="322">
        <v>0.64659587077527481</v>
      </c>
      <c r="K14" s="321"/>
      <c r="L14" s="323">
        <v>11</v>
      </c>
      <c r="M14" s="322">
        <v>0.1189742603592996</v>
      </c>
      <c r="N14" s="322">
        <v>0.14382810480257169</v>
      </c>
      <c r="O14" s="322">
        <v>0.15711389996317845</v>
      </c>
      <c r="P14" s="322">
        <v>0.17124826846718974</v>
      </c>
      <c r="Q14" s="322">
        <v>0.17999609596901744</v>
      </c>
      <c r="R14" s="322">
        <v>0.18835685900385096</v>
      </c>
      <c r="S14" s="322">
        <v>0.19556406294646189</v>
      </c>
      <c r="T14" s="322">
        <v>0.21009323826810117</v>
      </c>
    </row>
    <row r="15" spans="2:20" x14ac:dyDescent="0.3">
      <c r="B15" s="323">
        <v>12</v>
      </c>
      <c r="C15" s="322">
        <v>0.22202388708587667</v>
      </c>
      <c r="D15" s="322">
        <v>0.26840490374997117</v>
      </c>
      <c r="E15" s="322">
        <v>0.29319819833046629</v>
      </c>
      <c r="F15" s="322">
        <v>0.3195750585629869</v>
      </c>
      <c r="G15" s="322">
        <v>0.33589982208450037</v>
      </c>
      <c r="H15" s="322">
        <v>0.35150226501956616</v>
      </c>
      <c r="I15" s="322">
        <v>0.3649519929651458</v>
      </c>
      <c r="J15" s="322">
        <v>0.39206562217637708</v>
      </c>
      <c r="K15" s="321"/>
      <c r="L15" s="323">
        <v>12</v>
      </c>
      <c r="M15" s="322">
        <v>6.3852368098569728E-2</v>
      </c>
      <c r="N15" s="322">
        <v>7.7191192977697096E-2</v>
      </c>
      <c r="O15" s="322">
        <v>8.4321554456855033E-2</v>
      </c>
      <c r="P15" s="322">
        <v>9.1907337279403284E-2</v>
      </c>
      <c r="Q15" s="322">
        <v>9.6602214137831571E-2</v>
      </c>
      <c r="R15" s="322">
        <v>0.10108935713223116</v>
      </c>
      <c r="S15" s="322">
        <v>0.10495739579635288</v>
      </c>
      <c r="T15" s="322">
        <v>0.11275506772979686</v>
      </c>
    </row>
    <row r="16" spans="2:20" x14ac:dyDescent="0.3">
      <c r="B16" s="323">
        <v>13</v>
      </c>
      <c r="C16" s="322">
        <v>0.13462494482677514</v>
      </c>
      <c r="D16" s="322">
        <v>0.16274823323221738</v>
      </c>
      <c r="E16" s="322">
        <v>0.17778173236955169</v>
      </c>
      <c r="F16" s="322">
        <v>0.19377543196698813</v>
      </c>
      <c r="G16" s="322">
        <v>0.20367400827442766</v>
      </c>
      <c r="H16" s="322">
        <v>0.21313460301882878</v>
      </c>
      <c r="I16" s="322">
        <v>0.22128989165184171</v>
      </c>
      <c r="J16" s="322">
        <v>0.23773033364448093</v>
      </c>
      <c r="K16" s="321"/>
      <c r="L16" s="323">
        <v>13</v>
      </c>
      <c r="M16" s="322">
        <v>3.426896624095345E-2</v>
      </c>
      <c r="N16" s="322">
        <v>4.1427788271972917E-2</v>
      </c>
      <c r="O16" s="322">
        <v>4.5254586307683226E-2</v>
      </c>
      <c r="P16" s="322">
        <v>4.9325804700958965E-2</v>
      </c>
      <c r="Q16" s="322">
        <v>5.184550101540962E-2</v>
      </c>
      <c r="R16" s="322">
        <v>5.4253708516124925E-2</v>
      </c>
      <c r="S16" s="322">
        <v>5.6329648537564156E-2</v>
      </c>
      <c r="T16" s="322">
        <v>6.0514585826541636E-2</v>
      </c>
    </row>
    <row r="17" spans="2:20" x14ac:dyDescent="0.3">
      <c r="B17" s="323">
        <v>14</v>
      </c>
      <c r="C17" s="322">
        <v>8.1630296665340787E-2</v>
      </c>
      <c r="D17" s="322">
        <v>9.8682948970566467E-2</v>
      </c>
      <c r="E17" s="322">
        <v>0.10779856269340066</v>
      </c>
      <c r="F17" s="322">
        <v>0.1174963972558956</v>
      </c>
      <c r="G17" s="322">
        <v>0.12349843292306339</v>
      </c>
      <c r="H17" s="322">
        <v>0.12923489696848772</v>
      </c>
      <c r="I17" s="322">
        <v>0.13417988417989138</v>
      </c>
      <c r="J17" s="322">
        <v>0.14414860252473674</v>
      </c>
      <c r="K17" s="321"/>
      <c r="L17" s="323">
        <v>14</v>
      </c>
      <c r="M17" s="322">
        <v>1.8391832318743948E-2</v>
      </c>
      <c r="N17" s="322">
        <v>2.2233904865329664E-2</v>
      </c>
      <c r="O17" s="322">
        <v>2.4287711428842871E-2</v>
      </c>
      <c r="P17" s="322">
        <v>2.6472696102603794E-2</v>
      </c>
      <c r="Q17" s="322">
        <v>2.7824993448946039E-2</v>
      </c>
      <c r="R17" s="322">
        <v>2.9117455796087596E-2</v>
      </c>
      <c r="S17" s="322">
        <v>3.0231593307841656E-2</v>
      </c>
      <c r="T17" s="322">
        <v>3.2477609844849153E-2</v>
      </c>
    </row>
    <row r="18" spans="2:20" x14ac:dyDescent="0.3">
      <c r="B18" s="323">
        <v>15</v>
      </c>
      <c r="C18" s="322">
        <v>4.9496810136083043E-2</v>
      </c>
      <c r="D18" s="322">
        <v>5.9836744302055142E-2</v>
      </c>
      <c r="E18" s="322">
        <v>6.5364027922776902E-2</v>
      </c>
      <c r="F18" s="322">
        <v>7.1244343144940783E-2</v>
      </c>
      <c r="G18" s="322">
        <v>7.4883698041147376E-2</v>
      </c>
      <c r="H18" s="322">
        <v>7.8362022674376211E-2</v>
      </c>
      <c r="I18" s="322">
        <v>8.1360432616847084E-2</v>
      </c>
      <c r="J18" s="322">
        <v>8.7404999148777876E-2</v>
      </c>
      <c r="K18" s="321"/>
      <c r="L18" s="323">
        <v>15</v>
      </c>
      <c r="M18" s="322">
        <v>9.8707236647411038E-3</v>
      </c>
      <c r="N18" s="322">
        <v>1.1932727914779076E-2</v>
      </c>
      <c r="O18" s="322">
        <v>1.3034986607547266E-2</v>
      </c>
      <c r="P18" s="322">
        <v>1.4207647360027498E-2</v>
      </c>
      <c r="Q18" s="322">
        <v>1.4933412644691568E-2</v>
      </c>
      <c r="R18" s="322">
        <v>1.5627065047270031E-2</v>
      </c>
      <c r="S18" s="322">
        <v>1.6225012185567867E-2</v>
      </c>
      <c r="T18" s="322">
        <v>1.7430428165825875E-2</v>
      </c>
    </row>
    <row r="19" spans="2:20" x14ac:dyDescent="0.3">
      <c r="B19" s="323">
        <v>16</v>
      </c>
      <c r="C19" s="322">
        <v>3.0012560455236818E-2</v>
      </c>
      <c r="D19" s="322">
        <v>3.6282214972491809E-2</v>
      </c>
      <c r="E19" s="322">
        <v>3.9633702338325527E-2</v>
      </c>
      <c r="F19" s="322">
        <v>4.3199251625559022E-2</v>
      </c>
      <c r="G19" s="322">
        <v>4.5405986939211815E-2</v>
      </c>
      <c r="H19" s="322">
        <v>4.751508100104547E-2</v>
      </c>
      <c r="I19" s="322">
        <v>4.9333177145434934E-2</v>
      </c>
      <c r="J19" s="322">
        <v>5.2998320777246949E-2</v>
      </c>
      <c r="K19" s="321"/>
      <c r="L19" s="323">
        <v>16</v>
      </c>
      <c r="M19" s="322">
        <v>5.2975246825398611E-3</v>
      </c>
      <c r="N19" s="322">
        <v>6.4041829966711558E-3</v>
      </c>
      <c r="O19" s="322">
        <v>6.995754884388139E-3</v>
      </c>
      <c r="P19" s="322">
        <v>7.6251108963186721E-3</v>
      </c>
      <c r="Q19" s="322">
        <v>8.0146223080272399E-3</v>
      </c>
      <c r="R19" s="322">
        <v>8.3868990375327527E-3</v>
      </c>
      <c r="S19" s="322">
        <v>8.7078116505868372E-3</v>
      </c>
      <c r="T19" s="322">
        <v>9.3547470856203425E-3</v>
      </c>
    </row>
    <row r="20" spans="2:20" x14ac:dyDescent="0.3">
      <c r="B20" s="323">
        <v>17</v>
      </c>
      <c r="C20" s="322">
        <v>1.8198218887293401E-2</v>
      </c>
      <c r="D20" s="322">
        <v>2.19998453903999E-2</v>
      </c>
      <c r="E20" s="322">
        <v>2.4032031240467818E-2</v>
      </c>
      <c r="F20" s="322">
        <v>2.6194014270182506E-2</v>
      </c>
      <c r="G20" s="322">
        <v>2.7532075790260728E-2</v>
      </c>
      <c r="H20" s="322">
        <v>2.8810932202674625E-2</v>
      </c>
      <c r="I20" s="322">
        <v>2.9913341030574903E-2</v>
      </c>
      <c r="J20" s="322">
        <v>3.2135713432441954E-2</v>
      </c>
      <c r="K20" s="321"/>
      <c r="L20" s="323">
        <v>17</v>
      </c>
      <c r="M20" s="322">
        <v>2.8431317414309445E-3</v>
      </c>
      <c r="N20" s="322">
        <v>3.4370648646111523E-3</v>
      </c>
      <c r="O20" s="322">
        <v>3.7545559405564553E-3</v>
      </c>
      <c r="P20" s="322">
        <v>4.0923254010891436E-3</v>
      </c>
      <c r="Q20" s="322">
        <v>4.3013725173636939E-3</v>
      </c>
      <c r="R20" s="322">
        <v>4.5011699415723454E-3</v>
      </c>
      <c r="S20" s="322">
        <v>4.6734007269062577E-3</v>
      </c>
      <c r="T20" s="322">
        <v>5.0206048987079333E-3</v>
      </c>
    </row>
    <row r="21" spans="2:20" x14ac:dyDescent="0.3">
      <c r="B21" s="323">
        <v>18</v>
      </c>
      <c r="C21" s="322">
        <v>1.1034552388950108E-2</v>
      </c>
      <c r="D21" s="322">
        <v>1.3339681647563443E-2</v>
      </c>
      <c r="E21" s="322">
        <v>1.4571904502203073E-2</v>
      </c>
      <c r="F21" s="322">
        <v>1.5882830321546047E-2</v>
      </c>
      <c r="G21" s="322">
        <v>1.6694168509881094E-2</v>
      </c>
      <c r="H21" s="322">
        <v>1.7469607478283612E-2</v>
      </c>
      <c r="I21" s="322">
        <v>1.8138056849117387E-2</v>
      </c>
      <c r="J21" s="322">
        <v>1.9485599971223785E-2</v>
      </c>
      <c r="K21" s="321"/>
      <c r="L21" s="323">
        <v>18</v>
      </c>
      <c r="M21" s="322">
        <v>1.5258821022154495E-3</v>
      </c>
      <c r="N21" s="322">
        <v>1.8446404310565455E-3</v>
      </c>
      <c r="O21" s="322">
        <v>2.0150349095601123E-3</v>
      </c>
      <c r="P21" s="322">
        <v>2.196312606612026E-3</v>
      </c>
      <c r="Q21" s="322">
        <v>2.308506230493325E-3</v>
      </c>
      <c r="R21" s="322">
        <v>2.4157356315182986E-3</v>
      </c>
      <c r="S21" s="322">
        <v>2.5081702763720252E-3</v>
      </c>
      <c r="T21" s="322">
        <v>2.6945114943488164E-3</v>
      </c>
    </row>
    <row r="22" spans="2:20" x14ac:dyDescent="0.3">
      <c r="B22" s="323">
        <v>19</v>
      </c>
      <c r="C22" s="322">
        <v>6.6908386572656466E-3</v>
      </c>
      <c r="D22" s="322">
        <v>8.0885616830740064E-3</v>
      </c>
      <c r="E22" s="322">
        <v>8.8357242339034484E-3</v>
      </c>
      <c r="F22" s="322">
        <v>9.6306085971016309E-3</v>
      </c>
      <c r="G22" s="322">
        <v>1.0122566288114464E-2</v>
      </c>
      <c r="H22" s="322">
        <v>1.0592756364091927E-2</v>
      </c>
      <c r="I22" s="322">
        <v>1.0998072930922337E-2</v>
      </c>
      <c r="J22" s="322">
        <v>1.1815160321141322E-2</v>
      </c>
      <c r="K22" s="321"/>
      <c r="L22" s="323">
        <v>19</v>
      </c>
      <c r="M22" s="322">
        <v>8.1892659278940078E-4</v>
      </c>
      <c r="N22" s="322">
        <v>9.9000119401978126E-4</v>
      </c>
      <c r="O22" s="322">
        <v>1.0814503102447189E-3</v>
      </c>
      <c r="P22" s="322">
        <v>1.1787403476466198E-3</v>
      </c>
      <c r="Q22" s="322">
        <v>1.2389536118328952E-3</v>
      </c>
      <c r="R22" s="322">
        <v>1.2965026242374139E-3</v>
      </c>
      <c r="S22" s="322">
        <v>1.3461114299609064E-3</v>
      </c>
      <c r="T22" s="322">
        <v>1.4461190114853234E-3</v>
      </c>
    </row>
    <row r="23" spans="2:20" x14ac:dyDescent="0.3">
      <c r="B23" s="323">
        <v>20</v>
      </c>
      <c r="C23" s="322">
        <v>4.0570129498311066E-3</v>
      </c>
      <c r="D23" s="322">
        <v>4.9045270966300118E-3</v>
      </c>
      <c r="E23" s="322">
        <v>5.3575716699066711E-3</v>
      </c>
      <c r="F23" s="322">
        <v>5.8395525276592909E-3</v>
      </c>
      <c r="G23" s="322">
        <v>6.1378527595802521E-3</v>
      </c>
      <c r="H23" s="322">
        <v>6.4229541235252922E-3</v>
      </c>
      <c r="I23" s="322">
        <v>6.6687192128727117E-3</v>
      </c>
      <c r="J23" s="322">
        <v>7.1641629521508061E-3</v>
      </c>
      <c r="K23" s="321"/>
      <c r="L23" s="323">
        <v>20</v>
      </c>
      <c r="M23" s="322">
        <v>4.3951021078492613E-4</v>
      </c>
      <c r="N23" s="322">
        <v>5.3132434248946052E-4</v>
      </c>
      <c r="O23" s="322">
        <v>5.8040422425421553E-4</v>
      </c>
      <c r="P23" s="322">
        <v>6.3261887355524186E-4</v>
      </c>
      <c r="Q23" s="322">
        <v>6.6493476690584888E-4</v>
      </c>
      <c r="R23" s="322">
        <v>6.9582078134851203E-4</v>
      </c>
      <c r="S23" s="322">
        <v>7.2244536144189264E-4</v>
      </c>
      <c r="T23" s="322">
        <v>7.7611849114961329E-4</v>
      </c>
    </row>
    <row r="24" spans="2:20" x14ac:dyDescent="0.3">
      <c r="B24" s="323">
        <v>21</v>
      </c>
      <c r="C24" s="322">
        <v>2.4599837058130116E-3</v>
      </c>
      <c r="D24" s="322">
        <v>2.9738768132180839E-3</v>
      </c>
      <c r="E24" s="322">
        <v>3.2485819428415886E-3</v>
      </c>
      <c r="F24" s="322">
        <v>3.5408326877238746E-3</v>
      </c>
      <c r="G24" s="322">
        <v>3.7217080556460687E-3</v>
      </c>
      <c r="H24" s="322">
        <v>3.8945802447375682E-3</v>
      </c>
      <c r="I24" s="322">
        <v>4.0436007489184824E-3</v>
      </c>
      <c r="J24" s="322">
        <v>4.3440147581520292E-3</v>
      </c>
      <c r="K24" s="321"/>
      <c r="L24" s="323">
        <v>21</v>
      </c>
      <c r="M24" s="322">
        <v>2.3588100213749666E-4</v>
      </c>
      <c r="N24" s="322">
        <v>2.8515678428183366E-4</v>
      </c>
      <c r="O24" s="322">
        <v>3.1149749585434705E-4</v>
      </c>
      <c r="P24" s="322">
        <v>3.3952060772104948E-4</v>
      </c>
      <c r="Q24" s="322">
        <v>3.5686424416329779E-4</v>
      </c>
      <c r="R24" s="322">
        <v>3.7344047802543597E-4</v>
      </c>
      <c r="S24" s="322">
        <v>3.8772964009678061E-4</v>
      </c>
      <c r="T24" s="322">
        <v>4.165355046993401E-4</v>
      </c>
    </row>
    <row r="25" spans="2:20" x14ac:dyDescent="0.3">
      <c r="B25" s="323">
        <v>22</v>
      </c>
      <c r="C25" s="322">
        <v>1.4916195505655068E-3</v>
      </c>
      <c r="D25" s="322">
        <v>1.803220397390194E-3</v>
      </c>
      <c r="E25" s="322">
        <v>1.9697887941721674E-3</v>
      </c>
      <c r="F25" s="322">
        <v>2.1469960348964217E-3</v>
      </c>
      <c r="G25" s="322">
        <v>2.2566704341092847E-3</v>
      </c>
      <c r="H25" s="322">
        <v>2.3614920784106709E-3</v>
      </c>
      <c r="I25" s="322">
        <v>2.4518511718250387E-3</v>
      </c>
      <c r="J25" s="322">
        <v>2.6340082358647901E-3</v>
      </c>
      <c r="K25" s="321"/>
      <c r="L25" s="323">
        <v>22</v>
      </c>
      <c r="M25" s="322">
        <v>1.2659511839331809E-4</v>
      </c>
      <c r="N25" s="322">
        <v>1.530409678596073E-4</v>
      </c>
      <c r="O25" s="322">
        <v>1.6717778036196734E-4</v>
      </c>
      <c r="P25" s="322">
        <v>1.8221752130069072E-4</v>
      </c>
      <c r="Q25" s="322">
        <v>1.915256880834367E-4</v>
      </c>
      <c r="R25" s="322">
        <v>2.0042199710907624E-4</v>
      </c>
      <c r="S25" s="322">
        <v>2.0809085618535208E-4</v>
      </c>
      <c r="T25" s="322">
        <v>2.2355069316559877E-4</v>
      </c>
    </row>
    <row r="26" spans="2:20" x14ac:dyDescent="0.3">
      <c r="B26" s="323">
        <v>23</v>
      </c>
      <c r="C26" s="322">
        <v>9.0444862637572556E-4</v>
      </c>
      <c r="D26" s="322">
        <v>1.093388867726983E-3</v>
      </c>
      <c r="E26" s="322">
        <v>1.1943881859579268E-3</v>
      </c>
      <c r="F26" s="322">
        <v>1.301838403673376E-3</v>
      </c>
      <c r="G26" s="322">
        <v>1.3683398514983589E-3</v>
      </c>
      <c r="H26" s="322">
        <v>1.4318988147520189E-3</v>
      </c>
      <c r="I26" s="322">
        <v>1.4866883607111054E-3</v>
      </c>
      <c r="J26" s="322">
        <v>1.5971399207573163E-3</v>
      </c>
      <c r="K26" s="321"/>
      <c r="L26" s="323">
        <v>23</v>
      </c>
      <c r="M26" s="322">
        <v>6.7942411028406211E-5</v>
      </c>
      <c r="N26" s="322">
        <v>8.2135650050874076E-5</v>
      </c>
      <c r="O26" s="322">
        <v>8.9722744544381436E-5</v>
      </c>
      <c r="P26" s="322">
        <v>9.779443224915336E-5</v>
      </c>
      <c r="Q26" s="322">
        <v>1.0279003793680259E-4</v>
      </c>
      <c r="R26" s="322">
        <v>1.0756460343448472E-4</v>
      </c>
      <c r="S26" s="322">
        <v>1.1168040807286291E-4</v>
      </c>
      <c r="T26" s="322">
        <v>1.1997755737747239E-4</v>
      </c>
    </row>
    <row r="27" spans="2:20" x14ac:dyDescent="0.3">
      <c r="B27" s="323">
        <v>24</v>
      </c>
      <c r="C27" s="322">
        <v>5.4841552421514179E-4</v>
      </c>
      <c r="D27" s="322">
        <v>6.6298008707063388E-4</v>
      </c>
      <c r="E27" s="322">
        <v>7.2422136981208714E-4</v>
      </c>
      <c r="F27" s="322">
        <v>7.8937417756367928E-4</v>
      </c>
      <c r="G27" s="322">
        <v>8.2969755835772942E-4</v>
      </c>
      <c r="H27" s="322">
        <v>8.6823675354784607E-4</v>
      </c>
      <c r="I27" s="322">
        <v>9.0145858250795729E-4</v>
      </c>
      <c r="J27" s="322">
        <v>9.6843126446762853E-4</v>
      </c>
      <c r="K27" s="321"/>
      <c r="L27" s="323">
        <v>24</v>
      </c>
      <c r="M27" s="322">
        <v>3.6464053866681801E-5</v>
      </c>
      <c r="N27" s="322">
        <v>4.4081431943558964E-5</v>
      </c>
      <c r="O27" s="322">
        <v>4.8153354298318925E-5</v>
      </c>
      <c r="P27" s="322">
        <v>5.2485353278142901E-5</v>
      </c>
      <c r="Q27" s="322">
        <v>5.5166447930715401E-5</v>
      </c>
      <c r="R27" s="322">
        <v>5.7728912389397805E-5</v>
      </c>
      <c r="S27" s="322">
        <v>5.9937826082139941E-5</v>
      </c>
      <c r="T27" s="322">
        <v>6.4390828185004501E-5</v>
      </c>
    </row>
    <row r="29" spans="2:20" x14ac:dyDescent="0.3">
      <c r="B29" s="320">
        <v>4.4980000000000002</v>
      </c>
      <c r="L29" s="320">
        <v>3.2930000000000001</v>
      </c>
    </row>
  </sheetData>
  <mergeCells count="2">
    <mergeCell ref="C1:J1"/>
    <mergeCell ref="M1:T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B2:N24"/>
  <sheetViews>
    <sheetView zoomScale="85" zoomScaleNormal="85" workbookViewId="0">
      <selection activeCell="D16" sqref="D16"/>
    </sheetView>
  </sheetViews>
  <sheetFormatPr defaultRowHeight="14.4" x14ac:dyDescent="0.3"/>
  <cols>
    <col min="1" max="1" width="1.88671875" customWidth="1"/>
    <col min="2" max="2" width="3.6640625" bestFit="1" customWidth="1"/>
    <col min="3" max="3" width="43.5546875" bestFit="1" customWidth="1"/>
    <col min="4" max="4" width="14.5546875" customWidth="1"/>
    <col min="6" max="6" width="3.6640625" customWidth="1"/>
    <col min="7" max="7" width="3.6640625" bestFit="1" customWidth="1"/>
    <col min="8" max="8" width="43.5546875" bestFit="1" customWidth="1"/>
    <col min="9" max="9" width="14.5546875" customWidth="1"/>
    <col min="11" max="12" width="4.88671875" customWidth="1"/>
    <col min="13" max="13" width="35.44140625" bestFit="1" customWidth="1"/>
    <col min="14" max="14" width="12.109375" customWidth="1"/>
  </cols>
  <sheetData>
    <row r="2" spans="2:14" ht="15" thickBot="1" x14ac:dyDescent="0.35">
      <c r="B2" s="297" t="s">
        <v>180</v>
      </c>
      <c r="C2" s="297"/>
      <c r="D2" s="297"/>
      <c r="E2" s="297"/>
      <c r="G2" s="297" t="s">
        <v>311</v>
      </c>
      <c r="H2" s="297"/>
      <c r="I2" s="297"/>
      <c r="J2" s="297"/>
      <c r="L2" s="158" t="s">
        <v>184</v>
      </c>
    </row>
    <row r="3" spans="2:14" ht="15" thickBot="1" x14ac:dyDescent="0.35">
      <c r="B3" s="9" t="s">
        <v>51</v>
      </c>
      <c r="C3" s="9" t="s">
        <v>128</v>
      </c>
      <c r="D3" s="9" t="s">
        <v>129</v>
      </c>
      <c r="E3" s="9" t="s">
        <v>130</v>
      </c>
      <c r="G3" s="9" t="s">
        <v>51</v>
      </c>
      <c r="H3" s="9" t="s">
        <v>128</v>
      </c>
      <c r="I3" s="9" t="s">
        <v>129</v>
      </c>
      <c r="J3" s="9" t="s">
        <v>130</v>
      </c>
      <c r="L3" s="161" t="s">
        <v>51</v>
      </c>
      <c r="M3" s="161" t="s">
        <v>131</v>
      </c>
      <c r="N3" s="161" t="s">
        <v>132</v>
      </c>
    </row>
    <row r="4" spans="2:14" ht="16.2" x14ac:dyDescent="0.3">
      <c r="B4" s="159">
        <v>1</v>
      </c>
      <c r="C4" s="159" t="s">
        <v>182</v>
      </c>
      <c r="D4" s="166">
        <v>2000</v>
      </c>
      <c r="E4" s="160" t="s">
        <v>150</v>
      </c>
      <c r="G4" s="159">
        <v>1</v>
      </c>
      <c r="H4" s="159" t="s">
        <v>182</v>
      </c>
      <c r="I4" s="166">
        <v>2000</v>
      </c>
      <c r="J4" s="160" t="s">
        <v>150</v>
      </c>
      <c r="L4" s="163">
        <v>1</v>
      </c>
      <c r="M4" s="164" t="s">
        <v>133</v>
      </c>
      <c r="N4" s="165"/>
    </row>
    <row r="5" spans="2:14" ht="15.6" x14ac:dyDescent="0.3">
      <c r="B5" s="159"/>
      <c r="C5" s="159"/>
      <c r="D5" s="56">
        <f>D4/10000</f>
        <v>0.2</v>
      </c>
      <c r="E5" s="160" t="s">
        <v>153</v>
      </c>
      <c r="F5" s="211"/>
      <c r="G5" s="159"/>
      <c r="H5" s="159"/>
      <c r="I5" s="56">
        <f>I4/10000</f>
        <v>0.2</v>
      </c>
      <c r="J5" s="160" t="s">
        <v>153</v>
      </c>
      <c r="K5" s="211"/>
      <c r="L5" s="165"/>
      <c r="M5" s="167" t="s">
        <v>135</v>
      </c>
      <c r="N5" s="163" t="s">
        <v>136</v>
      </c>
    </row>
    <row r="6" spans="2:14" ht="15.6" x14ac:dyDescent="0.3">
      <c r="B6" s="159">
        <v>2</v>
      </c>
      <c r="C6" s="159" t="s">
        <v>145</v>
      </c>
      <c r="D6" s="162">
        <f>'Input Data Nakayasu'!D6</f>
        <v>0.48299999999999998</v>
      </c>
      <c r="E6" s="160"/>
      <c r="G6" s="159">
        <v>2</v>
      </c>
      <c r="H6" s="159" t="s">
        <v>145</v>
      </c>
      <c r="I6" s="162">
        <f>D6</f>
        <v>0.48299999999999998</v>
      </c>
      <c r="J6" s="160"/>
      <c r="L6" s="165"/>
      <c r="M6" s="167" t="s">
        <v>138</v>
      </c>
      <c r="N6" s="163" t="s">
        <v>139</v>
      </c>
    </row>
    <row r="7" spans="2:14" ht="15.6" x14ac:dyDescent="0.3">
      <c r="B7" s="159">
        <v>3</v>
      </c>
      <c r="C7" s="159" t="str">
        <f>"Curah hujan rencana, Tr = "&amp;Referensi!M8&amp;" tahun"</f>
        <v>Curah hujan rencana, Tr = 1000 tahun</v>
      </c>
      <c r="D7" s="171">
        <f>Referensi!M10</f>
        <v>216.06434415766256</v>
      </c>
      <c r="E7" s="160" t="s">
        <v>20</v>
      </c>
      <c r="G7" s="159">
        <v>3</v>
      </c>
      <c r="H7" s="159" t="str">
        <f>"Curah hujan rencana, Tr = "&amp;Referensi!R8&amp;" tahun"</f>
        <v>Curah hujan rencana, Tr =  tahun</v>
      </c>
      <c r="I7" s="171">
        <f>D7</f>
        <v>216.06434415766256</v>
      </c>
      <c r="J7" s="160" t="s">
        <v>20</v>
      </c>
      <c r="L7" s="163">
        <v>2</v>
      </c>
      <c r="M7" s="164" t="s">
        <v>141</v>
      </c>
      <c r="N7" s="165"/>
    </row>
    <row r="8" spans="2:14" ht="15.6" x14ac:dyDescent="0.3">
      <c r="B8" s="159">
        <v>4</v>
      </c>
      <c r="C8" s="159" t="s">
        <v>137</v>
      </c>
      <c r="D8" s="162">
        <v>1</v>
      </c>
      <c r="E8" s="160" t="s">
        <v>5</v>
      </c>
      <c r="G8" s="159">
        <v>4</v>
      </c>
      <c r="H8" s="159" t="s">
        <v>137</v>
      </c>
      <c r="I8" s="162">
        <v>1</v>
      </c>
      <c r="J8" s="160" t="s">
        <v>5</v>
      </c>
      <c r="L8" s="165"/>
      <c r="M8" s="167" t="s">
        <v>143</v>
      </c>
      <c r="N8" s="163" t="s">
        <v>144</v>
      </c>
    </row>
    <row r="9" spans="2:14" ht="15.6" x14ac:dyDescent="0.3">
      <c r="B9" s="159"/>
      <c r="C9" s="159"/>
      <c r="D9" s="162">
        <f>D8*60</f>
        <v>60</v>
      </c>
      <c r="E9" s="160" t="s">
        <v>140</v>
      </c>
      <c r="G9" s="159"/>
      <c r="H9" s="159"/>
      <c r="I9" s="162">
        <f>I8*60</f>
        <v>60</v>
      </c>
      <c r="J9" s="160" t="s">
        <v>140</v>
      </c>
      <c r="L9" s="165"/>
      <c r="M9" s="167" t="s">
        <v>146</v>
      </c>
      <c r="N9" s="163" t="s">
        <v>147</v>
      </c>
    </row>
    <row r="10" spans="2:14" ht="15.6" x14ac:dyDescent="0.3">
      <c r="B10" s="159">
        <v>5</v>
      </c>
      <c r="C10" s="159" t="s">
        <v>142</v>
      </c>
      <c r="D10" s="56">
        <f>(D7/24)*(24/(D9/60))^(2/3)</f>
        <v>74.905324503445513</v>
      </c>
      <c r="E10" s="160" t="s">
        <v>25</v>
      </c>
      <c r="G10" s="159">
        <v>5</v>
      </c>
      <c r="H10" s="159" t="s">
        <v>142</v>
      </c>
      <c r="I10" s="56">
        <f>(I7/24)*(24/(I9/60))^(2/3)</f>
        <v>74.905324503445513</v>
      </c>
      <c r="J10" s="160" t="s">
        <v>25</v>
      </c>
      <c r="L10" s="165"/>
      <c r="M10" s="167" t="s">
        <v>148</v>
      </c>
      <c r="N10" s="163" t="s">
        <v>149</v>
      </c>
    </row>
    <row r="11" spans="2:14" ht="15.6" x14ac:dyDescent="0.3">
      <c r="B11" s="159">
        <v>6</v>
      </c>
      <c r="C11" s="159" t="s">
        <v>181</v>
      </c>
      <c r="D11" s="162">
        <f>Referensi!G17*100</f>
        <v>1271.9059999999999</v>
      </c>
      <c r="E11" s="160" t="s">
        <v>200</v>
      </c>
      <c r="F11" s="219"/>
      <c r="G11" s="159">
        <v>6</v>
      </c>
      <c r="H11" s="159" t="s">
        <v>181</v>
      </c>
      <c r="I11" s="162">
        <f>D11</f>
        <v>1271.9059999999999</v>
      </c>
      <c r="J11" s="160" t="s">
        <v>200</v>
      </c>
      <c r="K11" s="219"/>
      <c r="L11" s="165"/>
      <c r="M11" s="167" t="s">
        <v>151</v>
      </c>
      <c r="N11" s="163" t="s">
        <v>152</v>
      </c>
    </row>
    <row r="12" spans="2:14" ht="16.2" x14ac:dyDescent="0.3">
      <c r="B12" s="249">
        <v>7</v>
      </c>
      <c r="C12" s="249" t="s">
        <v>300</v>
      </c>
      <c r="D12" s="250">
        <f>0.00278*D6*D10*D11</f>
        <v>127.92623917172833</v>
      </c>
      <c r="E12" s="251" t="s">
        <v>155</v>
      </c>
      <c r="F12" s="227"/>
      <c r="G12" s="249">
        <v>7</v>
      </c>
      <c r="H12" s="249" t="s">
        <v>300</v>
      </c>
      <c r="I12" s="250">
        <f>'Hidrograf Nakayasu HECRAS'!C32*'Debit Rencana'!I10*'Debit Rencana'!I8</f>
        <v>23.164670402750463</v>
      </c>
      <c r="J12" s="251" t="s">
        <v>155</v>
      </c>
      <c r="K12" s="244"/>
      <c r="L12" s="165"/>
      <c r="M12" s="167" t="s">
        <v>154</v>
      </c>
      <c r="N12" s="163" t="s">
        <v>139</v>
      </c>
    </row>
    <row r="13" spans="2:14" ht="16.2" thickBot="1" x14ac:dyDescent="0.35">
      <c r="B13" s="159"/>
      <c r="C13" s="160"/>
      <c r="D13" s="56">
        <f>D12*1000</f>
        <v>127926.23917172833</v>
      </c>
      <c r="E13" s="160" t="s">
        <v>302</v>
      </c>
      <c r="F13" s="244"/>
      <c r="G13" s="159"/>
      <c r="H13" s="160"/>
      <c r="I13" s="56">
        <f>I12*1000</f>
        <v>23164.670402750464</v>
      </c>
      <c r="J13" s="160" t="s">
        <v>302</v>
      </c>
      <c r="L13" s="163">
        <v>3</v>
      </c>
      <c r="M13" s="164" t="s">
        <v>156</v>
      </c>
      <c r="N13" s="165"/>
    </row>
    <row r="14" spans="2:14" ht="16.8" thickTop="1" x14ac:dyDescent="0.3">
      <c r="B14" s="252">
        <v>8</v>
      </c>
      <c r="C14" s="252" t="s">
        <v>301</v>
      </c>
      <c r="D14" s="253">
        <f>D12*(D5/D11)</f>
        <v>2.0115675084751285E-2</v>
      </c>
      <c r="E14" s="254" t="s">
        <v>155</v>
      </c>
      <c r="G14" s="252">
        <v>8</v>
      </c>
      <c r="H14" s="252" t="s">
        <v>301</v>
      </c>
      <c r="I14" s="253">
        <f>I12*(I5/I11)</f>
        <v>3.6425129534337392E-3</v>
      </c>
      <c r="J14" s="254" t="s">
        <v>155</v>
      </c>
      <c r="L14" s="165"/>
      <c r="M14" s="167" t="s">
        <v>159</v>
      </c>
      <c r="N14" s="163" t="s">
        <v>160</v>
      </c>
    </row>
    <row r="15" spans="2:14" ht="15.6" x14ac:dyDescent="0.3">
      <c r="B15" s="159"/>
      <c r="C15" s="159"/>
      <c r="D15" s="180">
        <f>D14*1000</f>
        <v>20.115675084751285</v>
      </c>
      <c r="E15" s="160" t="s">
        <v>302</v>
      </c>
      <c r="G15" s="159"/>
      <c r="H15" s="159"/>
      <c r="I15" s="180">
        <f>I14*1000</f>
        <v>3.642512953433739</v>
      </c>
      <c r="J15" s="160" t="s">
        <v>302</v>
      </c>
      <c r="L15" s="165"/>
      <c r="M15" s="167" t="s">
        <v>162</v>
      </c>
      <c r="N15" s="163" t="s">
        <v>163</v>
      </c>
    </row>
    <row r="16" spans="2:14" ht="16.2" x14ac:dyDescent="0.3">
      <c r="B16" s="159">
        <v>9</v>
      </c>
      <c r="C16" s="159" t="s">
        <v>258</v>
      </c>
      <c r="D16" s="212">
        <f>D14/D5</f>
        <v>0.10057837542375642</v>
      </c>
      <c r="E16" s="228" t="s">
        <v>158</v>
      </c>
      <c r="G16" s="159">
        <v>9</v>
      </c>
      <c r="H16" s="159" t="s">
        <v>258</v>
      </c>
      <c r="I16" s="212">
        <f>I14/I5</f>
        <v>1.8212564767168694E-2</v>
      </c>
      <c r="J16" s="228" t="s">
        <v>158</v>
      </c>
      <c r="L16" s="163">
        <v>4</v>
      </c>
      <c r="M16" s="164" t="s">
        <v>164</v>
      </c>
      <c r="N16" s="163" t="s">
        <v>165</v>
      </c>
    </row>
    <row r="17" spans="2:14" x14ac:dyDescent="0.3">
      <c r="B17" s="159"/>
      <c r="C17" s="159"/>
      <c r="D17" s="180">
        <f>D16*1000</f>
        <v>100.57837542375641</v>
      </c>
      <c r="E17" s="160" t="s">
        <v>161</v>
      </c>
      <c r="G17" s="159"/>
      <c r="H17" s="159"/>
      <c r="I17" s="180">
        <f>I16*1000</f>
        <v>18.212564767168693</v>
      </c>
      <c r="J17" s="160" t="s">
        <v>161</v>
      </c>
      <c r="L17" s="163">
        <v>5</v>
      </c>
      <c r="M17" s="164" t="s">
        <v>166</v>
      </c>
      <c r="N17" s="163" t="s">
        <v>167</v>
      </c>
    </row>
    <row r="18" spans="2:14" x14ac:dyDescent="0.3">
      <c r="L18" s="163">
        <v>6</v>
      </c>
      <c r="M18" s="164" t="s">
        <v>168</v>
      </c>
      <c r="N18" s="163" t="s">
        <v>169</v>
      </c>
    </row>
    <row r="19" spans="2:14" x14ac:dyDescent="0.3">
      <c r="L19" s="163">
        <v>7</v>
      </c>
      <c r="M19" s="164" t="s">
        <v>170</v>
      </c>
      <c r="N19" s="163" t="s">
        <v>171</v>
      </c>
    </row>
    <row r="20" spans="2:14" x14ac:dyDescent="0.3">
      <c r="L20" s="163">
        <v>8</v>
      </c>
      <c r="M20" s="164" t="s">
        <v>172</v>
      </c>
      <c r="N20" s="163" t="s">
        <v>173</v>
      </c>
    </row>
    <row r="21" spans="2:14" ht="15.6" x14ac:dyDescent="0.3">
      <c r="L21" s="163">
        <v>9</v>
      </c>
      <c r="M21" s="164" t="s">
        <v>174</v>
      </c>
      <c r="N21" s="165"/>
    </row>
    <row r="22" spans="2:14" ht="15.6" x14ac:dyDescent="0.3">
      <c r="L22" s="165"/>
      <c r="M22" s="167" t="s">
        <v>175</v>
      </c>
      <c r="N22" s="163" t="s">
        <v>176</v>
      </c>
    </row>
    <row r="23" spans="2:14" ht="15" thickBot="1" x14ac:dyDescent="0.35">
      <c r="L23" s="169"/>
      <c r="M23" s="170" t="s">
        <v>177</v>
      </c>
      <c r="N23" s="169" t="s">
        <v>178</v>
      </c>
    </row>
    <row r="24" spans="2:14" x14ac:dyDescent="0.3">
      <c r="L24" s="280" t="s">
        <v>179</v>
      </c>
      <c r="M24" s="280"/>
    </row>
  </sheetData>
  <mergeCells count="3">
    <mergeCell ref="L24:M24"/>
    <mergeCell ref="B2:E2"/>
    <mergeCell ref="G2:J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B2:V52"/>
  <sheetViews>
    <sheetView zoomScale="85" zoomScaleNormal="85" workbookViewId="0">
      <selection activeCell="D16" sqref="D16"/>
    </sheetView>
  </sheetViews>
  <sheetFormatPr defaultRowHeight="14.4" x14ac:dyDescent="0.3"/>
  <cols>
    <col min="1" max="1" width="3" customWidth="1"/>
    <col min="2" max="2" width="4.33203125" customWidth="1"/>
    <col min="3" max="3" width="37.88671875" bestFit="1" customWidth="1"/>
    <col min="4" max="4" width="9.44140625" style="13" bestFit="1" customWidth="1"/>
    <col min="5" max="5" width="9" customWidth="1"/>
    <col min="6" max="6" width="4" customWidth="1"/>
    <col min="7" max="7" width="4.33203125" customWidth="1"/>
    <col min="8" max="8" width="37.88671875" bestFit="1" customWidth="1"/>
    <col min="9" max="9" width="9.44140625" bestFit="1" customWidth="1"/>
    <col min="10" max="10" width="9" customWidth="1"/>
    <col min="11" max="11" width="4.109375" customWidth="1"/>
    <col min="12" max="12" width="4.33203125" customWidth="1"/>
    <col min="13" max="13" width="37.88671875" bestFit="1" customWidth="1"/>
    <col min="14" max="14" width="9.44140625" bestFit="1" customWidth="1"/>
    <col min="15" max="15" width="9" customWidth="1"/>
    <col min="16" max="16" width="5.5546875" customWidth="1"/>
    <col min="17" max="17" width="4.33203125" customWidth="1"/>
    <col min="18" max="18" width="2.88671875" customWidth="1"/>
    <col min="19" max="19" width="52.44140625" customWidth="1"/>
    <col min="20" max="20" width="12.6640625" customWidth="1"/>
    <col min="21" max="21" width="10.6640625" customWidth="1"/>
    <col min="22" max="22" width="14" customWidth="1"/>
  </cols>
  <sheetData>
    <row r="2" spans="2:22" x14ac:dyDescent="0.3">
      <c r="B2" s="298" t="s">
        <v>185</v>
      </c>
      <c r="C2" s="298"/>
      <c r="D2" s="298"/>
      <c r="E2" s="298"/>
      <c r="F2" s="240"/>
      <c r="G2" s="298" t="s">
        <v>306</v>
      </c>
      <c r="H2" s="298"/>
      <c r="I2" s="298"/>
      <c r="J2" s="298"/>
      <c r="K2" s="240"/>
      <c r="L2" s="298" t="s">
        <v>313</v>
      </c>
      <c r="M2" s="298"/>
      <c r="N2" s="298"/>
      <c r="O2" s="298"/>
    </row>
    <row r="3" spans="2:22" ht="15" customHeight="1" x14ac:dyDescent="0.3">
      <c r="B3" s="299" t="s">
        <v>51</v>
      </c>
      <c r="C3" s="299" t="s">
        <v>128</v>
      </c>
      <c r="D3" s="299" t="s">
        <v>130</v>
      </c>
      <c r="E3" s="300" t="s">
        <v>303</v>
      </c>
      <c r="F3" s="238"/>
      <c r="G3" s="299" t="s">
        <v>51</v>
      </c>
      <c r="H3" s="299" t="s">
        <v>128</v>
      </c>
      <c r="I3" s="299" t="s">
        <v>130</v>
      </c>
      <c r="J3" s="300" t="s">
        <v>303</v>
      </c>
      <c r="K3" s="238"/>
      <c r="L3" s="299" t="s">
        <v>51</v>
      </c>
      <c r="M3" s="299" t="s">
        <v>128</v>
      </c>
      <c r="N3" s="299" t="s">
        <v>130</v>
      </c>
      <c r="O3" s="300" t="s">
        <v>303</v>
      </c>
      <c r="Q3" t="s">
        <v>259</v>
      </c>
    </row>
    <row r="4" spans="2:22" x14ac:dyDescent="0.3">
      <c r="B4" s="299"/>
      <c r="C4" s="299"/>
      <c r="D4" s="299"/>
      <c r="E4" s="301"/>
      <c r="F4" s="238"/>
      <c r="G4" s="299"/>
      <c r="H4" s="299"/>
      <c r="I4" s="299"/>
      <c r="J4" s="301"/>
      <c r="K4" s="238"/>
      <c r="L4" s="299"/>
      <c r="M4" s="299"/>
      <c r="N4" s="299"/>
      <c r="O4" s="301"/>
      <c r="Q4" s="302" t="s">
        <v>51</v>
      </c>
      <c r="R4" s="302" t="s">
        <v>260</v>
      </c>
      <c r="S4" s="302"/>
      <c r="T4" s="302" t="s">
        <v>261</v>
      </c>
      <c r="U4" s="302"/>
      <c r="V4" s="302"/>
    </row>
    <row r="5" spans="2:22" x14ac:dyDescent="0.3">
      <c r="B5" s="9">
        <v>1</v>
      </c>
      <c r="C5" s="172" t="s">
        <v>187</v>
      </c>
      <c r="D5" s="9"/>
      <c r="E5" s="177">
        <f>0.75/80</f>
        <v>9.3749999999999997E-3</v>
      </c>
      <c r="F5" s="212"/>
      <c r="G5" s="9">
        <v>1</v>
      </c>
      <c r="H5" s="172" t="s">
        <v>187</v>
      </c>
      <c r="I5" s="9"/>
      <c r="J5" s="174">
        <f>E5</f>
        <v>9.3749999999999997E-3</v>
      </c>
      <c r="K5" s="212"/>
      <c r="L5" s="9">
        <v>1</v>
      </c>
      <c r="M5" s="172" t="s">
        <v>187</v>
      </c>
      <c r="N5" s="9"/>
      <c r="O5" s="174">
        <f>0.75/80</f>
        <v>9.3749999999999997E-3</v>
      </c>
      <c r="Q5" s="302"/>
      <c r="R5" s="302"/>
      <c r="S5" s="302"/>
      <c r="T5" s="237" t="s">
        <v>262</v>
      </c>
      <c r="U5" s="237" t="s">
        <v>37</v>
      </c>
      <c r="V5" s="237" t="s">
        <v>263</v>
      </c>
    </row>
    <row r="6" spans="2:22" x14ac:dyDescent="0.3">
      <c r="B6" s="9">
        <v>2</v>
      </c>
      <c r="C6" s="172" t="s">
        <v>189</v>
      </c>
      <c r="D6" s="9"/>
      <c r="E6" s="177">
        <v>2.7E-2</v>
      </c>
      <c r="F6" s="212"/>
      <c r="G6" s="9">
        <v>2</v>
      </c>
      <c r="H6" s="172" t="s">
        <v>189</v>
      </c>
      <c r="I6" s="9"/>
      <c r="J6" s="174">
        <v>1.2999999999999999E-2</v>
      </c>
      <c r="K6" s="212"/>
      <c r="L6" s="9">
        <v>2</v>
      </c>
      <c r="M6" s="172" t="s">
        <v>189</v>
      </c>
      <c r="N6" s="9"/>
      <c r="O6" s="174">
        <v>1.2999999999999999E-2</v>
      </c>
      <c r="Q6" s="179">
        <v>1</v>
      </c>
      <c r="R6" s="159" t="s">
        <v>264</v>
      </c>
      <c r="S6" s="159"/>
      <c r="T6" s="174"/>
      <c r="U6" s="174"/>
      <c r="V6" s="174"/>
    </row>
    <row r="7" spans="2:22" x14ac:dyDescent="0.3">
      <c r="B7" s="9">
        <v>3</v>
      </c>
      <c r="C7" s="172" t="s">
        <v>188</v>
      </c>
      <c r="D7" s="9" t="s">
        <v>134</v>
      </c>
      <c r="E7" s="176">
        <v>1.3</v>
      </c>
      <c r="F7" s="239"/>
      <c r="G7" s="9">
        <v>3</v>
      </c>
      <c r="H7" s="172" t="s">
        <v>307</v>
      </c>
      <c r="I7" s="9" t="s">
        <v>134</v>
      </c>
      <c r="J7" s="176">
        <v>0.5</v>
      </c>
      <c r="K7" s="239"/>
      <c r="L7" s="9">
        <v>3</v>
      </c>
      <c r="M7" s="172" t="s">
        <v>188</v>
      </c>
      <c r="N7" s="9" t="s">
        <v>134</v>
      </c>
      <c r="O7" s="176">
        <v>1.3</v>
      </c>
      <c r="Q7" s="159"/>
      <c r="R7" s="159"/>
      <c r="S7" s="159" t="s">
        <v>265</v>
      </c>
      <c r="T7" s="174">
        <v>0.01</v>
      </c>
      <c r="U7" s="174">
        <v>1.0999999999999999E-2</v>
      </c>
      <c r="V7" s="174">
        <v>1.2999999999999999E-2</v>
      </c>
    </row>
    <row r="8" spans="2:22" x14ac:dyDescent="0.3">
      <c r="B8" s="9">
        <v>4</v>
      </c>
      <c r="C8" s="172" t="s">
        <v>190</v>
      </c>
      <c r="D8" s="9" t="s">
        <v>134</v>
      </c>
      <c r="E8" s="176">
        <v>1</v>
      </c>
      <c r="F8" s="239"/>
      <c r="G8" s="9">
        <v>4</v>
      </c>
      <c r="H8" s="172" t="s">
        <v>308</v>
      </c>
      <c r="I8" s="9" t="s">
        <v>134</v>
      </c>
      <c r="J8" s="176">
        <v>0.5</v>
      </c>
      <c r="K8" s="239"/>
      <c r="L8" s="9">
        <v>4</v>
      </c>
      <c r="M8" s="172" t="s">
        <v>190</v>
      </c>
      <c r="N8" s="9" t="s">
        <v>134</v>
      </c>
      <c r="O8" s="176">
        <v>1</v>
      </c>
      <c r="Q8" s="159"/>
      <c r="R8" s="159"/>
      <c r="S8" s="159" t="s">
        <v>266</v>
      </c>
      <c r="T8" s="174">
        <v>1.0999999999999999E-2</v>
      </c>
      <c r="U8" s="174">
        <v>1.2999999999999999E-2</v>
      </c>
      <c r="V8" s="174">
        <v>1.4E-2</v>
      </c>
    </row>
    <row r="9" spans="2:22" x14ac:dyDescent="0.3">
      <c r="B9" s="9">
        <v>5</v>
      </c>
      <c r="C9" s="159" t="s">
        <v>182</v>
      </c>
      <c r="D9" s="9" t="s">
        <v>200</v>
      </c>
      <c r="E9" s="178">
        <f>'Debit Rencana'!D5</f>
        <v>0.2</v>
      </c>
      <c r="F9" s="241"/>
      <c r="G9" s="9">
        <v>5</v>
      </c>
      <c r="H9" s="159" t="s">
        <v>182</v>
      </c>
      <c r="I9" s="9" t="s">
        <v>200</v>
      </c>
      <c r="J9" s="178">
        <f>E9</f>
        <v>0.2</v>
      </c>
      <c r="K9" s="241"/>
      <c r="L9" s="9">
        <v>5</v>
      </c>
      <c r="M9" s="159" t="s">
        <v>182</v>
      </c>
      <c r="N9" s="9" t="s">
        <v>200</v>
      </c>
      <c r="O9" s="178">
        <f>E9</f>
        <v>0.2</v>
      </c>
      <c r="Q9" s="159"/>
      <c r="R9" s="159"/>
      <c r="S9" s="159" t="s">
        <v>267</v>
      </c>
      <c r="T9" s="174">
        <v>1.0999999999999999E-2</v>
      </c>
      <c r="U9" s="174">
        <v>1.2E-2</v>
      </c>
      <c r="V9" s="174">
        <v>1.4E-2</v>
      </c>
    </row>
    <row r="10" spans="2:22" ht="16.2" x14ac:dyDescent="0.3">
      <c r="B10" s="9">
        <v>6</v>
      </c>
      <c r="C10" s="172" t="s">
        <v>192</v>
      </c>
      <c r="D10" s="9" t="s">
        <v>150</v>
      </c>
      <c r="E10" s="173">
        <f t="shared" ref="E10" si="0">E7*E8</f>
        <v>1.3</v>
      </c>
      <c r="F10" s="239"/>
      <c r="G10" s="9">
        <v>6</v>
      </c>
      <c r="H10" s="172" t="s">
        <v>192</v>
      </c>
      <c r="I10" s="9" t="s">
        <v>150</v>
      </c>
      <c r="J10" s="173">
        <f>(J8/J7)*1/4*(22/7)*J7^2</f>
        <v>0.19642857142857142</v>
      </c>
      <c r="K10" s="239"/>
      <c r="L10" s="9">
        <v>6</v>
      </c>
      <c r="M10" s="172" t="s">
        <v>192</v>
      </c>
      <c r="N10" s="9" t="s">
        <v>150</v>
      </c>
      <c r="O10" s="173">
        <f t="shared" ref="O10" si="1">O7*O8</f>
        <v>1.3</v>
      </c>
      <c r="Q10" s="159"/>
      <c r="R10" s="159"/>
      <c r="S10" s="159" t="s">
        <v>268</v>
      </c>
      <c r="T10" s="174">
        <v>0.01</v>
      </c>
      <c r="U10" s="174">
        <v>1.4999999999999999E-2</v>
      </c>
      <c r="V10" s="174">
        <v>1.7000000000000001E-2</v>
      </c>
    </row>
    <row r="11" spans="2:22" x14ac:dyDescent="0.3">
      <c r="B11" s="9">
        <v>7</v>
      </c>
      <c r="C11" s="172" t="s">
        <v>194</v>
      </c>
      <c r="D11" s="9" t="s">
        <v>134</v>
      </c>
      <c r="E11" s="173">
        <f t="shared" ref="E11" si="2">2*E8+E7</f>
        <v>3.3</v>
      </c>
      <c r="F11" s="239"/>
      <c r="G11" s="9">
        <v>7</v>
      </c>
      <c r="H11" s="172" t="s">
        <v>194</v>
      </c>
      <c r="I11" s="9" t="s">
        <v>134</v>
      </c>
      <c r="J11" s="173">
        <f>(J8/J7)*(22/7)*J7</f>
        <v>1.5714285714285714</v>
      </c>
      <c r="K11" s="239"/>
      <c r="L11" s="9">
        <v>7</v>
      </c>
      <c r="M11" s="172" t="s">
        <v>194</v>
      </c>
      <c r="N11" s="9" t="s">
        <v>134</v>
      </c>
      <c r="O11" s="173">
        <f t="shared" ref="O11" si="3">2*O8+O7</f>
        <v>3.3</v>
      </c>
      <c r="Q11" s="159">
        <v>2</v>
      </c>
      <c r="R11" s="159" t="s">
        <v>269</v>
      </c>
      <c r="S11" s="159"/>
      <c r="T11" s="174"/>
      <c r="U11" s="174"/>
      <c r="V11" s="174"/>
    </row>
    <row r="12" spans="2:22" x14ac:dyDescent="0.3">
      <c r="B12" s="9">
        <v>8</v>
      </c>
      <c r="C12" s="172" t="s">
        <v>195</v>
      </c>
      <c r="D12" s="9" t="s">
        <v>134</v>
      </c>
      <c r="E12" s="173">
        <f>E10/E11</f>
        <v>0.39393939393939398</v>
      </c>
      <c r="F12" s="239"/>
      <c r="G12" s="9">
        <v>8</v>
      </c>
      <c r="H12" s="172" t="s">
        <v>195</v>
      </c>
      <c r="I12" s="9" t="s">
        <v>134</v>
      </c>
      <c r="J12" s="173">
        <f>J10/J11</f>
        <v>0.125</v>
      </c>
      <c r="K12" s="239"/>
      <c r="L12" s="9">
        <v>8</v>
      </c>
      <c r="M12" s="172" t="s">
        <v>195</v>
      </c>
      <c r="N12" s="9" t="s">
        <v>134</v>
      </c>
      <c r="O12" s="173">
        <f>O10/O11</f>
        <v>0.39393939393939398</v>
      </c>
      <c r="Q12" s="159"/>
      <c r="R12" s="159"/>
      <c r="S12" s="159" t="s">
        <v>270</v>
      </c>
      <c r="T12" s="174">
        <v>1.6E-2</v>
      </c>
      <c r="U12" s="174">
        <v>1.7999999999999999E-2</v>
      </c>
      <c r="V12" s="174">
        <v>0.02</v>
      </c>
    </row>
    <row r="13" spans="2:22" ht="16.2" x14ac:dyDescent="0.3">
      <c r="B13" s="9">
        <v>9</v>
      </c>
      <c r="C13" s="172" t="s">
        <v>201</v>
      </c>
      <c r="D13" s="9" t="s">
        <v>155</v>
      </c>
      <c r="E13" s="174">
        <f t="shared" ref="E13" si="4">(1/E6)*E10*E12^(2/3)*E5^0.5</f>
        <v>2.5052524833458372</v>
      </c>
      <c r="F13" s="212"/>
      <c r="G13" s="9">
        <v>9</v>
      </c>
      <c r="H13" s="172" t="s">
        <v>201</v>
      </c>
      <c r="I13" s="9" t="s">
        <v>155</v>
      </c>
      <c r="J13" s="174">
        <f>1/J6*J12^(2/3)*J5^0.5*1.5708</f>
        <v>2.9248472308762552</v>
      </c>
      <c r="K13" s="212"/>
      <c r="L13" s="9">
        <v>9</v>
      </c>
      <c r="M13" s="172" t="s">
        <v>201</v>
      </c>
      <c r="N13" s="9" t="s">
        <v>155</v>
      </c>
      <c r="O13" s="174">
        <f t="shared" ref="O13" si="5">(1/O6)*O10*O12^(2/3)*O5^0.5</f>
        <v>5.2032166961798145</v>
      </c>
      <c r="Q13" s="159"/>
      <c r="R13" s="159"/>
      <c r="S13" s="159" t="s">
        <v>271</v>
      </c>
      <c r="T13" s="174">
        <v>1.7999999999999999E-2</v>
      </c>
      <c r="U13" s="174">
        <v>2.1999999999999999E-2</v>
      </c>
      <c r="V13" s="174">
        <v>2.5000000000000001E-2</v>
      </c>
    </row>
    <row r="14" spans="2:22" ht="16.2" x14ac:dyDescent="0.3">
      <c r="B14" s="9">
        <v>10</v>
      </c>
      <c r="C14" s="172" t="s">
        <v>202</v>
      </c>
      <c r="D14" s="9" t="s">
        <v>155</v>
      </c>
      <c r="E14" s="174">
        <f>'Debit Rencana'!D12</f>
        <v>127.92623917172833</v>
      </c>
      <c r="F14" s="212"/>
      <c r="G14" s="9">
        <v>10</v>
      </c>
      <c r="H14" s="172" t="s">
        <v>202</v>
      </c>
      <c r="I14" s="9" t="s">
        <v>155</v>
      </c>
      <c r="J14" s="174">
        <f>'Debit Rencana'!D12</f>
        <v>127.92623917172833</v>
      </c>
      <c r="K14" s="212"/>
      <c r="L14" s="9">
        <v>10</v>
      </c>
      <c r="M14" s="172" t="s">
        <v>202</v>
      </c>
      <c r="N14" s="9" t="s">
        <v>155</v>
      </c>
      <c r="O14" s="174">
        <f>'Debit Rencana'!D12</f>
        <v>127.92623917172833</v>
      </c>
      <c r="Q14" s="159"/>
      <c r="R14" s="159"/>
      <c r="S14" s="159" t="s">
        <v>272</v>
      </c>
      <c r="T14" s="174">
        <v>2.1999999999999999E-2</v>
      </c>
      <c r="U14" s="174">
        <v>2.5000000000000001E-2</v>
      </c>
      <c r="V14" s="174">
        <v>0.03</v>
      </c>
    </row>
    <row r="15" spans="2:22" x14ac:dyDescent="0.3">
      <c r="B15" s="9">
        <v>11</v>
      </c>
      <c r="C15" s="172" t="s">
        <v>196</v>
      </c>
      <c r="D15" s="9"/>
      <c r="E15" s="173" t="str">
        <f>IF(E14&lt;E13,"OK","BANJIR")</f>
        <v>BANJIR</v>
      </c>
      <c r="F15" s="239"/>
      <c r="G15" s="9">
        <v>11</v>
      </c>
      <c r="H15" s="172" t="s">
        <v>196</v>
      </c>
      <c r="I15" s="9"/>
      <c r="J15" s="173" t="str">
        <f>IF(J14&lt;J13,"OK","BANJIR")</f>
        <v>BANJIR</v>
      </c>
      <c r="K15" s="239"/>
      <c r="L15" s="9">
        <v>11</v>
      </c>
      <c r="M15" s="172" t="s">
        <v>196</v>
      </c>
      <c r="N15" s="9"/>
      <c r="O15" s="173" t="str">
        <f>IF(O14&lt;O13,"OK","BANJIR")</f>
        <v>BANJIR</v>
      </c>
      <c r="Q15" s="159"/>
      <c r="R15" s="159"/>
      <c r="S15" s="159" t="s">
        <v>273</v>
      </c>
      <c r="T15" s="174">
        <v>2.1999999999999999E-2</v>
      </c>
      <c r="U15" s="174">
        <v>2.7E-2</v>
      </c>
      <c r="V15" s="174">
        <v>3.3000000000000002E-2</v>
      </c>
    </row>
    <row r="16" spans="2:22" x14ac:dyDescent="0.3">
      <c r="Q16" s="159">
        <v>3</v>
      </c>
      <c r="R16" s="159" t="s">
        <v>274</v>
      </c>
      <c r="S16" s="159"/>
      <c r="T16" s="174"/>
      <c r="U16" s="174"/>
      <c r="V16" s="174"/>
    </row>
    <row r="17" spans="2:22" x14ac:dyDescent="0.3">
      <c r="B17" s="298" t="s">
        <v>197</v>
      </c>
      <c r="C17" s="298"/>
      <c r="D17" s="298"/>
      <c r="E17" s="298"/>
      <c r="F17" s="240"/>
      <c r="G17" s="298" t="s">
        <v>309</v>
      </c>
      <c r="H17" s="298"/>
      <c r="I17" s="298"/>
      <c r="J17" s="298"/>
      <c r="K17" s="240"/>
      <c r="L17" s="240"/>
      <c r="M17" s="240"/>
      <c r="N17" s="240"/>
      <c r="O17" s="240"/>
      <c r="Q17" s="159"/>
      <c r="R17" s="159"/>
      <c r="S17" s="159" t="s">
        <v>275</v>
      </c>
      <c r="T17" s="174">
        <v>2.5000000000000001E-2</v>
      </c>
      <c r="U17" s="174">
        <v>0.03</v>
      </c>
      <c r="V17" s="174">
        <v>3.3000000000000002E-2</v>
      </c>
    </row>
    <row r="18" spans="2:22" ht="15" customHeight="1" x14ac:dyDescent="0.3">
      <c r="B18" s="303" t="s">
        <v>51</v>
      </c>
      <c r="C18" s="303" t="s">
        <v>128</v>
      </c>
      <c r="D18" s="303" t="s">
        <v>130</v>
      </c>
      <c r="E18" s="300" t="s">
        <v>303</v>
      </c>
      <c r="F18" s="238"/>
      <c r="G18" s="303" t="s">
        <v>51</v>
      </c>
      <c r="H18" s="303" t="s">
        <v>128</v>
      </c>
      <c r="I18" s="303" t="s">
        <v>130</v>
      </c>
      <c r="J18" s="300" t="s">
        <v>303</v>
      </c>
      <c r="K18" s="238"/>
      <c r="L18" s="238"/>
      <c r="M18" s="238"/>
      <c r="N18" s="238"/>
      <c r="O18" s="238"/>
      <c r="Q18" s="159"/>
      <c r="R18" s="159"/>
      <c r="S18" s="159" t="s">
        <v>276</v>
      </c>
      <c r="T18" s="174">
        <v>3.3000000000000002E-2</v>
      </c>
      <c r="U18" s="174">
        <v>0.04</v>
      </c>
      <c r="V18" s="174">
        <v>4.4999999999999998E-2</v>
      </c>
    </row>
    <row r="19" spans="2:22" x14ac:dyDescent="0.3">
      <c r="B19" s="304"/>
      <c r="C19" s="304"/>
      <c r="D19" s="304"/>
      <c r="E19" s="301"/>
      <c r="F19" s="238"/>
      <c r="G19" s="304"/>
      <c r="H19" s="304"/>
      <c r="I19" s="304"/>
      <c r="J19" s="301"/>
      <c r="K19" s="238"/>
      <c r="L19" s="238"/>
      <c r="M19" s="238"/>
      <c r="N19" s="238"/>
      <c r="O19" s="238"/>
      <c r="Q19" s="159"/>
      <c r="R19" s="159"/>
      <c r="S19" s="159" t="s">
        <v>277</v>
      </c>
      <c r="T19" s="174">
        <v>0.05</v>
      </c>
      <c r="U19" s="174">
        <v>7.0000000000000007E-2</v>
      </c>
      <c r="V19" s="174">
        <v>0.08</v>
      </c>
    </row>
    <row r="20" spans="2:22" ht="16.2" x14ac:dyDescent="0.3">
      <c r="B20" s="9">
        <v>1</v>
      </c>
      <c r="C20" s="159" t="s">
        <v>198</v>
      </c>
      <c r="D20" s="9"/>
      <c r="E20" s="175">
        <f t="shared" ref="E20" si="6">IF(E13&gt;E14,(E13*E6)/(E5^0.5),IF(E13&lt;E14,(E14*E6)/(E5^0.5)))</f>
        <v>35.672845957563652</v>
      </c>
      <c r="F20" s="242"/>
      <c r="G20" s="9">
        <v>1</v>
      </c>
      <c r="H20" s="159" t="s">
        <v>198</v>
      </c>
      <c r="I20" s="9"/>
      <c r="J20" s="175"/>
      <c r="K20" s="242"/>
      <c r="L20" s="242"/>
      <c r="M20" s="242"/>
      <c r="N20" s="242"/>
      <c r="O20" s="242"/>
      <c r="Q20" s="159"/>
      <c r="R20" s="159"/>
      <c r="S20" s="159" t="s">
        <v>278</v>
      </c>
      <c r="T20" s="174">
        <v>2.5000000000000001E-2</v>
      </c>
      <c r="U20" s="174">
        <v>0.03</v>
      </c>
      <c r="V20" s="174">
        <v>3.5000000000000003E-2</v>
      </c>
    </row>
    <row r="21" spans="2:22" x14ac:dyDescent="0.3">
      <c r="B21" s="9">
        <v>2</v>
      </c>
      <c r="C21" s="159" t="s">
        <v>191</v>
      </c>
      <c r="D21" s="9" t="s">
        <v>134</v>
      </c>
      <c r="E21" s="173">
        <f>ROUNDUP((E20/1.26)^(3/8),1)</f>
        <v>3.6</v>
      </c>
      <c r="F21" s="239"/>
      <c r="G21" s="9">
        <v>2</v>
      </c>
      <c r="H21" s="159" t="s">
        <v>310</v>
      </c>
      <c r="I21" s="9" t="s">
        <v>134</v>
      </c>
      <c r="J21" s="173"/>
      <c r="K21" s="239"/>
      <c r="L21" s="239"/>
      <c r="M21" s="239"/>
      <c r="N21" s="239"/>
      <c r="O21" s="239"/>
      <c r="Q21" s="159"/>
      <c r="R21" s="159"/>
      <c r="S21" s="159" t="s">
        <v>279</v>
      </c>
      <c r="T21" s="174">
        <v>3.5000000000000003E-2</v>
      </c>
      <c r="U21" s="174">
        <v>0.05</v>
      </c>
      <c r="V21" s="174">
        <v>7.0000000000000007E-2</v>
      </c>
    </row>
    <row r="22" spans="2:22" x14ac:dyDescent="0.3">
      <c r="B22" s="9">
        <v>3</v>
      </c>
      <c r="C22" s="159" t="s">
        <v>193</v>
      </c>
      <c r="D22" s="9" t="s">
        <v>134</v>
      </c>
      <c r="E22" s="173">
        <f>ROUNDUP(2*E21,1)</f>
        <v>7.2</v>
      </c>
      <c r="F22" s="239"/>
      <c r="G22" s="9"/>
      <c r="H22" s="159"/>
      <c r="I22" s="9"/>
      <c r="J22" s="173"/>
      <c r="K22" s="239"/>
      <c r="L22" s="239"/>
      <c r="M22" s="239"/>
      <c r="N22" s="239"/>
      <c r="O22" s="239"/>
      <c r="Q22" t="s">
        <v>280</v>
      </c>
      <c r="T22" s="212"/>
      <c r="U22" s="212"/>
      <c r="V22" s="212"/>
    </row>
    <row r="24" spans="2:22" x14ac:dyDescent="0.3">
      <c r="B24" s="298" t="s">
        <v>199</v>
      </c>
      <c r="C24" s="298"/>
      <c r="D24" s="298"/>
      <c r="E24" s="298"/>
      <c r="F24" s="240"/>
      <c r="G24" s="240"/>
      <c r="H24" s="240"/>
      <c r="I24" s="240"/>
      <c r="J24" s="240"/>
      <c r="K24" s="240"/>
      <c r="L24" s="240"/>
      <c r="M24" s="240"/>
      <c r="N24" s="240"/>
      <c r="O24" s="240"/>
    </row>
    <row r="25" spans="2:22" ht="15" customHeight="1" x14ac:dyDescent="0.3">
      <c r="B25" s="303" t="s">
        <v>51</v>
      </c>
      <c r="C25" s="303" t="s">
        <v>128</v>
      </c>
      <c r="D25" s="303" t="s">
        <v>130</v>
      </c>
      <c r="E25" s="229" t="s">
        <v>186</v>
      </c>
      <c r="F25" s="243"/>
      <c r="G25" s="243"/>
      <c r="H25" s="243"/>
      <c r="I25" s="243"/>
      <c r="J25" s="243"/>
      <c r="K25" s="243"/>
      <c r="L25" s="243"/>
      <c r="M25" s="243"/>
      <c r="N25" s="243"/>
      <c r="O25" s="243"/>
    </row>
    <row r="26" spans="2:22" x14ac:dyDescent="0.3">
      <c r="B26" s="304"/>
      <c r="C26" s="304"/>
      <c r="D26" s="304"/>
      <c r="E26" s="225">
        <v>1</v>
      </c>
      <c r="F26" s="238"/>
      <c r="G26" s="238"/>
      <c r="H26" s="238"/>
      <c r="I26" s="238"/>
      <c r="J26" s="238"/>
      <c r="K26" s="238"/>
      <c r="L26" s="238"/>
      <c r="M26" s="238"/>
      <c r="N26" s="238"/>
      <c r="O26" s="238"/>
    </row>
    <row r="27" spans="2:22" x14ac:dyDescent="0.3">
      <c r="B27" s="9">
        <v>1</v>
      </c>
      <c r="C27" s="172" t="s">
        <v>187</v>
      </c>
      <c r="D27" s="9"/>
      <c r="E27" s="174">
        <f>E5</f>
        <v>9.3749999999999997E-3</v>
      </c>
      <c r="F27" s="212"/>
      <c r="G27" s="212"/>
      <c r="H27" s="212"/>
      <c r="I27" s="212"/>
      <c r="J27" s="212"/>
      <c r="K27" s="212"/>
      <c r="L27" s="212"/>
      <c r="M27" s="212"/>
      <c r="N27" s="212"/>
      <c r="O27" s="212"/>
    </row>
    <row r="28" spans="2:22" x14ac:dyDescent="0.3">
      <c r="B28" s="9">
        <v>2</v>
      </c>
      <c r="C28" s="172" t="s">
        <v>189</v>
      </c>
      <c r="D28" s="9"/>
      <c r="E28" s="174">
        <f>E6</f>
        <v>2.7E-2</v>
      </c>
      <c r="F28" s="212"/>
      <c r="G28" s="212"/>
      <c r="H28" s="212"/>
      <c r="I28" s="212"/>
      <c r="J28" s="212"/>
      <c r="K28" s="212"/>
      <c r="L28" s="212"/>
      <c r="M28" s="212"/>
      <c r="N28" s="212"/>
      <c r="O28" s="212"/>
    </row>
    <row r="29" spans="2:22" x14ac:dyDescent="0.3">
      <c r="B29" s="9">
        <v>3</v>
      </c>
      <c r="C29" s="172" t="s">
        <v>188</v>
      </c>
      <c r="D29" s="9" t="s">
        <v>134</v>
      </c>
      <c r="E29" s="173">
        <f t="shared" ref="E29" si="7">E22</f>
        <v>7.2</v>
      </c>
      <c r="F29" s="239"/>
      <c r="G29" s="239"/>
      <c r="H29" s="239"/>
      <c r="I29" s="239"/>
      <c r="J29" s="239"/>
      <c r="K29" s="239"/>
      <c r="L29" s="239"/>
      <c r="M29" s="239"/>
      <c r="N29" s="239"/>
      <c r="O29" s="239"/>
    </row>
    <row r="30" spans="2:22" x14ac:dyDescent="0.3">
      <c r="B30" s="9">
        <v>4</v>
      </c>
      <c r="C30" s="172" t="s">
        <v>190</v>
      </c>
      <c r="D30" s="9" t="s">
        <v>134</v>
      </c>
      <c r="E30" s="173">
        <f t="shared" ref="E30" si="8">E21</f>
        <v>3.6</v>
      </c>
      <c r="F30" s="239"/>
      <c r="G30" s="239"/>
      <c r="H30" s="239"/>
      <c r="I30" s="239"/>
      <c r="J30" s="239"/>
      <c r="K30" s="239"/>
      <c r="L30" s="239"/>
      <c r="M30" s="239"/>
      <c r="N30" s="239"/>
      <c r="O30" s="239"/>
    </row>
    <row r="31" spans="2:22" ht="16.2" x14ac:dyDescent="0.3">
      <c r="B31" s="9">
        <v>5</v>
      </c>
      <c r="C31" s="172" t="s">
        <v>182</v>
      </c>
      <c r="D31" s="9" t="s">
        <v>150</v>
      </c>
      <c r="E31" s="178">
        <f t="shared" ref="E31" si="9">E9</f>
        <v>0.2</v>
      </c>
      <c r="F31" s="241"/>
      <c r="G31" s="241"/>
      <c r="H31" s="241"/>
      <c r="I31" s="241"/>
      <c r="J31" s="241"/>
      <c r="K31" s="241"/>
      <c r="L31" s="241"/>
      <c r="M31" s="241"/>
      <c r="N31" s="241"/>
      <c r="O31" s="241"/>
    </row>
    <row r="32" spans="2:22" ht="16.2" x14ac:dyDescent="0.3">
      <c r="B32" s="9">
        <v>6</v>
      </c>
      <c r="C32" s="172" t="s">
        <v>192</v>
      </c>
      <c r="D32" s="9" t="s">
        <v>150</v>
      </c>
      <c r="E32" s="173">
        <f t="shared" ref="E32" si="10">E29*E30</f>
        <v>25.92</v>
      </c>
      <c r="F32" s="239"/>
      <c r="G32" s="239"/>
      <c r="H32" s="239"/>
      <c r="I32" s="239"/>
      <c r="J32" s="239"/>
      <c r="K32" s="239"/>
      <c r="L32" s="239"/>
      <c r="M32" s="239"/>
      <c r="N32" s="239"/>
      <c r="O32" s="239"/>
    </row>
    <row r="33" spans="2:15" x14ac:dyDescent="0.3">
      <c r="B33" s="9">
        <v>7</v>
      </c>
      <c r="C33" s="172" t="s">
        <v>194</v>
      </c>
      <c r="D33" s="9" t="s">
        <v>134</v>
      </c>
      <c r="E33" s="173">
        <f t="shared" ref="E33" si="11">2*E30+E29</f>
        <v>14.4</v>
      </c>
      <c r="F33" s="239"/>
      <c r="G33" s="239"/>
      <c r="H33" s="239"/>
      <c r="I33" s="239"/>
      <c r="J33" s="239"/>
      <c r="K33" s="239"/>
      <c r="L33" s="239"/>
      <c r="M33" s="239"/>
      <c r="N33" s="239"/>
      <c r="O33" s="239"/>
    </row>
    <row r="34" spans="2:15" x14ac:dyDescent="0.3">
      <c r="B34" s="9">
        <v>8</v>
      </c>
      <c r="C34" s="172" t="s">
        <v>195</v>
      </c>
      <c r="D34" s="9" t="s">
        <v>134</v>
      </c>
      <c r="E34" s="173">
        <f>E32/E33</f>
        <v>1.8</v>
      </c>
      <c r="F34" s="239"/>
      <c r="G34" s="239"/>
      <c r="H34" s="239"/>
      <c r="I34" s="239"/>
      <c r="J34" s="239"/>
      <c r="K34" s="239"/>
      <c r="L34" s="239"/>
      <c r="M34" s="239"/>
      <c r="N34" s="239"/>
      <c r="O34" s="239"/>
    </row>
    <row r="35" spans="2:15" ht="16.2" x14ac:dyDescent="0.3">
      <c r="B35" s="9">
        <v>9</v>
      </c>
      <c r="C35" s="172" t="s">
        <v>203</v>
      </c>
      <c r="D35" s="9" t="s">
        <v>155</v>
      </c>
      <c r="E35" s="174">
        <f t="shared" ref="E35" si="12">(1/E28)*E32*E34^(2/3)*E27^0.5</f>
        <v>137.54301540620486</v>
      </c>
      <c r="F35" s="212"/>
      <c r="G35" s="212"/>
      <c r="H35" s="212"/>
      <c r="I35" s="212"/>
      <c r="J35" s="212"/>
      <c r="K35" s="212"/>
      <c r="L35" s="212"/>
      <c r="M35" s="212"/>
      <c r="N35" s="212"/>
      <c r="O35" s="212"/>
    </row>
    <row r="36" spans="2:15" ht="16.2" x14ac:dyDescent="0.3">
      <c r="B36" s="9">
        <v>10</v>
      </c>
      <c r="C36" s="172" t="s">
        <v>202</v>
      </c>
      <c r="D36" s="9" t="s">
        <v>155</v>
      </c>
      <c r="E36" s="174">
        <f>E14</f>
        <v>127.92623917172833</v>
      </c>
      <c r="F36" s="212"/>
      <c r="G36" s="212"/>
      <c r="H36" s="212"/>
      <c r="I36" s="212"/>
      <c r="J36" s="212"/>
      <c r="K36" s="212"/>
      <c r="L36" s="212"/>
      <c r="M36" s="212"/>
      <c r="N36" s="212"/>
      <c r="O36" s="212"/>
    </row>
    <row r="37" spans="2:15" x14ac:dyDescent="0.3">
      <c r="B37" s="9">
        <v>11</v>
      </c>
      <c r="C37" s="172" t="s">
        <v>196</v>
      </c>
      <c r="D37" s="9"/>
      <c r="E37" s="173" t="str">
        <f>IF(E36&lt;E35,"OK","BANJIR")</f>
        <v>OK</v>
      </c>
      <c r="F37" s="239"/>
      <c r="G37" s="239"/>
      <c r="H37" s="239"/>
      <c r="I37" s="239"/>
      <c r="J37" s="239"/>
      <c r="K37" s="239"/>
      <c r="L37" s="239"/>
      <c r="M37" s="239"/>
      <c r="N37" s="239"/>
      <c r="O37" s="239"/>
    </row>
    <row r="39" spans="2:15" x14ac:dyDescent="0.3">
      <c r="B39" s="305" t="s">
        <v>297</v>
      </c>
      <c r="C39" s="305"/>
      <c r="D39" s="305"/>
      <c r="E39" s="305"/>
      <c r="F39" s="240"/>
      <c r="G39" s="240"/>
      <c r="H39" s="240"/>
      <c r="I39" s="240"/>
      <c r="J39" s="240"/>
      <c r="K39" s="240"/>
      <c r="L39" s="240"/>
      <c r="M39" s="240"/>
      <c r="N39" s="240"/>
      <c r="O39" s="240"/>
    </row>
    <row r="40" spans="2:15" ht="15" customHeight="1" x14ac:dyDescent="0.3">
      <c r="B40" s="303" t="s">
        <v>51</v>
      </c>
      <c r="C40" s="303" t="s">
        <v>128</v>
      </c>
      <c r="D40" s="303" t="s">
        <v>130</v>
      </c>
      <c r="E40" s="300" t="s">
        <v>303</v>
      </c>
      <c r="F40" s="238"/>
      <c r="G40" s="238"/>
      <c r="H40" s="238"/>
      <c r="I40" s="238"/>
      <c r="J40" s="238"/>
      <c r="K40" s="238"/>
      <c r="L40" s="238"/>
      <c r="M40" s="238"/>
      <c r="N40" s="238"/>
      <c r="O40" s="238"/>
    </row>
    <row r="41" spans="2:15" x14ac:dyDescent="0.3">
      <c r="B41" s="304"/>
      <c r="C41" s="304"/>
      <c r="D41" s="304"/>
      <c r="E41" s="301"/>
      <c r="F41" s="238"/>
      <c r="G41" s="238"/>
      <c r="H41" s="238"/>
      <c r="I41" s="238"/>
      <c r="J41" s="238"/>
      <c r="K41" s="238"/>
      <c r="L41" s="238"/>
      <c r="M41" s="238"/>
      <c r="N41" s="238"/>
      <c r="O41" s="238"/>
    </row>
    <row r="42" spans="2:15" x14ac:dyDescent="0.3">
      <c r="B42" s="9">
        <v>1</v>
      </c>
      <c r="C42" s="172" t="s">
        <v>187</v>
      </c>
      <c r="D42" s="9"/>
      <c r="E42" s="174">
        <f>E5</f>
        <v>9.3749999999999997E-3</v>
      </c>
      <c r="F42" s="212"/>
      <c r="G42" s="212"/>
      <c r="H42" s="212"/>
      <c r="I42" s="212"/>
      <c r="J42" s="212"/>
      <c r="K42" s="212"/>
      <c r="L42" s="212"/>
      <c r="M42" s="212"/>
      <c r="N42" s="212"/>
      <c r="O42" s="212"/>
    </row>
    <row r="43" spans="2:15" x14ac:dyDescent="0.3">
      <c r="B43" s="9">
        <v>2</v>
      </c>
      <c r="C43" s="172" t="s">
        <v>189</v>
      </c>
      <c r="D43" s="9"/>
      <c r="E43" s="174">
        <f>E6</f>
        <v>2.7E-2</v>
      </c>
      <c r="F43" s="212"/>
      <c r="G43" s="212"/>
      <c r="H43" s="212"/>
      <c r="I43" s="212"/>
      <c r="J43" s="212"/>
      <c r="K43" s="212"/>
      <c r="L43" s="212"/>
      <c r="M43" s="212"/>
      <c r="N43" s="212"/>
      <c r="O43" s="212"/>
    </row>
    <row r="44" spans="2:15" x14ac:dyDescent="0.3">
      <c r="B44" s="9">
        <v>3</v>
      </c>
      <c r="C44" s="172" t="s">
        <v>188</v>
      </c>
      <c r="D44" s="9" t="s">
        <v>134</v>
      </c>
      <c r="E44" s="176">
        <v>1.8</v>
      </c>
      <c r="F44" s="239"/>
      <c r="G44" s="239"/>
      <c r="H44" s="239"/>
      <c r="I44" s="239"/>
      <c r="J44" s="239"/>
      <c r="K44" s="239"/>
      <c r="L44" s="239"/>
      <c r="M44" s="239"/>
      <c r="N44" s="239"/>
      <c r="O44" s="239"/>
    </row>
    <row r="45" spans="2:15" x14ac:dyDescent="0.3">
      <c r="B45" s="9">
        <v>4</v>
      </c>
      <c r="C45" s="172" t="s">
        <v>190</v>
      </c>
      <c r="D45" s="9" t="s">
        <v>134</v>
      </c>
      <c r="E45" s="176">
        <v>2</v>
      </c>
      <c r="F45" s="239"/>
      <c r="G45" s="239"/>
      <c r="H45" s="239"/>
      <c r="I45" s="239"/>
      <c r="J45" s="239"/>
      <c r="K45" s="239"/>
      <c r="L45" s="239"/>
      <c r="M45" s="239"/>
      <c r="N45" s="239"/>
      <c r="O45" s="239"/>
    </row>
    <row r="46" spans="2:15" ht="16.2" x14ac:dyDescent="0.3">
      <c r="B46" s="9">
        <v>5</v>
      </c>
      <c r="C46" s="172" t="s">
        <v>182</v>
      </c>
      <c r="D46" s="9" t="s">
        <v>150</v>
      </c>
      <c r="E46" s="178">
        <f>E9</f>
        <v>0.2</v>
      </c>
      <c r="F46" s="241"/>
      <c r="G46" s="241"/>
      <c r="H46" s="241"/>
      <c r="I46" s="241"/>
      <c r="J46" s="241"/>
      <c r="K46" s="241"/>
      <c r="L46" s="241"/>
      <c r="M46" s="241"/>
      <c r="N46" s="241"/>
      <c r="O46" s="241"/>
    </row>
    <row r="47" spans="2:15" ht="16.2" x14ac:dyDescent="0.3">
      <c r="B47" s="9">
        <v>6</v>
      </c>
      <c r="C47" s="172" t="s">
        <v>192</v>
      </c>
      <c r="D47" s="9" t="s">
        <v>150</v>
      </c>
      <c r="E47" s="173">
        <f t="shared" ref="E47" si="13">E44*E45</f>
        <v>3.6</v>
      </c>
      <c r="F47" s="239"/>
      <c r="G47" s="239"/>
      <c r="H47" s="239"/>
      <c r="I47" s="239"/>
      <c r="J47" s="239"/>
      <c r="K47" s="239"/>
      <c r="L47" s="239"/>
      <c r="M47" s="239"/>
      <c r="N47" s="239"/>
      <c r="O47" s="239"/>
    </row>
    <row r="48" spans="2:15" x14ac:dyDescent="0.3">
      <c r="B48" s="9">
        <v>7</v>
      </c>
      <c r="C48" s="172" t="s">
        <v>194</v>
      </c>
      <c r="D48" s="9" t="s">
        <v>134</v>
      </c>
      <c r="E48" s="173">
        <f t="shared" ref="E48" si="14">2*E45+E44</f>
        <v>5.8</v>
      </c>
      <c r="F48" s="239"/>
      <c r="G48" s="239"/>
      <c r="H48" s="239"/>
      <c r="I48" s="239"/>
      <c r="J48" s="239"/>
      <c r="K48" s="239"/>
      <c r="L48" s="239"/>
      <c r="M48" s="239"/>
      <c r="N48" s="239"/>
      <c r="O48" s="239"/>
    </row>
    <row r="49" spans="2:15" x14ac:dyDescent="0.3">
      <c r="B49" s="9">
        <v>8</v>
      </c>
      <c r="C49" s="172" t="s">
        <v>195</v>
      </c>
      <c r="D49" s="9" t="s">
        <v>134</v>
      </c>
      <c r="E49" s="173">
        <f>E47/E48</f>
        <v>0.62068965517241381</v>
      </c>
      <c r="F49" s="239"/>
      <c r="G49" s="239"/>
      <c r="H49" s="239"/>
      <c r="I49" s="239"/>
      <c r="J49" s="239"/>
      <c r="K49" s="239"/>
      <c r="L49" s="239"/>
      <c r="M49" s="239"/>
      <c r="N49" s="239"/>
      <c r="O49" s="239"/>
    </row>
    <row r="50" spans="2:15" ht="16.2" x14ac:dyDescent="0.3">
      <c r="B50" s="9">
        <v>9</v>
      </c>
      <c r="C50" s="172" t="s">
        <v>203</v>
      </c>
      <c r="D50" s="9" t="s">
        <v>155</v>
      </c>
      <c r="E50" s="173">
        <f t="shared" ref="E50" si="15">(1/E43)*E47*E49^(2/3)*E42^0.5</f>
        <v>9.3937870956571459</v>
      </c>
      <c r="F50" s="239"/>
      <c r="G50" s="239"/>
      <c r="H50" s="239"/>
      <c r="I50" s="239"/>
      <c r="J50" s="239"/>
      <c r="K50" s="239"/>
      <c r="L50" s="239"/>
      <c r="M50" s="239"/>
      <c r="N50" s="239"/>
      <c r="O50" s="239"/>
    </row>
    <row r="51" spans="2:15" ht="16.2" x14ac:dyDescent="0.3">
      <c r="B51" s="9">
        <v>10</v>
      </c>
      <c r="C51" s="172" t="s">
        <v>202</v>
      </c>
      <c r="D51" s="9" t="s">
        <v>155</v>
      </c>
      <c r="E51" s="174">
        <f>E14</f>
        <v>127.92623917172833</v>
      </c>
      <c r="F51" s="212"/>
      <c r="G51" s="212"/>
      <c r="H51" s="212"/>
      <c r="I51" s="212"/>
      <c r="J51" s="212"/>
      <c r="K51" s="212"/>
      <c r="L51" s="212"/>
      <c r="M51" s="212"/>
      <c r="N51" s="212"/>
      <c r="O51" s="212"/>
    </row>
    <row r="52" spans="2:15" x14ac:dyDescent="0.3">
      <c r="B52" s="9">
        <v>11</v>
      </c>
      <c r="C52" s="172" t="s">
        <v>196</v>
      </c>
      <c r="D52" s="9"/>
      <c r="E52" s="173" t="str">
        <f>IF(E51&lt;E50,"OK","BANJIR")</f>
        <v>BANJIR</v>
      </c>
      <c r="F52" s="239"/>
      <c r="G52" s="239"/>
      <c r="H52" s="239"/>
      <c r="I52" s="239"/>
      <c r="J52" s="239"/>
      <c r="K52" s="239"/>
      <c r="L52" s="239"/>
      <c r="M52" s="239"/>
      <c r="N52" s="239"/>
      <c r="O52" s="239"/>
    </row>
  </sheetData>
  <mergeCells count="37">
    <mergeCell ref="G2:J2"/>
    <mergeCell ref="G3:G4"/>
    <mergeCell ref="H3:H4"/>
    <mergeCell ref="I3:I4"/>
    <mergeCell ref="J3:J4"/>
    <mergeCell ref="B40:B41"/>
    <mergeCell ref="C40:C41"/>
    <mergeCell ref="D40:D41"/>
    <mergeCell ref="E40:E41"/>
    <mergeCell ref="R4:S5"/>
    <mergeCell ref="B24:E24"/>
    <mergeCell ref="B25:B26"/>
    <mergeCell ref="C25:C26"/>
    <mergeCell ref="D25:D26"/>
    <mergeCell ref="B39:E39"/>
    <mergeCell ref="G17:J17"/>
    <mergeCell ref="G18:G19"/>
    <mergeCell ref="H18:H19"/>
    <mergeCell ref="I18:I19"/>
    <mergeCell ref="J18:J19"/>
    <mergeCell ref="T4:V4"/>
    <mergeCell ref="B17:E17"/>
    <mergeCell ref="B18:B19"/>
    <mergeCell ref="C18:C19"/>
    <mergeCell ref="D18:D19"/>
    <mergeCell ref="E18:E19"/>
    <mergeCell ref="Q4:Q5"/>
    <mergeCell ref="B2:E2"/>
    <mergeCell ref="B3:B4"/>
    <mergeCell ref="C3:C4"/>
    <mergeCell ref="D3:D4"/>
    <mergeCell ref="E3:E4"/>
    <mergeCell ref="L2:O2"/>
    <mergeCell ref="L3:L4"/>
    <mergeCell ref="M3:M4"/>
    <mergeCell ref="N3:N4"/>
    <mergeCell ref="O3:O4"/>
  </mergeCell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B2:V95"/>
  <sheetViews>
    <sheetView topLeftCell="A13" zoomScale="85" zoomScaleNormal="85" workbookViewId="0">
      <selection activeCell="D16" sqref="D16"/>
    </sheetView>
  </sheetViews>
  <sheetFormatPr defaultRowHeight="14.4" x14ac:dyDescent="0.3"/>
  <cols>
    <col min="1" max="1" width="2" customWidth="1"/>
    <col min="2" max="2" width="9.6640625" customWidth="1"/>
    <col min="3" max="3" width="38.88671875" customWidth="1"/>
    <col min="4" max="4" width="12.6640625" bestFit="1" customWidth="1"/>
    <col min="5" max="5" width="12.6640625" customWidth="1"/>
    <col min="6" max="6" width="46.109375" customWidth="1"/>
    <col min="8" max="8" width="43.5546875" customWidth="1"/>
    <col min="9" max="9" width="10.109375" customWidth="1"/>
    <col min="10" max="10" width="14" customWidth="1"/>
    <col min="11" max="11" width="12.6640625" customWidth="1"/>
    <col min="12" max="12" width="46.109375" customWidth="1"/>
    <col min="13" max="13" width="13.5546875" customWidth="1"/>
    <col min="14" max="14" width="15.44140625" customWidth="1"/>
    <col min="15" max="15" width="14.109375" customWidth="1"/>
    <col min="16" max="16" width="9" customWidth="1"/>
    <col min="17" max="17" width="13.88671875" bestFit="1" customWidth="1"/>
    <col min="18" max="18" width="8.44140625" customWidth="1"/>
    <col min="19" max="20" width="11.88671875" customWidth="1"/>
  </cols>
  <sheetData>
    <row r="2" spans="2:12" ht="15" thickBot="1" x14ac:dyDescent="0.35">
      <c r="B2" s="316" t="s">
        <v>204</v>
      </c>
      <c r="C2" s="316"/>
      <c r="D2" s="316"/>
      <c r="E2" s="181"/>
      <c r="F2" s="181"/>
      <c r="H2" t="s">
        <v>231</v>
      </c>
    </row>
    <row r="3" spans="2:12" ht="45.6" thickBot="1" x14ac:dyDescent="0.35">
      <c r="B3" s="191" t="s">
        <v>51</v>
      </c>
      <c r="C3" s="192" t="s">
        <v>205</v>
      </c>
      <c r="D3" s="191" t="s">
        <v>206</v>
      </c>
      <c r="E3" s="13"/>
      <c r="F3" s="13"/>
      <c r="H3" s="184" t="s">
        <v>220</v>
      </c>
      <c r="I3" s="184" t="s">
        <v>229</v>
      </c>
      <c r="J3" s="184" t="s">
        <v>230</v>
      </c>
      <c r="K3" s="184" t="s">
        <v>221</v>
      </c>
      <c r="L3" s="184" t="s">
        <v>222</v>
      </c>
    </row>
    <row r="4" spans="2:12" ht="28.8" x14ac:dyDescent="0.3">
      <c r="B4" s="13">
        <v>1</v>
      </c>
      <c r="C4" s="13">
        <v>50</v>
      </c>
      <c r="D4" s="13">
        <v>2</v>
      </c>
      <c r="E4" s="13"/>
      <c r="F4" s="13"/>
      <c r="H4" s="185" t="s">
        <v>223</v>
      </c>
      <c r="I4" s="195">
        <v>50</v>
      </c>
      <c r="J4" s="186">
        <v>1.5</v>
      </c>
      <c r="K4" s="186">
        <v>1</v>
      </c>
      <c r="L4" s="185" t="s">
        <v>224</v>
      </c>
    </row>
    <row r="5" spans="2:12" ht="28.8" x14ac:dyDescent="0.3">
      <c r="B5" s="13">
        <v>2</v>
      </c>
      <c r="C5" s="13">
        <v>99</v>
      </c>
      <c r="D5" s="13">
        <v>4</v>
      </c>
      <c r="E5" s="13"/>
      <c r="F5" s="13"/>
      <c r="H5" s="185" t="s">
        <v>225</v>
      </c>
      <c r="I5" s="195">
        <v>50</v>
      </c>
      <c r="J5" s="186">
        <v>1</v>
      </c>
      <c r="K5" s="186">
        <v>1</v>
      </c>
      <c r="L5" s="185" t="s">
        <v>226</v>
      </c>
    </row>
    <row r="6" spans="2:12" ht="29.4" thickBot="1" x14ac:dyDescent="0.35">
      <c r="B6" s="13">
        <v>3</v>
      </c>
      <c r="C6" s="13">
        <v>149</v>
      </c>
      <c r="D6" s="13">
        <v>6</v>
      </c>
      <c r="E6" s="13"/>
      <c r="F6" s="13"/>
      <c r="H6" s="187" t="s">
        <v>227</v>
      </c>
      <c r="I6" s="196">
        <v>1000</v>
      </c>
      <c r="J6" s="188">
        <v>40</v>
      </c>
      <c r="K6" s="188">
        <v>1</v>
      </c>
      <c r="L6" s="187" t="s">
        <v>228</v>
      </c>
    </row>
    <row r="7" spans="2:12" ht="15" thickBot="1" x14ac:dyDescent="0.35">
      <c r="B7" s="13">
        <v>4</v>
      </c>
      <c r="C7" s="13">
        <v>199</v>
      </c>
      <c r="D7" s="13">
        <v>8</v>
      </c>
      <c r="E7" s="13"/>
      <c r="F7" s="13"/>
    </row>
    <row r="8" spans="2:12" ht="45" x14ac:dyDescent="0.3">
      <c r="B8" s="13">
        <v>5</v>
      </c>
      <c r="C8" s="13">
        <v>299</v>
      </c>
      <c r="D8" s="13">
        <v>12</v>
      </c>
      <c r="E8" s="13"/>
      <c r="F8" s="13"/>
      <c r="H8" s="197" t="s">
        <v>220</v>
      </c>
      <c r="I8" s="198" t="s">
        <v>229</v>
      </c>
      <c r="J8" s="199" t="s">
        <v>230</v>
      </c>
    </row>
    <row r="9" spans="2:12" x14ac:dyDescent="0.3">
      <c r="B9" s="13">
        <v>6</v>
      </c>
      <c r="C9" s="13">
        <v>399</v>
      </c>
      <c r="D9" s="13">
        <v>16</v>
      </c>
      <c r="E9" s="13"/>
      <c r="F9" s="13"/>
      <c r="H9" s="200" t="s">
        <v>223</v>
      </c>
      <c r="I9" s="201">
        <f>$C$16</f>
        <v>1450</v>
      </c>
      <c r="J9" s="217">
        <f>(I9/I4)*J4</f>
        <v>43.5</v>
      </c>
    </row>
    <row r="10" spans="2:12" x14ac:dyDescent="0.3">
      <c r="B10" s="13">
        <v>7</v>
      </c>
      <c r="C10" s="13">
        <v>499</v>
      </c>
      <c r="D10" s="13">
        <v>20</v>
      </c>
      <c r="E10" s="13"/>
      <c r="F10" s="13"/>
      <c r="H10" s="200" t="s">
        <v>225</v>
      </c>
      <c r="I10" s="201">
        <f t="shared" ref="I10:I11" si="0">$C$16</f>
        <v>1450</v>
      </c>
      <c r="J10" s="217">
        <f t="shared" ref="J10:J11" si="1">(I10/I5)*J5</f>
        <v>29</v>
      </c>
    </row>
    <row r="11" spans="2:12" ht="15" thickBot="1" x14ac:dyDescent="0.35">
      <c r="B11" s="13">
        <v>8</v>
      </c>
      <c r="C11" s="13">
        <v>599</v>
      </c>
      <c r="D11" s="13">
        <v>24</v>
      </c>
      <c r="E11" s="13"/>
      <c r="F11" s="13"/>
      <c r="H11" s="202" t="s">
        <v>227</v>
      </c>
      <c r="I11" s="203">
        <f t="shared" si="0"/>
        <v>1450</v>
      </c>
      <c r="J11" s="218">
        <f t="shared" si="1"/>
        <v>58</v>
      </c>
    </row>
    <row r="12" spans="2:12" x14ac:dyDescent="0.3">
      <c r="B12" s="13">
        <v>9</v>
      </c>
      <c r="C12" s="13">
        <v>699</v>
      </c>
      <c r="D12" s="13">
        <v>28</v>
      </c>
      <c r="E12" s="13"/>
      <c r="F12" s="13"/>
    </row>
    <row r="13" spans="2:12" x14ac:dyDescent="0.3">
      <c r="B13" s="13">
        <v>10</v>
      </c>
      <c r="C13" s="13">
        <v>799</v>
      </c>
      <c r="D13" s="13">
        <v>32</v>
      </c>
      <c r="E13" s="13"/>
      <c r="F13" s="13"/>
    </row>
    <row r="14" spans="2:12" x14ac:dyDescent="0.3">
      <c r="B14" s="13">
        <v>11</v>
      </c>
      <c r="C14" s="13">
        <v>899</v>
      </c>
      <c r="D14" s="13">
        <v>36</v>
      </c>
      <c r="E14" s="13"/>
      <c r="F14" s="13"/>
    </row>
    <row r="15" spans="2:12" x14ac:dyDescent="0.3">
      <c r="B15" s="190">
        <v>12</v>
      </c>
      <c r="C15" s="190">
        <v>999</v>
      </c>
      <c r="D15" s="190">
        <v>40</v>
      </c>
      <c r="E15" s="13"/>
      <c r="F15" s="13"/>
    </row>
    <row r="16" spans="2:12" x14ac:dyDescent="0.3">
      <c r="B16" s="13"/>
      <c r="C16" s="194">
        <v>1450</v>
      </c>
      <c r="D16" s="182">
        <f>0.04*C16+0.0298</f>
        <v>58.029800000000002</v>
      </c>
      <c r="E16" s="183"/>
      <c r="F16" s="183"/>
    </row>
    <row r="17" spans="2:22" x14ac:dyDescent="0.3">
      <c r="B17" s="13"/>
      <c r="C17" s="13"/>
      <c r="D17" s="13"/>
      <c r="E17" s="13"/>
      <c r="F17" s="13"/>
    </row>
    <row r="18" spans="2:22" x14ac:dyDescent="0.3">
      <c r="B18" s="315" t="s">
        <v>299</v>
      </c>
      <c r="C18" s="315"/>
      <c r="D18" s="315"/>
      <c r="E18" s="315"/>
      <c r="F18" s="13"/>
      <c r="G18" s="318" t="s">
        <v>232</v>
      </c>
      <c r="H18" s="318"/>
      <c r="I18" s="318"/>
      <c r="J18" s="318"/>
    </row>
    <row r="19" spans="2:22" ht="15" customHeight="1" x14ac:dyDescent="0.3">
      <c r="B19" s="9" t="s">
        <v>8</v>
      </c>
      <c r="C19" s="9" t="s">
        <v>128</v>
      </c>
      <c r="D19" s="9" t="s">
        <v>10</v>
      </c>
      <c r="E19" s="9" t="s">
        <v>130</v>
      </c>
      <c r="G19" s="9" t="s">
        <v>8</v>
      </c>
      <c r="H19" s="9" t="s">
        <v>128</v>
      </c>
      <c r="I19" s="9" t="s">
        <v>10</v>
      </c>
      <c r="J19" s="9" t="s">
        <v>130</v>
      </c>
    </row>
    <row r="20" spans="2:22" ht="16.2" x14ac:dyDescent="0.3">
      <c r="B20" s="9">
        <v>1</v>
      </c>
      <c r="C20" s="172" t="s">
        <v>233</v>
      </c>
      <c r="D20" s="193">
        <f>C16</f>
        <v>1450</v>
      </c>
      <c r="E20" s="9" t="s">
        <v>150</v>
      </c>
      <c r="G20" s="9">
        <v>1</v>
      </c>
      <c r="H20" s="172" t="s">
        <v>233</v>
      </c>
      <c r="I20" s="193">
        <f>D20</f>
        <v>1450</v>
      </c>
      <c r="J20" s="9" t="s">
        <v>150</v>
      </c>
    </row>
    <row r="21" spans="2:22" ht="16.2" x14ac:dyDescent="0.3">
      <c r="B21" s="9">
        <v>2</v>
      </c>
      <c r="C21" s="172" t="s">
        <v>207</v>
      </c>
      <c r="D21" s="179">
        <f>D16</f>
        <v>58.029800000000002</v>
      </c>
      <c r="E21" s="9" t="s">
        <v>208</v>
      </c>
      <c r="G21" s="9">
        <v>2</v>
      </c>
      <c r="H21" s="172" t="s">
        <v>207</v>
      </c>
      <c r="I21" s="173">
        <f>J11</f>
        <v>58</v>
      </c>
      <c r="J21" s="9" t="s">
        <v>208</v>
      </c>
    </row>
    <row r="22" spans="2:22" x14ac:dyDescent="0.3">
      <c r="B22" s="9">
        <v>3</v>
      </c>
      <c r="C22" s="172" t="s">
        <v>209</v>
      </c>
      <c r="D22" s="9"/>
      <c r="E22" s="9"/>
      <c r="G22" s="9">
        <v>3</v>
      </c>
      <c r="H22" s="172" t="s">
        <v>209</v>
      </c>
      <c r="I22" s="9"/>
      <c r="J22" s="9"/>
    </row>
    <row r="23" spans="2:22" x14ac:dyDescent="0.3">
      <c r="B23" s="9"/>
      <c r="C23" s="172" t="s">
        <v>281</v>
      </c>
      <c r="D23" s="9">
        <v>1.2</v>
      </c>
      <c r="E23" s="9" t="s">
        <v>134</v>
      </c>
      <c r="G23" s="9"/>
      <c r="H23" s="172" t="s">
        <v>281</v>
      </c>
      <c r="I23" s="189">
        <v>1.2</v>
      </c>
      <c r="J23" s="9" t="s">
        <v>134</v>
      </c>
    </row>
    <row r="24" spans="2:22" x14ac:dyDescent="0.3">
      <c r="B24" s="9"/>
      <c r="C24" s="172" t="s">
        <v>282</v>
      </c>
      <c r="D24" s="9">
        <v>2</v>
      </c>
      <c r="E24" s="9" t="s">
        <v>134</v>
      </c>
      <c r="G24" s="9"/>
      <c r="H24" s="172" t="s">
        <v>282</v>
      </c>
      <c r="I24" s="189">
        <v>2</v>
      </c>
      <c r="J24" s="9" t="s">
        <v>134</v>
      </c>
    </row>
    <row r="25" spans="2:22" ht="16.2" x14ac:dyDescent="0.3">
      <c r="B25" s="9"/>
      <c r="C25" s="172" t="s">
        <v>213</v>
      </c>
      <c r="D25" s="173">
        <f>(22/7*0.25*(D23)^2)*D24</f>
        <v>2.2628571428571429</v>
      </c>
      <c r="E25" s="9" t="s">
        <v>208</v>
      </c>
      <c r="G25" s="9"/>
      <c r="H25" s="172" t="s">
        <v>213</v>
      </c>
      <c r="I25" s="173">
        <f>(22/7*0.25*(I23)^2)*I24</f>
        <v>2.2628571428571429</v>
      </c>
      <c r="J25" s="9" t="s">
        <v>208</v>
      </c>
    </row>
    <row r="26" spans="2:22" x14ac:dyDescent="0.3">
      <c r="B26" s="9">
        <v>4</v>
      </c>
      <c r="C26" s="172" t="s">
        <v>214</v>
      </c>
      <c r="D26" s="173">
        <f>D21/D25</f>
        <v>25.644482323232324</v>
      </c>
      <c r="E26" s="9" t="s">
        <v>215</v>
      </c>
      <c r="G26" s="9">
        <v>4</v>
      </c>
      <c r="H26" s="172" t="s">
        <v>214</v>
      </c>
      <c r="I26" s="173">
        <f>I21/I25</f>
        <v>25.631313131313131</v>
      </c>
      <c r="J26" s="9" t="s">
        <v>215</v>
      </c>
      <c r="M26" s="13"/>
      <c r="N26" s="13"/>
      <c r="O26" s="13"/>
      <c r="P26" s="13"/>
      <c r="Q26" s="206"/>
      <c r="R26" s="206"/>
      <c r="S26" s="13"/>
      <c r="T26" s="13"/>
      <c r="U26" s="13"/>
      <c r="V26" s="13"/>
    </row>
    <row r="27" spans="2:22" x14ac:dyDescent="0.3">
      <c r="B27" s="9"/>
      <c r="C27" s="172" t="s">
        <v>216</v>
      </c>
      <c r="D27" s="179">
        <f>ROUNDUP(D26,0)</f>
        <v>26</v>
      </c>
      <c r="E27" s="9" t="s">
        <v>215</v>
      </c>
      <c r="G27" s="9"/>
      <c r="H27" s="172" t="s">
        <v>216</v>
      </c>
      <c r="I27" s="179">
        <f>ROUNDUP(I26,0)</f>
        <v>26</v>
      </c>
      <c r="J27" s="9" t="s">
        <v>215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2:22" x14ac:dyDescent="0.3"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2:22" x14ac:dyDescent="0.3">
      <c r="B29" s="319" t="s">
        <v>234</v>
      </c>
      <c r="C29" s="319"/>
      <c r="D29" s="319"/>
      <c r="E29" s="319"/>
      <c r="G29" s="317" t="s">
        <v>236</v>
      </c>
      <c r="H29" s="317"/>
      <c r="I29" s="317"/>
      <c r="J29" s="317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2:22" x14ac:dyDescent="0.3">
      <c r="B30" s="9" t="s">
        <v>8</v>
      </c>
      <c r="C30" s="9" t="s">
        <v>128</v>
      </c>
      <c r="D30" s="9" t="s">
        <v>10</v>
      </c>
      <c r="E30" s="9" t="s">
        <v>130</v>
      </c>
      <c r="G30" s="9" t="s">
        <v>8</v>
      </c>
      <c r="H30" s="9" t="s">
        <v>128</v>
      </c>
      <c r="I30" s="9" t="s">
        <v>10</v>
      </c>
      <c r="J30" s="9" t="s">
        <v>130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2:22" ht="16.2" x14ac:dyDescent="0.3">
      <c r="B31" s="9">
        <v>1</v>
      </c>
      <c r="C31" s="172" t="s">
        <v>233</v>
      </c>
      <c r="D31" s="9">
        <f>C16</f>
        <v>1450</v>
      </c>
      <c r="E31" s="9" t="s">
        <v>150</v>
      </c>
      <c r="G31" s="9">
        <v>1</v>
      </c>
      <c r="H31" s="172" t="s">
        <v>233</v>
      </c>
      <c r="I31" s="193">
        <f>D31</f>
        <v>1450</v>
      </c>
      <c r="J31" s="9" t="s">
        <v>150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2:22" ht="16.8" x14ac:dyDescent="0.35">
      <c r="B32" s="9">
        <v>2</v>
      </c>
      <c r="C32" s="159" t="s">
        <v>157</v>
      </c>
      <c r="D32" s="168">
        <f>'Debit Rencana'!D14</f>
        <v>2.0115675084751285E-2</v>
      </c>
      <c r="E32" s="160" t="s">
        <v>158</v>
      </c>
      <c r="G32" s="9">
        <v>2</v>
      </c>
      <c r="H32" s="172" t="s">
        <v>235</v>
      </c>
      <c r="I32" s="173">
        <f>J9</f>
        <v>43.5</v>
      </c>
      <c r="J32" s="9" t="s">
        <v>208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2:20" x14ac:dyDescent="0.3">
      <c r="B33" s="9">
        <v>3</v>
      </c>
      <c r="C33" s="159" t="s">
        <v>217</v>
      </c>
      <c r="D33" s="180">
        <v>1</v>
      </c>
      <c r="E33" s="162" t="s">
        <v>5</v>
      </c>
      <c r="G33" s="9">
        <v>3</v>
      </c>
      <c r="H33" s="172" t="s">
        <v>209</v>
      </c>
      <c r="I33" s="9"/>
      <c r="J33" s="9"/>
    </row>
    <row r="34" spans="2:20" ht="16.8" x14ac:dyDescent="0.35">
      <c r="B34" s="9">
        <v>4</v>
      </c>
      <c r="C34" s="159" t="s">
        <v>218</v>
      </c>
      <c r="D34" s="168">
        <f>D31/10000*D32</f>
        <v>2.9167728872889361E-3</v>
      </c>
      <c r="E34" s="162" t="s">
        <v>155</v>
      </c>
      <c r="G34" s="9"/>
      <c r="H34" s="172" t="s">
        <v>282</v>
      </c>
      <c r="I34" s="189">
        <v>2</v>
      </c>
      <c r="J34" s="9" t="s">
        <v>134</v>
      </c>
    </row>
    <row r="35" spans="2:20" ht="16.2" x14ac:dyDescent="0.3">
      <c r="B35" s="9"/>
      <c r="C35" s="159"/>
      <c r="D35" s="56">
        <f>D34*(D33*3600)</f>
        <v>10.50038239424017</v>
      </c>
      <c r="E35" s="162" t="s">
        <v>208</v>
      </c>
      <c r="G35" s="9"/>
      <c r="H35" s="172" t="s">
        <v>211</v>
      </c>
      <c r="I35" s="173">
        <f>ROUNDUP((I32/I34/2)^0.5,1)</f>
        <v>3.3000000000000003</v>
      </c>
      <c r="J35" s="9" t="s">
        <v>134</v>
      </c>
    </row>
    <row r="36" spans="2:20" x14ac:dyDescent="0.3">
      <c r="B36" s="9">
        <v>5</v>
      </c>
      <c r="C36" s="172" t="s">
        <v>219</v>
      </c>
      <c r="D36" s="9"/>
      <c r="E36" s="9"/>
      <c r="G36" s="9"/>
      <c r="H36" s="172" t="s">
        <v>210</v>
      </c>
      <c r="I36" s="173">
        <f>2*I35</f>
        <v>6.6000000000000005</v>
      </c>
      <c r="J36" s="9" t="s">
        <v>134</v>
      </c>
    </row>
    <row r="37" spans="2:20" ht="16.2" x14ac:dyDescent="0.3">
      <c r="B37" s="9"/>
      <c r="C37" s="172" t="s">
        <v>212</v>
      </c>
      <c r="D37" s="189">
        <v>3</v>
      </c>
      <c r="E37" s="9" t="s">
        <v>134</v>
      </c>
      <c r="G37" s="9"/>
      <c r="H37" s="172" t="s">
        <v>252</v>
      </c>
      <c r="I37" s="173">
        <f>I34*I35*I36</f>
        <v>43.560000000000009</v>
      </c>
      <c r="J37" s="9" t="s">
        <v>208</v>
      </c>
    </row>
    <row r="38" spans="2:20" x14ac:dyDescent="0.3">
      <c r="B38" s="9"/>
      <c r="C38" s="172" t="s">
        <v>211</v>
      </c>
      <c r="D38" s="173">
        <f>(D35/D37/2)^0.5</f>
        <v>1.3228997438858932</v>
      </c>
      <c r="E38" s="9" t="s">
        <v>134</v>
      </c>
      <c r="G38" s="9">
        <v>4</v>
      </c>
      <c r="H38" s="172" t="s">
        <v>253</v>
      </c>
      <c r="I38" s="173">
        <f>I37/I32</f>
        <v>1.0013793103448279</v>
      </c>
      <c r="J38" s="9" t="s">
        <v>215</v>
      </c>
    </row>
    <row r="39" spans="2:20" x14ac:dyDescent="0.3">
      <c r="B39" s="9"/>
      <c r="C39" s="172" t="s">
        <v>210</v>
      </c>
      <c r="D39" s="173">
        <f>2*D38</f>
        <v>2.6457994877717863</v>
      </c>
      <c r="E39" s="9" t="s">
        <v>134</v>
      </c>
      <c r="G39" s="9"/>
      <c r="H39" s="172" t="s">
        <v>216</v>
      </c>
      <c r="I39" s="179">
        <f>ROUND(I38,0)</f>
        <v>1</v>
      </c>
      <c r="J39" s="9" t="s">
        <v>215</v>
      </c>
    </row>
    <row r="40" spans="2:20" ht="16.2" x14ac:dyDescent="0.3">
      <c r="B40" s="9"/>
      <c r="C40" s="172" t="s">
        <v>213</v>
      </c>
      <c r="D40" s="173">
        <f>D39*D38*D37</f>
        <v>10.50038239424017</v>
      </c>
      <c r="E40" s="9" t="s">
        <v>208</v>
      </c>
    </row>
    <row r="41" spans="2:20" x14ac:dyDescent="0.3">
      <c r="B41" s="9">
        <v>6</v>
      </c>
      <c r="C41" s="172" t="s">
        <v>214</v>
      </c>
      <c r="D41" s="173">
        <f>D35/D40</f>
        <v>1</v>
      </c>
      <c r="E41" s="9" t="s">
        <v>215</v>
      </c>
      <c r="G41" s="311" t="s">
        <v>237</v>
      </c>
      <c r="H41" s="311"/>
      <c r="I41" s="311"/>
      <c r="J41" s="311"/>
    </row>
    <row r="42" spans="2:20" x14ac:dyDescent="0.3">
      <c r="B42" s="9"/>
      <c r="C42" s="172" t="s">
        <v>216</v>
      </c>
      <c r="D42" s="179">
        <f>ROUNDUP(D41,0)</f>
        <v>1</v>
      </c>
      <c r="E42" s="9" t="s">
        <v>215</v>
      </c>
    </row>
    <row r="43" spans="2:20" x14ac:dyDescent="0.3">
      <c r="G43" s="9" t="s">
        <v>8</v>
      </c>
      <c r="H43" s="9" t="s">
        <v>128</v>
      </c>
      <c r="I43" s="9" t="s">
        <v>10</v>
      </c>
      <c r="J43" s="9" t="s">
        <v>130</v>
      </c>
    </row>
    <row r="44" spans="2:20" ht="16.2" x14ac:dyDescent="0.3">
      <c r="G44" s="9">
        <v>1</v>
      </c>
      <c r="H44" s="172" t="s">
        <v>233</v>
      </c>
      <c r="I44" s="193">
        <f>I31</f>
        <v>1450</v>
      </c>
      <c r="J44" s="9" t="s">
        <v>150</v>
      </c>
      <c r="M44" t="s">
        <v>243</v>
      </c>
    </row>
    <row r="45" spans="2:20" ht="16.2" x14ac:dyDescent="0.3">
      <c r="G45" s="9">
        <v>2</v>
      </c>
      <c r="H45" s="172" t="s">
        <v>283</v>
      </c>
      <c r="I45" s="173">
        <f>J11</f>
        <v>58</v>
      </c>
      <c r="J45" s="9" t="s">
        <v>208</v>
      </c>
      <c r="M45" s="309" t="s">
        <v>246</v>
      </c>
      <c r="N45" s="213" t="s">
        <v>244</v>
      </c>
      <c r="O45" s="213"/>
      <c r="P45" s="310" t="s">
        <v>249</v>
      </c>
      <c r="Q45" s="309" t="s">
        <v>256</v>
      </c>
      <c r="R45" s="309"/>
      <c r="S45" s="309"/>
      <c r="T45" s="310" t="s">
        <v>249</v>
      </c>
    </row>
    <row r="46" spans="2:20" ht="16.2" x14ac:dyDescent="0.3">
      <c r="G46" s="9">
        <v>3</v>
      </c>
      <c r="H46" s="172" t="s">
        <v>284</v>
      </c>
      <c r="I46" s="173">
        <f>J9</f>
        <v>43.5</v>
      </c>
      <c r="J46" s="9" t="s">
        <v>208</v>
      </c>
      <c r="M46" s="309"/>
      <c r="N46" s="204" t="s">
        <v>281</v>
      </c>
      <c r="O46" s="204" t="s">
        <v>282</v>
      </c>
      <c r="P46" s="310"/>
      <c r="Q46" s="204" t="s">
        <v>282</v>
      </c>
      <c r="R46" s="204" t="s">
        <v>211</v>
      </c>
      <c r="S46" s="204" t="s">
        <v>210</v>
      </c>
      <c r="T46" s="310"/>
    </row>
    <row r="47" spans="2:20" x14ac:dyDescent="0.3">
      <c r="G47" s="306" t="s">
        <v>240</v>
      </c>
      <c r="H47" s="307"/>
      <c r="I47" s="307"/>
      <c r="J47" s="308"/>
      <c r="M47" s="13" t="s">
        <v>245</v>
      </c>
    </row>
    <row r="48" spans="2:20" x14ac:dyDescent="0.3">
      <c r="G48" s="9">
        <v>1</v>
      </c>
      <c r="H48" s="172" t="s">
        <v>209</v>
      </c>
      <c r="I48" s="9"/>
      <c r="J48" s="9"/>
      <c r="M48" s="13" t="s">
        <v>247</v>
      </c>
    </row>
    <row r="49" spans="7:20" x14ac:dyDescent="0.3">
      <c r="G49" s="9"/>
      <c r="H49" s="172" t="s">
        <v>281</v>
      </c>
      <c r="I49" s="189">
        <v>1.2</v>
      </c>
      <c r="J49" s="9" t="s">
        <v>134</v>
      </c>
      <c r="M49" s="13" t="s">
        <v>248</v>
      </c>
    </row>
    <row r="50" spans="7:20" x14ac:dyDescent="0.3">
      <c r="G50" s="9"/>
      <c r="H50" s="172" t="s">
        <v>282</v>
      </c>
      <c r="I50" s="189">
        <v>2</v>
      </c>
      <c r="J50" s="9" t="s">
        <v>134</v>
      </c>
      <c r="M50" s="13" t="s">
        <v>250</v>
      </c>
    </row>
    <row r="51" spans="7:20" ht="16.2" x14ac:dyDescent="0.3">
      <c r="G51" s="9"/>
      <c r="H51" s="172" t="s">
        <v>213</v>
      </c>
      <c r="I51" s="173">
        <f>(22/7*0.25*(I49)^2)*I50</f>
        <v>2.2628571428571429</v>
      </c>
      <c r="J51" s="9" t="s">
        <v>208</v>
      </c>
      <c r="M51" s="13" t="s">
        <v>251</v>
      </c>
    </row>
    <row r="52" spans="7:20" x14ac:dyDescent="0.3">
      <c r="G52" s="9">
        <v>2</v>
      </c>
      <c r="H52" s="172" t="s">
        <v>238</v>
      </c>
      <c r="I52" s="205">
        <v>1</v>
      </c>
      <c r="J52" s="9" t="s">
        <v>215</v>
      </c>
      <c r="M52" s="13" t="s">
        <v>294</v>
      </c>
      <c r="N52" s="13"/>
      <c r="O52" s="13"/>
      <c r="P52" s="13"/>
      <c r="Q52" s="13"/>
      <c r="R52" s="13"/>
      <c r="S52" s="13"/>
      <c r="T52" s="13"/>
    </row>
    <row r="53" spans="7:20" ht="16.2" x14ac:dyDescent="0.3">
      <c r="G53" s="9">
        <v>3</v>
      </c>
      <c r="H53" s="172" t="s">
        <v>239</v>
      </c>
      <c r="I53" s="173">
        <f>I51*I52</f>
        <v>2.2628571428571429</v>
      </c>
      <c r="J53" s="9" t="s">
        <v>208</v>
      </c>
      <c r="M53" s="13" t="s">
        <v>295</v>
      </c>
      <c r="N53" s="13"/>
      <c r="O53" s="13"/>
      <c r="P53" s="13"/>
      <c r="Q53" s="13"/>
      <c r="R53" s="13"/>
      <c r="S53" s="13"/>
      <c r="T53" s="13"/>
    </row>
    <row r="54" spans="7:20" x14ac:dyDescent="0.3">
      <c r="G54" s="306" t="s">
        <v>241</v>
      </c>
      <c r="H54" s="307"/>
      <c r="I54" s="307"/>
      <c r="J54" s="308"/>
    </row>
    <row r="55" spans="7:20" x14ac:dyDescent="0.3">
      <c r="G55" s="9">
        <v>1</v>
      </c>
      <c r="H55" s="172" t="s">
        <v>219</v>
      </c>
      <c r="I55" s="9"/>
      <c r="J55" s="9"/>
    </row>
    <row r="56" spans="7:20" x14ac:dyDescent="0.3">
      <c r="G56" s="9"/>
      <c r="H56" s="172" t="s">
        <v>212</v>
      </c>
      <c r="I56" s="189">
        <v>2</v>
      </c>
      <c r="J56" s="9" t="s">
        <v>134</v>
      </c>
    </row>
    <row r="57" spans="7:20" x14ac:dyDescent="0.3">
      <c r="G57" s="9"/>
      <c r="H57" s="172" t="s">
        <v>211</v>
      </c>
      <c r="I57" s="173">
        <f>ROUNDUP(((I46-I53)/I56/2)^0.5,1)</f>
        <v>3.3000000000000003</v>
      </c>
      <c r="J57" s="9" t="s">
        <v>134</v>
      </c>
    </row>
    <row r="58" spans="7:20" x14ac:dyDescent="0.3">
      <c r="G58" s="9"/>
      <c r="H58" s="172" t="s">
        <v>210</v>
      </c>
      <c r="I58" s="173">
        <f>2*I57</f>
        <v>6.6000000000000005</v>
      </c>
      <c r="J58" s="9" t="s">
        <v>134</v>
      </c>
    </row>
    <row r="59" spans="7:20" ht="16.2" x14ac:dyDescent="0.3">
      <c r="G59" s="9"/>
      <c r="H59" s="172" t="s">
        <v>252</v>
      </c>
      <c r="I59" s="173">
        <f>I56*I57*I58</f>
        <v>43.560000000000009</v>
      </c>
      <c r="J59" s="9" t="s">
        <v>208</v>
      </c>
    </row>
    <row r="60" spans="7:20" x14ac:dyDescent="0.3">
      <c r="G60" s="9">
        <v>2</v>
      </c>
      <c r="H60" s="172" t="s">
        <v>254</v>
      </c>
      <c r="I60" s="179">
        <v>1</v>
      </c>
      <c r="J60" s="9" t="s">
        <v>215</v>
      </c>
    </row>
    <row r="61" spans="7:20" ht="16.2" x14ac:dyDescent="0.3">
      <c r="G61" s="9">
        <v>3</v>
      </c>
      <c r="H61" s="172" t="s">
        <v>255</v>
      </c>
      <c r="I61" s="173">
        <f>I59*I60</f>
        <v>43.560000000000009</v>
      </c>
      <c r="J61" s="9" t="s">
        <v>208</v>
      </c>
    </row>
    <row r="62" spans="7:20" x14ac:dyDescent="0.3">
      <c r="G62" s="312" t="s">
        <v>292</v>
      </c>
      <c r="H62" s="313"/>
      <c r="I62" s="313"/>
      <c r="J62" s="314"/>
    </row>
    <row r="63" spans="7:20" x14ac:dyDescent="0.3">
      <c r="G63" s="159"/>
      <c r="H63" s="172" t="s">
        <v>242</v>
      </c>
      <c r="I63" s="173">
        <f>I45-(I53+I61)</f>
        <v>12.177142857142847</v>
      </c>
      <c r="J63" s="215" t="str">
        <f>IF(I63&lt;0,"TERTAMPUNG","BANJIR")</f>
        <v>BANJIR</v>
      </c>
    </row>
    <row r="64" spans="7:20" x14ac:dyDescent="0.3">
      <c r="G64" s="159"/>
      <c r="H64" s="172" t="s">
        <v>285</v>
      </c>
      <c r="I64" s="220">
        <f>ROUNDUP((((I46+I63)-I53)/I56/2)^0.5,1)</f>
        <v>3.7</v>
      </c>
      <c r="J64" s="9" t="s">
        <v>134</v>
      </c>
    </row>
    <row r="65" spans="7:20" x14ac:dyDescent="0.3">
      <c r="G65" s="159"/>
      <c r="H65" s="172" t="s">
        <v>286</v>
      </c>
      <c r="I65" s="221">
        <f>2*I64</f>
        <v>7.4</v>
      </c>
      <c r="J65" s="9" t="s">
        <v>134</v>
      </c>
    </row>
    <row r="66" spans="7:20" ht="16.2" x14ac:dyDescent="0.3">
      <c r="G66" s="159"/>
      <c r="H66" s="172" t="s">
        <v>287</v>
      </c>
      <c r="I66" s="55">
        <f>I56*I64*I65</f>
        <v>54.760000000000005</v>
      </c>
      <c r="J66" s="9" t="s">
        <v>208</v>
      </c>
    </row>
    <row r="67" spans="7:20" x14ac:dyDescent="0.3">
      <c r="G67" s="159"/>
      <c r="H67" s="172" t="s">
        <v>288</v>
      </c>
      <c r="I67" s="173">
        <f>I45-(I53+I66)</f>
        <v>0.97714285714285154</v>
      </c>
      <c r="J67" s="214" t="str">
        <f>IF(I67&lt;0,"TERTAMPUNG","BANJIR")</f>
        <v>BANJIR</v>
      </c>
    </row>
    <row r="68" spans="7:20" x14ac:dyDescent="0.3">
      <c r="G68" s="159"/>
      <c r="H68" s="172" t="s">
        <v>289</v>
      </c>
      <c r="I68" s="162">
        <f>IF(I67&lt;0,"-",ROUNDUP(I67/I51,0))</f>
        <v>1</v>
      </c>
      <c r="J68" s="159"/>
    </row>
    <row r="69" spans="7:20" x14ac:dyDescent="0.3">
      <c r="G69" s="159"/>
      <c r="H69" s="172" t="s">
        <v>290</v>
      </c>
      <c r="I69" s="216">
        <f>IF(I68="-",I52,I68+I52)</f>
        <v>2</v>
      </c>
      <c r="J69" s="159"/>
    </row>
    <row r="70" spans="7:20" x14ac:dyDescent="0.3">
      <c r="G70" s="159"/>
      <c r="H70" s="172" t="s">
        <v>291</v>
      </c>
      <c r="I70" s="56">
        <f>I45-(I69*I51)-I66</f>
        <v>-1.2857142857142918</v>
      </c>
      <c r="J70" s="214" t="str">
        <f>IF(I70&lt;0,"TERTAMPUNG","BANJIR")</f>
        <v>TERTAMPUNG</v>
      </c>
    </row>
    <row r="72" spans="7:20" x14ac:dyDescent="0.3">
      <c r="G72" s="311" t="s">
        <v>237</v>
      </c>
      <c r="H72" s="311"/>
      <c r="I72" s="311"/>
      <c r="J72" s="311"/>
    </row>
    <row r="73" spans="7:20" x14ac:dyDescent="0.3">
      <c r="G73" s="226"/>
      <c r="H73" s="226"/>
      <c r="I73" s="226"/>
      <c r="J73" s="226"/>
    </row>
    <row r="74" spans="7:20" x14ac:dyDescent="0.3">
      <c r="G74" s="315" t="s">
        <v>298</v>
      </c>
      <c r="H74" s="315"/>
      <c r="I74" s="315"/>
      <c r="J74" s="315"/>
      <c r="M74" t="s">
        <v>243</v>
      </c>
    </row>
    <row r="75" spans="7:20" x14ac:dyDescent="0.3">
      <c r="G75" s="9" t="s">
        <v>8</v>
      </c>
      <c r="H75" s="9" t="s">
        <v>128</v>
      </c>
      <c r="I75" s="9" t="s">
        <v>10</v>
      </c>
      <c r="J75" s="9" t="s">
        <v>130</v>
      </c>
      <c r="M75" s="309" t="s">
        <v>246</v>
      </c>
      <c r="N75" s="213" t="s">
        <v>244</v>
      </c>
      <c r="O75" s="213"/>
      <c r="P75" s="310" t="s">
        <v>249</v>
      </c>
      <c r="Q75" s="309" t="s">
        <v>256</v>
      </c>
      <c r="R75" s="309"/>
      <c r="S75" s="309"/>
      <c r="T75" s="310" t="s">
        <v>249</v>
      </c>
    </row>
    <row r="76" spans="7:20" ht="16.2" x14ac:dyDescent="0.3">
      <c r="G76" s="9">
        <v>1</v>
      </c>
      <c r="H76" s="172" t="s">
        <v>233</v>
      </c>
      <c r="I76" s="193">
        <f>I31</f>
        <v>1450</v>
      </c>
      <c r="J76" s="9" t="s">
        <v>150</v>
      </c>
      <c r="M76" s="309"/>
      <c r="N76" s="204" t="s">
        <v>281</v>
      </c>
      <c r="O76" s="204" t="s">
        <v>282</v>
      </c>
      <c r="P76" s="310"/>
      <c r="Q76" s="204" t="s">
        <v>282</v>
      </c>
      <c r="R76" s="204" t="s">
        <v>211</v>
      </c>
      <c r="S76" s="204" t="s">
        <v>210</v>
      </c>
      <c r="T76" s="310"/>
    </row>
    <row r="77" spans="7:20" ht="16.2" x14ac:dyDescent="0.3">
      <c r="G77" s="9">
        <v>2</v>
      </c>
      <c r="H77" s="172" t="s">
        <v>283</v>
      </c>
      <c r="I77" s="173">
        <f>J11</f>
        <v>58</v>
      </c>
      <c r="J77" s="9" t="s">
        <v>208</v>
      </c>
      <c r="M77" s="13" t="s">
        <v>245</v>
      </c>
      <c r="N77" s="13">
        <v>1.4</v>
      </c>
      <c r="O77" s="13">
        <v>3</v>
      </c>
      <c r="P77" s="13">
        <v>13</v>
      </c>
      <c r="Q77" s="13" t="s">
        <v>305</v>
      </c>
      <c r="R77" s="13" t="s">
        <v>305</v>
      </c>
      <c r="S77" s="13" t="s">
        <v>305</v>
      </c>
      <c r="T77" s="13" t="s">
        <v>305</v>
      </c>
    </row>
    <row r="78" spans="7:20" ht="16.2" x14ac:dyDescent="0.3">
      <c r="G78" s="222">
        <v>3</v>
      </c>
      <c r="H78" s="223" t="s">
        <v>284</v>
      </c>
      <c r="I78" s="224">
        <f>J9</f>
        <v>43.5</v>
      </c>
      <c r="J78" s="222" t="s">
        <v>293</v>
      </c>
      <c r="M78" s="13" t="s">
        <v>247</v>
      </c>
      <c r="N78" s="13">
        <v>1.4</v>
      </c>
      <c r="O78" s="13">
        <v>2</v>
      </c>
      <c r="P78" s="13">
        <v>19</v>
      </c>
      <c r="Q78" s="13" t="s">
        <v>305</v>
      </c>
      <c r="R78" s="13" t="s">
        <v>305</v>
      </c>
      <c r="S78" s="13" t="s">
        <v>305</v>
      </c>
      <c r="T78" s="13" t="s">
        <v>305</v>
      </c>
    </row>
    <row r="79" spans="7:20" x14ac:dyDescent="0.3">
      <c r="G79" s="306" t="s">
        <v>240</v>
      </c>
      <c r="H79" s="307"/>
      <c r="I79" s="307"/>
      <c r="J79" s="308"/>
      <c r="M79" s="13" t="s">
        <v>248</v>
      </c>
      <c r="N79" s="13">
        <v>1.2</v>
      </c>
      <c r="O79" s="13">
        <v>2</v>
      </c>
      <c r="P79" s="13">
        <v>26</v>
      </c>
      <c r="Q79" s="13" t="s">
        <v>305</v>
      </c>
      <c r="R79" s="13" t="s">
        <v>305</v>
      </c>
      <c r="S79" s="13" t="s">
        <v>305</v>
      </c>
      <c r="T79" s="13" t="s">
        <v>305</v>
      </c>
    </row>
    <row r="80" spans="7:20" x14ac:dyDescent="0.3">
      <c r="G80" s="9">
        <v>1</v>
      </c>
      <c r="H80" s="172" t="s">
        <v>209</v>
      </c>
      <c r="I80" s="9"/>
      <c r="J80" s="9"/>
      <c r="M80" s="13" t="s">
        <v>250</v>
      </c>
      <c r="N80" s="13">
        <v>1.2</v>
      </c>
      <c r="O80" s="13">
        <v>1.5</v>
      </c>
      <c r="P80" s="13">
        <v>35</v>
      </c>
      <c r="Q80" s="13" t="s">
        <v>305</v>
      </c>
      <c r="R80" s="13" t="s">
        <v>305</v>
      </c>
      <c r="S80" s="13" t="s">
        <v>305</v>
      </c>
      <c r="T80" s="13" t="s">
        <v>305</v>
      </c>
    </row>
    <row r="81" spans="7:20" x14ac:dyDescent="0.3">
      <c r="G81" s="9"/>
      <c r="H81" s="172" t="s">
        <v>281</v>
      </c>
      <c r="I81" s="189">
        <v>1.2</v>
      </c>
      <c r="J81" s="9" t="s">
        <v>134</v>
      </c>
      <c r="M81" s="13" t="s">
        <v>251</v>
      </c>
      <c r="N81" s="13" t="s">
        <v>305</v>
      </c>
      <c r="O81" s="13" t="s">
        <v>305</v>
      </c>
      <c r="P81" s="13" t="s">
        <v>305</v>
      </c>
      <c r="Q81" s="13">
        <v>2</v>
      </c>
      <c r="R81" s="13">
        <v>3.3</v>
      </c>
      <c r="S81" s="13">
        <v>6.6</v>
      </c>
      <c r="T81" s="13">
        <v>1</v>
      </c>
    </row>
    <row r="82" spans="7:20" x14ac:dyDescent="0.3">
      <c r="G82" s="9"/>
      <c r="H82" s="172" t="s">
        <v>282</v>
      </c>
      <c r="I82" s="189">
        <v>2</v>
      </c>
      <c r="J82" s="9" t="s">
        <v>134</v>
      </c>
      <c r="M82" s="13" t="s">
        <v>294</v>
      </c>
      <c r="N82" s="13">
        <v>1.4</v>
      </c>
      <c r="O82" s="13">
        <v>2</v>
      </c>
      <c r="P82" s="13">
        <v>8</v>
      </c>
      <c r="Q82" s="13">
        <v>2</v>
      </c>
      <c r="R82" s="13">
        <v>2.9</v>
      </c>
      <c r="S82" s="13">
        <v>5.8</v>
      </c>
      <c r="T82" s="13">
        <v>1</v>
      </c>
    </row>
    <row r="83" spans="7:20" ht="16.2" x14ac:dyDescent="0.3">
      <c r="G83" s="9"/>
      <c r="H83" s="172" t="s">
        <v>213</v>
      </c>
      <c r="I83" s="173">
        <f>(22/7*0.25*(I81)^2)*I82</f>
        <v>2.2628571428571429</v>
      </c>
      <c r="J83" s="9" t="s">
        <v>208</v>
      </c>
      <c r="M83" s="13" t="s">
        <v>295</v>
      </c>
      <c r="N83" s="13">
        <v>1.2</v>
      </c>
      <c r="O83" s="13">
        <v>2</v>
      </c>
      <c r="P83" s="13">
        <v>8</v>
      </c>
      <c r="Q83" s="13">
        <v>2</v>
      </c>
      <c r="R83" s="13">
        <v>3.2</v>
      </c>
      <c r="S83" s="13">
        <v>6.4</v>
      </c>
      <c r="T83" s="13">
        <v>1</v>
      </c>
    </row>
    <row r="84" spans="7:20" x14ac:dyDescent="0.3">
      <c r="G84" s="9">
        <v>2</v>
      </c>
      <c r="H84" s="172" t="s">
        <v>238</v>
      </c>
      <c r="I84" s="205">
        <v>8</v>
      </c>
      <c r="J84" s="9" t="s">
        <v>215</v>
      </c>
    </row>
    <row r="85" spans="7:20" ht="16.2" x14ac:dyDescent="0.3">
      <c r="G85" s="9">
        <v>3</v>
      </c>
      <c r="H85" s="172" t="s">
        <v>239</v>
      </c>
      <c r="I85" s="173">
        <f>I83*I84</f>
        <v>18.102857142857143</v>
      </c>
      <c r="J85" s="9" t="s">
        <v>208</v>
      </c>
    </row>
    <row r="86" spans="7:20" x14ac:dyDescent="0.3">
      <c r="G86" s="306" t="s">
        <v>241</v>
      </c>
      <c r="H86" s="307"/>
      <c r="I86" s="307"/>
      <c r="J86" s="308"/>
    </row>
    <row r="87" spans="7:20" x14ac:dyDescent="0.3">
      <c r="G87" s="9">
        <v>1</v>
      </c>
      <c r="H87" s="172" t="s">
        <v>219</v>
      </c>
      <c r="I87" s="9"/>
      <c r="J87" s="9"/>
    </row>
    <row r="88" spans="7:20" x14ac:dyDescent="0.3">
      <c r="G88" s="9"/>
      <c r="H88" s="172" t="s">
        <v>212</v>
      </c>
      <c r="I88" s="189">
        <v>2</v>
      </c>
      <c r="J88" s="9" t="s">
        <v>134</v>
      </c>
    </row>
    <row r="89" spans="7:20" x14ac:dyDescent="0.3">
      <c r="G89" s="9"/>
      <c r="H89" s="172" t="s">
        <v>211</v>
      </c>
      <c r="I89" s="173">
        <f>ROUNDUP(((I77-I85)/I88/2)^0.5,1)</f>
        <v>3.2</v>
      </c>
      <c r="J89" s="9" t="s">
        <v>134</v>
      </c>
    </row>
    <row r="90" spans="7:20" x14ac:dyDescent="0.3">
      <c r="G90" s="9"/>
      <c r="H90" s="172" t="s">
        <v>210</v>
      </c>
      <c r="I90" s="173">
        <f>2*I89</f>
        <v>6.4</v>
      </c>
      <c r="J90" s="9" t="s">
        <v>134</v>
      </c>
    </row>
    <row r="91" spans="7:20" ht="16.2" x14ac:dyDescent="0.3">
      <c r="G91" s="9"/>
      <c r="H91" s="172" t="s">
        <v>252</v>
      </c>
      <c r="I91" s="173">
        <f>I88*I89*I90</f>
        <v>40.960000000000008</v>
      </c>
      <c r="J91" s="9" t="s">
        <v>208</v>
      </c>
    </row>
    <row r="92" spans="7:20" x14ac:dyDescent="0.3">
      <c r="G92" s="9">
        <v>2</v>
      </c>
      <c r="H92" s="172" t="s">
        <v>254</v>
      </c>
      <c r="I92" s="179">
        <v>1</v>
      </c>
      <c r="J92" s="9" t="s">
        <v>215</v>
      </c>
    </row>
    <row r="93" spans="7:20" ht="16.2" x14ac:dyDescent="0.3">
      <c r="G93" s="9">
        <v>3</v>
      </c>
      <c r="H93" s="172" t="s">
        <v>255</v>
      </c>
      <c r="I93" s="173">
        <f>I91*I92</f>
        <v>40.960000000000008</v>
      </c>
      <c r="J93" s="9" t="s">
        <v>208</v>
      </c>
    </row>
    <row r="94" spans="7:20" x14ac:dyDescent="0.3">
      <c r="G94" s="306" t="s">
        <v>304</v>
      </c>
      <c r="H94" s="307"/>
      <c r="I94" s="307"/>
      <c r="J94" s="308"/>
    </row>
    <row r="95" spans="7:20" x14ac:dyDescent="0.3">
      <c r="G95" s="159"/>
      <c r="H95" s="172" t="s">
        <v>242</v>
      </c>
      <c r="I95" s="173">
        <f>I77-(I85+I93)</f>
        <v>-1.0628571428571547</v>
      </c>
      <c r="J95" s="215" t="str">
        <f>IF(I95&lt;0,"TERTAMPUNG","BANJIR")</f>
        <v>TERTAMPUNG</v>
      </c>
    </row>
  </sheetData>
  <mergeCells count="22">
    <mergeCell ref="T45:T46"/>
    <mergeCell ref="B2:D2"/>
    <mergeCell ref="G41:J41"/>
    <mergeCell ref="Q45:S45"/>
    <mergeCell ref="G47:J47"/>
    <mergeCell ref="G29:J29"/>
    <mergeCell ref="G18:J18"/>
    <mergeCell ref="B18:E18"/>
    <mergeCell ref="B29:E29"/>
    <mergeCell ref="G62:J62"/>
    <mergeCell ref="M45:M46"/>
    <mergeCell ref="P45:P46"/>
    <mergeCell ref="G54:J54"/>
    <mergeCell ref="P75:P76"/>
    <mergeCell ref="G74:J74"/>
    <mergeCell ref="G94:J94"/>
    <mergeCell ref="Q75:S75"/>
    <mergeCell ref="T75:T76"/>
    <mergeCell ref="G72:J72"/>
    <mergeCell ref="G79:J79"/>
    <mergeCell ref="G86:J86"/>
    <mergeCell ref="M75:M7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Referensi</vt:lpstr>
      <vt:lpstr>Input Data Nakayasu</vt:lpstr>
      <vt:lpstr>UH Nakayasu</vt:lpstr>
      <vt:lpstr>Hidrograf Nakayasu</vt:lpstr>
      <vt:lpstr>Hidrograf Nakayasu HECRAS</vt:lpstr>
      <vt:lpstr>Sheet1</vt:lpstr>
      <vt:lpstr>Debit Rencana</vt:lpstr>
      <vt:lpstr>Cek Dimensi Saluran A</vt:lpstr>
      <vt:lpstr>Jml Sumur Resapan</vt:lpstr>
    </vt:vector>
  </TitlesOfParts>
  <Company>Institut Pertanian Bogor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Yanuar Chandra W</dc:creator>
  <cp:lastModifiedBy>Rizqi Adi Bagus Wicaksono</cp:lastModifiedBy>
  <cp:lastPrinted>2017-05-15T12:24:31Z</cp:lastPrinted>
  <dcterms:created xsi:type="dcterms:W3CDTF">2017-04-08T22:48:08Z</dcterms:created>
  <dcterms:modified xsi:type="dcterms:W3CDTF">2025-07-03T18:04:28Z</dcterms:modified>
</cp:coreProperties>
</file>