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llllllyh/Downloads/708/"/>
    </mc:Choice>
  </mc:AlternateContent>
  <xr:revisionPtr revIDLastSave="0" documentId="8_{E97157BF-7474-7148-9158-B79F858BDC37}" xr6:coauthVersionLast="47" xr6:coauthVersionMax="47" xr10:uidLastSave="{00000000-0000-0000-0000-000000000000}"/>
  <bookViews>
    <workbookView xWindow="0" yWindow="0" windowWidth="28800" windowHeight="18000" xr2:uid="{CE4CD162-E0E7-4AD6-962F-D5AA6C4295B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  <c r="N25" i="1"/>
  <c r="N24" i="1"/>
  <c r="N23" i="1"/>
  <c r="N22" i="1"/>
  <c r="N21" i="1"/>
  <c r="N7" i="1"/>
  <c r="N6" i="1"/>
  <c r="N5" i="1"/>
  <c r="N4" i="1"/>
  <c r="N3" i="1"/>
  <c r="N2" i="1"/>
  <c r="AK6" i="1"/>
  <c r="AK7" i="1"/>
  <c r="AK5" i="1"/>
  <c r="AK4" i="1"/>
  <c r="AK3" i="1"/>
  <c r="AK2" i="1"/>
  <c r="AF3" i="1"/>
  <c r="AF4" i="1"/>
  <c r="AF5" i="1"/>
  <c r="AF6" i="1"/>
  <c r="AF7" i="1"/>
  <c r="AF2" i="1"/>
  <c r="N13" i="1"/>
  <c r="N12" i="1"/>
  <c r="N11" i="1"/>
  <c r="N10" i="1"/>
  <c r="N9" i="1"/>
  <c r="N8" i="1"/>
  <c r="O13" i="1"/>
  <c r="O12" i="1"/>
  <c r="O11" i="1"/>
  <c r="O10" i="1"/>
  <c r="O9" i="1"/>
  <c r="O8" i="1"/>
  <c r="K13" i="1"/>
  <c r="K12" i="1"/>
  <c r="K11" i="1"/>
  <c r="K10" i="1"/>
  <c r="K9" i="1"/>
  <c r="K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tc={FBA28A17-B2BC-4BE7-B4B8-221AC04FE64D}</author>
    <author>tc={B083A755-32E9-4868-A05A-E33B696A7477}</author>
    <author>tc={93B7E765-F804-485C-B3F8-AE1626ABD0B0}</author>
    <author>tc={C961E458-E272-48E0-B83D-C382AD1B6619}</author>
  </authors>
  <commentList>
    <comment ref="S1" authorId="0" shapeId="0" xr:uid="{FBA28A17-B2BC-4BE7-B4B8-221AC04FE64D}">
      <text>
        <t>[Threaded comment]
Your version of Excel allows you to read this threaded comment; however, any edits to it will get removed if the file is opened in a newer version of Excel. Learn more: https://go.microsoft.com/fwlink/?linkid=870924
Comment:
    Do we need two species columns? There is already a completed species list in column C</t>
      </text>
    </comment>
    <comment ref="AL5" authorId="1" shapeId="0" xr:uid="{B083A755-32E9-4868-A05A-E33B696A7477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outliers, exclude this site from analysis</t>
      </text>
    </comment>
    <comment ref="G11" authorId="2" shapeId="0" xr:uid="{93B7E765-F804-485C-B3F8-AE1626ABD0B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measured</t>
      </text>
    </comment>
    <comment ref="G12" authorId="3" shapeId="0" xr:uid="{C961E458-E272-48E0-B83D-C382AD1B661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measured</t>
      </text>
    </comment>
  </commentList>
</comments>
</file>

<file path=xl/sharedStrings.xml><?xml version="1.0" encoding="utf-8"?>
<sst xmlns="http://schemas.openxmlformats.org/spreadsheetml/2006/main" count="205" uniqueCount="104">
  <si>
    <t>Week  of data collection (Either Week 4 or 5)</t>
  </si>
  <si>
    <t xml:space="preserve">Name of location </t>
  </si>
  <si>
    <t xml:space="preserve">Species </t>
  </si>
  <si>
    <t xml:space="preserve">GPS location </t>
  </si>
  <si>
    <t xml:space="preserve">Date </t>
  </si>
  <si>
    <t>Soil CO2 efflux (Q, g CO2/m2/hour) / Before Rain </t>
  </si>
  <si>
    <t>Soil CO2 efflux (Q, g CO2/m2/hour) / After Rain </t>
  </si>
  <si>
    <r>
      <t>Greenhouse gas emissions (CO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, ppm)</t>
    </r>
  </si>
  <si>
    <r>
      <t>Greenhouse gas emissions (N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O, ppm)</t>
    </r>
  </si>
  <si>
    <r>
      <t>Greenhouse gas emissions (CH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, ppm)</t>
    </r>
  </si>
  <si>
    <t xml:space="preserve">Soil temperature (°C) </t>
  </si>
  <si>
    <t>Atmospheric/Surface temperature (°C)</t>
  </si>
  <si>
    <t>Canopy cover (%)</t>
  </si>
  <si>
    <t xml:space="preserve">Light Intensity (μmol/m²/s) </t>
  </si>
  <si>
    <t>Soil volumetric water content (%)</t>
  </si>
  <si>
    <t>Weather conditions</t>
  </si>
  <si>
    <t>Water Sample No.</t>
  </si>
  <si>
    <t>Date of Rain sample collection</t>
  </si>
  <si>
    <t>Rain Types</t>
  </si>
  <si>
    <t>Time of Sample Removal</t>
  </si>
  <si>
    <t>Rain Volume (ml)</t>
  </si>
  <si>
    <t>Rain pH</t>
  </si>
  <si>
    <t>Rain pH Temp (°C)</t>
  </si>
  <si>
    <t>Rain Conductivity (µS/cm)</t>
  </si>
  <si>
    <t>Rain Conductivity Temp (°C)</t>
  </si>
  <si>
    <t>Organic Matter Percentage as determined by Soil Colour (%)</t>
  </si>
  <si>
    <t xml:space="preserve">Soil Texture </t>
  </si>
  <si>
    <t xml:space="preserve">Soil Conducivity (µS/cm) Measure One </t>
  </si>
  <si>
    <t>Soil Conducivity (µS/cm) Measure Two</t>
  </si>
  <si>
    <t>Soil Conducivity (µS/cm) Measure Three</t>
  </si>
  <si>
    <t xml:space="preserve">Soil Conducivity (µS/cm) Mean </t>
  </si>
  <si>
    <t>Soil Temperate (°C) at time of measurement</t>
  </si>
  <si>
    <t xml:space="preserve">Soil PH Measure One </t>
  </si>
  <si>
    <t>Soil PH Measure Two</t>
  </si>
  <si>
    <t>Soil PH Measure Three</t>
  </si>
  <si>
    <t>Soil PH Measure Mean</t>
  </si>
  <si>
    <t>Rooibos mass lost (%)</t>
  </si>
  <si>
    <t>Green mass lost (%)</t>
  </si>
  <si>
    <t>Lawn 1</t>
  </si>
  <si>
    <t xml:space="preserve">Grass </t>
  </si>
  <si>
    <t>36° 50’ 58” S, 174° 46’ 15” E, 336° NW</t>
  </si>
  <si>
    <t>Overcast</t>
  </si>
  <si>
    <t>16/08/2025-18/08/2027</t>
  </si>
  <si>
    <t>Grass</t>
  </si>
  <si>
    <t>Rainfall</t>
  </si>
  <si>
    <t>Silty Clay Loam</t>
  </si>
  <si>
    <t>Lawn 2</t>
  </si>
  <si>
    <t>36° 50’ 58” S, 174° 46’ 15” E, 262° W</t>
  </si>
  <si>
    <t>16/08/2025-18/08/2028</t>
  </si>
  <si>
    <t>Lawn 3</t>
  </si>
  <si>
    <t>36° 50’ 58” S, 174° 46’ 15” E, 269° W</t>
  </si>
  <si>
    <t>16/08/2025-18/08/2025</t>
  </si>
  <si>
    <t>Silty Clay</t>
  </si>
  <si>
    <t>Lawn 4</t>
  </si>
  <si>
    <t>36° 50’ 58” S, 174° 46’ 15” E, 326° NW</t>
  </si>
  <si>
    <t>Lawn 5</t>
  </si>
  <si>
    <t>36° 50’ 58” S, 174° 46’ 15” E, 286° W</t>
  </si>
  <si>
    <t>Lawn 6</t>
  </si>
  <si>
    <t>36° 50’ 58” S, 174° 46’ 15” E, 254° W</t>
  </si>
  <si>
    <t>Forest 1</t>
  </si>
  <si>
    <t>Puriri tree base</t>
  </si>
  <si>
    <t>(-36.84987713,174.77117392)</t>
  </si>
  <si>
    <t>16/08/2025-18/08/2026</t>
  </si>
  <si>
    <t>Puriri</t>
  </si>
  <si>
    <t>Throughfall</t>
  </si>
  <si>
    <t>loam</t>
  </si>
  <si>
    <t>Forest 2</t>
  </si>
  <si>
    <t>(-36.8498161, 174.77104215)</t>
  </si>
  <si>
    <t>sandy loam</t>
  </si>
  <si>
    <t>Forest 3</t>
  </si>
  <si>
    <t>(-36.84983577, 174.77120257)</t>
  </si>
  <si>
    <t>loam sandy</t>
  </si>
  <si>
    <t>Forest 4</t>
  </si>
  <si>
    <t>Rimu tree base</t>
  </si>
  <si>
    <t>(-36.84988726,  174.7712904)</t>
  </si>
  <si>
    <t>Rimu</t>
  </si>
  <si>
    <t>silt loam</t>
  </si>
  <si>
    <t>Forest 5</t>
  </si>
  <si>
    <t>(-36.8498804, 174.77133802)</t>
  </si>
  <si>
    <t>clay</t>
  </si>
  <si>
    <t>Forest 6</t>
  </si>
  <si>
    <t>(-36.84989851, 174.7713635)</t>
  </si>
  <si>
    <t>sandy clay loam</t>
  </si>
  <si>
    <t>(-36.84955721, 174.77091014)</t>
  </si>
  <si>
    <t>Clear</t>
  </si>
  <si>
    <t>(-36.84955147, 174.77092673)</t>
  </si>
  <si>
    <t>(-36.84954042, 174.77094239)</t>
  </si>
  <si>
    <t>9(2)</t>
  </si>
  <si>
    <t>19/08/2025-20/08/2025</t>
  </si>
  <si>
    <t>(-36.84951874, 174.77095998)</t>
  </si>
  <si>
    <t>10(2)</t>
  </si>
  <si>
    <t>(-36.84947682, 174.77091654)</t>
  </si>
  <si>
    <t>11(2)</t>
  </si>
  <si>
    <t>(-36.84951415, 174.77087984)</t>
  </si>
  <si>
    <t>12(2)</t>
  </si>
  <si>
    <t xml:space="preserve">(-36.84986, 174.77128) </t>
  </si>
  <si>
    <t xml:space="preserve">(-36.84983, 174.77122) </t>
  </si>
  <si>
    <t>(-36.84985, 174.77131 )</t>
  </si>
  <si>
    <t>(-36.84986, 174.77136 )</t>
  </si>
  <si>
    <t>(-36.84989, 174.77138)</t>
  </si>
  <si>
    <t>(-36.84986, 174.77135)</t>
  </si>
  <si>
    <t>18/08/2025-21/08/2025</t>
  </si>
  <si>
    <t>Giant Redwood (non-native)</t>
  </si>
  <si>
    <t>Swamp-cypress (non-native)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</si>
</sst>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2"/>
      <color rgb="FF000000"/>
      <name val="Aptos Narrow"/>
      <family val="2"/>
    </font>
    <font>
      <sz val="12"/>
      <color rgb="FF000000"/>
      <name val="等线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readingOrder="1"/>
    </xf>
    <xf numFmtId="2" fontId="0" fillId="0" borderId="0" xfId="0" applyNumberFormat="1"/>
    <xf numFmtId="164" fontId="0" fillId="0" borderId="0" xfId="0" applyNumberFormat="1"/>
    <xf numFmtId="0" fontId="4" fillId="0" borderId="0" xfId="0" applyFont="1"/>
    <xf numFmtId="18" fontId="0" fillId="0" borderId="0" xfId="0" applyNumberFormat="1"/>
    <xf numFmtId="0" fontId="5" fillId="0" borderId="0" xfId="0" applyFont="1"/>
    <xf numFmtId="0" fontId="6" fillId="0" borderId="0" xfId="0" applyFont="1"/>
    <xf numFmtId="0" fontId="3" fillId="0" borderId="1" xfId="0" applyFont="1" applyBorder="1" applyAlignment="1">
      <alignment wrapText="1" readingOrder="1"/>
    </xf>
    <xf numFmtId="0" fontId="3" fillId="0" borderId="2" xfId="0" applyFont="1" applyBorder="1" applyAlignment="1">
      <alignment wrapText="1" readingOrder="1"/>
    </xf>
    <xf numFmtId="0" fontId="3" fillId="0" borderId="0" xfId="0" applyFont="1" applyAlignment="1">
      <alignment wrapText="1" readingOrder="1"/>
    </xf>
    <xf numFmtId="0" fontId="7" fillId="0" borderId="0" xfId="0" applyFont="1"/>
    <xf numFmtId="0" fontId="8" fillId="0" borderId="0" xfId="0" applyFont="1"/>
    <xf numFmtId="2" fontId="3" fillId="0" borderId="0" xfId="0" applyNumberFormat="1" applyFont="1" applyAlignment="1">
      <alignment readingOrder="1"/>
    </xf>
    <xf numFmtId="0" fontId="0" fillId="0" borderId="0" xfId="0" applyAlignment="1">
      <alignment horizontal="right"/>
    </xf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ncesca Rossi" id="{85CCC02D-A471-4854-A918-1CB24E5B75AF}" userId="S::fros513@uoa.auckland.ac.nz::95ee5d44-cbbb-4dfb-8fbf-ed1f2f8ba09d" providerId="AD"/>
  <person displayName="Julia Thain" id="{76674BF3-30C3-4EDF-AC64-60BCA2518B80}" userId="S::jtha116@uoa.auckland.ac.nz::f16916f2-28d8-4ce0-af46-45e7649b6dd7" providerId="AD"/>
  <person displayName="Mitchell Keys" id="{06766931-6C36-44E3-9E9D-5BFAE0375E9B}" userId="S::mkey054@uoa.auckland.ac.nz::f5c2dff4-08e3-4fb9-ab9a-8ae1f90ac46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5-08-27T03:24:54.85" personId="{85CCC02D-A471-4854-A918-1CB24E5B75AF}" id="{FBA28A17-B2BC-4BE7-B4B8-221AC04FE64D}">
    <text>Do we need two species columns? There is already a completed species list in column C</text>
  </threadedComment>
  <threadedComment ref="AL5" dT="2025-08-28T21:10:36.90" personId="{76674BF3-30C3-4EDF-AC64-60BCA2518B80}" id="{B083A755-32E9-4868-A05A-E33B696A7477}">
    <text>outliers, exclude this site from analysis</text>
  </threadedComment>
  <threadedComment ref="G11" dT="2025-08-27T03:14:16.04" personId="{06766931-6C36-44E3-9E9D-5BFAE0375E9B}" id="{93B7E765-F804-485C-B3F8-AE1626ABD0B0}">
    <text>not measured</text>
  </threadedComment>
  <threadedComment ref="G12" dT="2025-08-27T03:14:16.04" personId="{06766931-6C36-44E3-9E9D-5BFAE0375E9B}" id="{C961E458-E272-48E0-B83D-C382AD1B6619}">
    <text>not measured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4DF7-B0D0-408F-BB03-26228019CBF8}">
  <dimension ref="A1:AM42"/>
  <sheetViews>
    <sheetView tabSelected="1" workbookViewId="0">
      <selection activeCell="AM14" sqref="AM14"/>
    </sheetView>
  </sheetViews>
  <sheetFormatPr baseColWidth="10" defaultColWidth="8.83203125" defaultRowHeight="15"/>
  <cols>
    <col min="1" max="1" width="33.83203125" customWidth="1"/>
    <col min="2" max="2" width="17.6640625" customWidth="1"/>
    <col min="3" max="3" width="28.1640625" bestFit="1" customWidth="1"/>
    <col min="4" max="4" width="44" customWidth="1"/>
    <col min="5" max="5" width="13.5" customWidth="1"/>
    <col min="6" max="6" width="11.1640625" customWidth="1"/>
    <col min="7" max="7" width="12.5" customWidth="1"/>
    <col min="8" max="8" width="9.6640625" customWidth="1"/>
    <col min="9" max="9" width="8.5" customWidth="1"/>
    <col min="10" max="10" width="8" customWidth="1"/>
    <col min="11" max="11" width="12.6640625" customWidth="1"/>
    <col min="12" max="12" width="11.33203125" customWidth="1"/>
    <col min="13" max="13" width="17.83203125" customWidth="1"/>
    <col min="14" max="14" width="26.6640625" customWidth="1"/>
    <col min="15" max="15" width="23.83203125" customWidth="1"/>
    <col min="16" max="16" width="14.1640625" customWidth="1"/>
    <col min="17" max="17" width="9.1640625" customWidth="1"/>
    <col min="18" max="18" width="21.5" hidden="1" customWidth="1"/>
    <col min="19" max="19" width="13.5" customWidth="1"/>
    <col min="20" max="20" width="10.5" customWidth="1"/>
    <col min="21" max="21" width="12.6640625" hidden="1" customWidth="1"/>
    <col min="22" max="22" width="15.6640625" customWidth="1"/>
    <col min="24" max="24" width="12.5" customWidth="1"/>
    <col min="25" max="26" width="23" customWidth="1"/>
    <col min="27" max="27" width="19.6640625" customWidth="1"/>
    <col min="28" max="33" width="15.1640625" customWidth="1"/>
    <col min="34" max="34" width="14.33203125" customWidth="1"/>
    <col min="35" max="35" width="20" customWidth="1"/>
    <col min="36" max="36" width="27.33203125" customWidth="1"/>
    <col min="37" max="37" width="27.5" customWidth="1"/>
    <col min="38" max="39" width="9.33203125" bestFit="1" customWidth="1"/>
  </cols>
  <sheetData>
    <row r="1" spans="1:39" s="2" customFormat="1" ht="77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0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2" t="s">
        <v>12</v>
      </c>
      <c r="N1" s="1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2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</row>
    <row r="2" spans="1:39">
      <c r="A2">
        <v>4</v>
      </c>
      <c r="B2" t="s">
        <v>38</v>
      </c>
      <c r="C2" t="s">
        <v>39</v>
      </c>
      <c r="D2" t="s">
        <v>40</v>
      </c>
      <c r="E2" s="1">
        <v>45883</v>
      </c>
      <c r="F2" s="9"/>
      <c r="G2" s="9">
        <v>0.18</v>
      </c>
      <c r="H2" s="8">
        <v>610.79999999999995</v>
      </c>
      <c r="I2">
        <v>0.33500000000000002</v>
      </c>
      <c r="J2">
        <v>1.9770000000000001</v>
      </c>
      <c r="K2">
        <v>8.3000000000000007</v>
      </c>
      <c r="L2">
        <v>14.3</v>
      </c>
      <c r="M2" s="3">
        <v>4</v>
      </c>
      <c r="N2" s="15">
        <f>4164*0.0185</f>
        <v>77.033999999999992</v>
      </c>
      <c r="O2">
        <v>39.9</v>
      </c>
      <c r="P2" t="s">
        <v>41</v>
      </c>
      <c r="Q2">
        <v>7</v>
      </c>
      <c r="R2" t="s">
        <v>42</v>
      </c>
      <c r="S2" t="s">
        <v>43</v>
      </c>
      <c r="T2" t="s">
        <v>44</v>
      </c>
      <c r="U2" s="7">
        <v>0.625</v>
      </c>
      <c r="V2">
        <v>178</v>
      </c>
      <c r="W2">
        <v>6.2</v>
      </c>
      <c r="X2">
        <v>17.350000000000001</v>
      </c>
      <c r="Y2">
        <v>29.8</v>
      </c>
      <c r="Z2">
        <v>10.9</v>
      </c>
      <c r="AA2" s="5">
        <v>2</v>
      </c>
      <c r="AB2" t="s">
        <v>45</v>
      </c>
      <c r="AC2">
        <v>100</v>
      </c>
      <c r="AD2">
        <v>100.3</v>
      </c>
      <c r="AE2">
        <v>99.9</v>
      </c>
      <c r="AF2" s="4">
        <f>AVERAGE(AC2:AE2)</f>
        <v>100.06666666666668</v>
      </c>
      <c r="AG2">
        <v>20.3</v>
      </c>
      <c r="AH2">
        <v>5.43</v>
      </c>
      <c r="AI2">
        <v>5.52</v>
      </c>
      <c r="AJ2">
        <v>5.54</v>
      </c>
      <c r="AK2" s="4">
        <f>AVERAGE(AH2:AJ2)</f>
        <v>5.4966666666666661</v>
      </c>
      <c r="AL2" s="4">
        <v>9.2662123951235422</v>
      </c>
      <c r="AM2" s="4">
        <v>30.567708065263272</v>
      </c>
    </row>
    <row r="3" spans="1:39">
      <c r="A3">
        <v>4</v>
      </c>
      <c r="B3" t="s">
        <v>46</v>
      </c>
      <c r="C3" t="s">
        <v>39</v>
      </c>
      <c r="D3" t="s">
        <v>47</v>
      </c>
      <c r="E3" s="1">
        <v>45883</v>
      </c>
      <c r="F3" s="9"/>
      <c r="G3" s="9">
        <v>0.45</v>
      </c>
      <c r="H3" s="8">
        <v>708.9</v>
      </c>
      <c r="I3">
        <v>0.33450000000000002</v>
      </c>
      <c r="J3">
        <v>1.9850000000000001</v>
      </c>
      <c r="K3">
        <v>8.5</v>
      </c>
      <c r="L3">
        <v>14.3</v>
      </c>
      <c r="M3" s="3">
        <v>0</v>
      </c>
      <c r="N3" s="15">
        <f>4412*0.0185</f>
        <v>81.622</v>
      </c>
      <c r="O3">
        <v>41.4</v>
      </c>
      <c r="P3" t="s">
        <v>41</v>
      </c>
      <c r="Q3">
        <v>8</v>
      </c>
      <c r="R3" t="s">
        <v>48</v>
      </c>
      <c r="S3" t="s">
        <v>43</v>
      </c>
      <c r="T3" t="s">
        <v>44</v>
      </c>
      <c r="U3" s="7">
        <v>0.625</v>
      </c>
      <c r="V3">
        <v>195</v>
      </c>
      <c r="W3">
        <v>5.99</v>
      </c>
      <c r="X3">
        <v>16.2</v>
      </c>
      <c r="Y3">
        <v>17.57</v>
      </c>
      <c r="Z3">
        <v>10.199999999999999</v>
      </c>
      <c r="AA3" s="5">
        <v>2</v>
      </c>
      <c r="AB3" t="s">
        <v>45</v>
      </c>
      <c r="AC3">
        <v>70.8</v>
      </c>
      <c r="AD3">
        <v>71.099999999999994</v>
      </c>
      <c r="AE3">
        <v>70.8</v>
      </c>
      <c r="AF3" s="4">
        <f t="shared" ref="AF3:AF7" si="0">AVERAGE(AC3:AE3)</f>
        <v>70.899999999999991</v>
      </c>
      <c r="AG3">
        <v>20.3</v>
      </c>
      <c r="AH3">
        <v>5.69</v>
      </c>
      <c r="AI3">
        <v>5.67</v>
      </c>
      <c r="AJ3">
        <v>5.66</v>
      </c>
      <c r="AK3" s="4">
        <f t="shared" ref="AK3:AK5" si="1">AVERAGE(AH3:AJ3)</f>
        <v>5.6733333333333329</v>
      </c>
      <c r="AL3" s="4">
        <v>6.4288268955651002</v>
      </c>
      <c r="AM3" s="4">
        <v>25.81225580917129</v>
      </c>
    </row>
    <row r="4" spans="1:39">
      <c r="A4">
        <v>4</v>
      </c>
      <c r="B4" t="s">
        <v>49</v>
      </c>
      <c r="C4" t="s">
        <v>39</v>
      </c>
      <c r="D4" t="s">
        <v>50</v>
      </c>
      <c r="E4" s="1">
        <v>45883</v>
      </c>
      <c r="F4" s="9"/>
      <c r="G4" s="9">
        <v>-0.1</v>
      </c>
      <c r="H4" s="8">
        <v>616.4</v>
      </c>
      <c r="I4">
        <v>0.33329999999999999</v>
      </c>
      <c r="J4">
        <v>1.96</v>
      </c>
      <c r="K4">
        <v>8.8000000000000007</v>
      </c>
      <c r="L4">
        <v>14.3</v>
      </c>
      <c r="M4" s="3">
        <v>2</v>
      </c>
      <c r="N4" s="15">
        <f>4453*0.0185</f>
        <v>82.380499999999998</v>
      </c>
      <c r="O4">
        <v>42.7</v>
      </c>
      <c r="P4" t="s">
        <v>41</v>
      </c>
      <c r="Q4">
        <v>9</v>
      </c>
      <c r="R4" t="s">
        <v>51</v>
      </c>
      <c r="S4" t="s">
        <v>43</v>
      </c>
      <c r="T4" t="s">
        <v>44</v>
      </c>
      <c r="U4" s="7">
        <v>0.625</v>
      </c>
      <c r="V4">
        <v>242</v>
      </c>
      <c r="W4">
        <v>5.96</v>
      </c>
      <c r="X4">
        <v>19.5</v>
      </c>
      <c r="Y4">
        <v>41</v>
      </c>
      <c r="Z4">
        <v>14.9</v>
      </c>
      <c r="AA4" s="5">
        <v>1.5</v>
      </c>
      <c r="AB4" t="s">
        <v>52</v>
      </c>
      <c r="AC4">
        <v>60.6</v>
      </c>
      <c r="AD4">
        <v>60.9</v>
      </c>
      <c r="AE4">
        <v>60.7</v>
      </c>
      <c r="AF4" s="4">
        <f t="shared" si="0"/>
        <v>60.733333333333327</v>
      </c>
      <c r="AG4">
        <v>20.399999999999999</v>
      </c>
      <c r="AH4">
        <v>5.89</v>
      </c>
      <c r="AI4">
        <v>5.9</v>
      </c>
      <c r="AJ4">
        <v>5.91</v>
      </c>
      <c r="AK4" s="4">
        <f t="shared" si="1"/>
        <v>5.8999999999999995</v>
      </c>
      <c r="AL4" s="4">
        <v>9.485310360061856</v>
      </c>
      <c r="AM4" s="4">
        <v>32.323526555976315</v>
      </c>
    </row>
    <row r="5" spans="1:39">
      <c r="A5">
        <v>4</v>
      </c>
      <c r="B5" t="s">
        <v>53</v>
      </c>
      <c r="C5" t="s">
        <v>39</v>
      </c>
      <c r="D5" t="s">
        <v>54</v>
      </c>
      <c r="E5" s="1">
        <v>45883</v>
      </c>
      <c r="F5" s="9"/>
      <c r="G5" s="9">
        <v>0.2</v>
      </c>
      <c r="H5" s="8">
        <v>577.9</v>
      </c>
      <c r="I5">
        <v>0.33439999999999998</v>
      </c>
      <c r="J5">
        <v>1.958</v>
      </c>
      <c r="K5">
        <v>8.1</v>
      </c>
      <c r="L5">
        <v>14.3</v>
      </c>
      <c r="M5" s="3">
        <v>7</v>
      </c>
      <c r="N5" s="15">
        <f>3401*0.0185</f>
        <v>62.918499999999995</v>
      </c>
      <c r="O5">
        <v>41.3</v>
      </c>
      <c r="P5" t="s">
        <v>41</v>
      </c>
      <c r="Q5">
        <v>10</v>
      </c>
      <c r="R5" t="s">
        <v>51</v>
      </c>
      <c r="S5" t="s">
        <v>43</v>
      </c>
      <c r="T5" t="s">
        <v>44</v>
      </c>
      <c r="U5" s="7">
        <v>0.625</v>
      </c>
      <c r="V5">
        <v>250</v>
      </c>
      <c r="W5">
        <v>5.92</v>
      </c>
      <c r="X5">
        <v>19.7</v>
      </c>
      <c r="Y5">
        <v>25.45</v>
      </c>
      <c r="Z5">
        <v>14.6</v>
      </c>
      <c r="AA5" s="5">
        <v>2</v>
      </c>
      <c r="AB5" t="s">
        <v>45</v>
      </c>
      <c r="AC5">
        <v>81.7</v>
      </c>
      <c r="AD5">
        <v>80.400000000000006</v>
      </c>
      <c r="AE5">
        <v>80.2</v>
      </c>
      <c r="AF5" s="4">
        <f t="shared" si="0"/>
        <v>80.766666666666666</v>
      </c>
      <c r="AG5">
        <v>20.6</v>
      </c>
      <c r="AH5">
        <v>5.69</v>
      </c>
      <c r="AI5">
        <v>5.69</v>
      </c>
      <c r="AJ5">
        <v>5.68</v>
      </c>
      <c r="AK5" s="4">
        <f t="shared" si="1"/>
        <v>5.6866666666666674</v>
      </c>
      <c r="AL5" s="17">
        <v>48.457256289647439</v>
      </c>
      <c r="AM5" s="17">
        <v>-0.60704168352893595</v>
      </c>
    </row>
    <row r="6" spans="1:39">
      <c r="A6">
        <v>4</v>
      </c>
      <c r="B6" t="s">
        <v>55</v>
      </c>
      <c r="C6" t="s">
        <v>39</v>
      </c>
      <c r="D6" t="s">
        <v>56</v>
      </c>
      <c r="E6" s="1">
        <v>45883</v>
      </c>
      <c r="F6" s="9"/>
      <c r="G6" s="9">
        <v>0.26</v>
      </c>
      <c r="H6" s="8">
        <v>698.1</v>
      </c>
      <c r="I6">
        <v>0.3357</v>
      </c>
      <c r="J6">
        <v>1.962</v>
      </c>
      <c r="K6">
        <v>8.6</v>
      </c>
      <c r="L6">
        <v>14.3</v>
      </c>
      <c r="M6" s="3">
        <v>2</v>
      </c>
      <c r="N6" s="15">
        <f>3042*0.0185</f>
        <v>56.276999999999994</v>
      </c>
      <c r="O6">
        <v>43.6</v>
      </c>
      <c r="P6" t="s">
        <v>41</v>
      </c>
      <c r="Q6">
        <v>11</v>
      </c>
      <c r="R6" t="s">
        <v>51</v>
      </c>
      <c r="S6" t="s">
        <v>43</v>
      </c>
      <c r="T6" t="s">
        <v>44</v>
      </c>
      <c r="U6" s="7">
        <v>0.625</v>
      </c>
      <c r="V6">
        <v>262</v>
      </c>
      <c r="W6">
        <v>5.89</v>
      </c>
      <c r="X6">
        <v>19.8</v>
      </c>
      <c r="Y6">
        <v>31.9</v>
      </c>
      <c r="Z6">
        <v>15.6</v>
      </c>
      <c r="AA6" s="5">
        <v>2</v>
      </c>
      <c r="AB6" t="s">
        <v>52</v>
      </c>
      <c r="AC6">
        <v>85.7</v>
      </c>
      <c r="AD6">
        <v>85.8</v>
      </c>
      <c r="AE6">
        <v>85.9</v>
      </c>
      <c r="AF6" s="4">
        <f t="shared" si="0"/>
        <v>85.8</v>
      </c>
      <c r="AG6">
        <v>20.6</v>
      </c>
      <c r="AH6">
        <v>5.56</v>
      </c>
      <c r="AI6">
        <v>5.56</v>
      </c>
      <c r="AJ6">
        <v>5.55</v>
      </c>
      <c r="AK6" s="4">
        <f>AVERAGE(AH6:AJ6)</f>
        <v>5.5566666666666658</v>
      </c>
      <c r="AL6" s="4">
        <v>11.546714349575332</v>
      </c>
      <c r="AM6" s="4">
        <v>30.501365587202489</v>
      </c>
    </row>
    <row r="7" spans="1:39">
      <c r="A7">
        <v>4</v>
      </c>
      <c r="B7" t="s">
        <v>57</v>
      </c>
      <c r="C7" t="s">
        <v>39</v>
      </c>
      <c r="D7" t="s">
        <v>58</v>
      </c>
      <c r="E7" s="1">
        <v>45883</v>
      </c>
      <c r="F7" s="9"/>
      <c r="G7" s="9">
        <v>0.18</v>
      </c>
      <c r="H7" s="8">
        <v>626</v>
      </c>
      <c r="I7">
        <v>0.33460000000000001</v>
      </c>
      <c r="J7">
        <v>1.9490000000000001</v>
      </c>
      <c r="K7">
        <v>8.9</v>
      </c>
      <c r="L7">
        <v>14.3</v>
      </c>
      <c r="M7" s="3">
        <v>4</v>
      </c>
      <c r="N7" s="15">
        <f>4508*0.0185</f>
        <v>83.397999999999996</v>
      </c>
      <c r="O7">
        <v>43.5</v>
      </c>
      <c r="P7" t="s">
        <v>41</v>
      </c>
      <c r="Q7">
        <v>12</v>
      </c>
      <c r="R7" t="s">
        <v>51</v>
      </c>
      <c r="S7" t="s">
        <v>43</v>
      </c>
      <c r="T7" t="s">
        <v>44</v>
      </c>
      <c r="U7" s="7">
        <v>0.625</v>
      </c>
      <c r="V7">
        <v>214</v>
      </c>
      <c r="W7">
        <v>6.45</v>
      </c>
      <c r="X7">
        <v>19.8</v>
      </c>
      <c r="Y7">
        <v>30.1</v>
      </c>
      <c r="Z7">
        <v>16.100000000000001</v>
      </c>
      <c r="AA7" s="5">
        <v>1.5</v>
      </c>
      <c r="AB7" t="s">
        <v>45</v>
      </c>
      <c r="AC7">
        <v>62</v>
      </c>
      <c r="AD7">
        <v>62</v>
      </c>
      <c r="AE7">
        <v>62.7</v>
      </c>
      <c r="AF7" s="4">
        <f t="shared" si="0"/>
        <v>62.233333333333327</v>
      </c>
      <c r="AG7">
        <v>20.6</v>
      </c>
      <c r="AH7">
        <v>5.69</v>
      </c>
      <c r="AI7">
        <v>5.7</v>
      </c>
      <c r="AJ7">
        <v>5.71</v>
      </c>
      <c r="AK7" s="4">
        <f>AVERAGE(AH7:AJ7)</f>
        <v>5.7</v>
      </c>
      <c r="AL7" s="4">
        <v>8.7211383568999512</v>
      </c>
      <c r="AM7" s="4">
        <v>34.500866460116583</v>
      </c>
    </row>
    <row r="8" spans="1:39" ht="16">
      <c r="A8">
        <v>4</v>
      </c>
      <c r="B8" t="s">
        <v>59</v>
      </c>
      <c r="C8" t="s">
        <v>60</v>
      </c>
      <c r="D8" t="s">
        <v>61</v>
      </c>
      <c r="E8" s="1">
        <v>45883</v>
      </c>
      <c r="F8" s="13">
        <v>0</v>
      </c>
      <c r="G8">
        <v>0.02</v>
      </c>
      <c r="H8">
        <v>1848</v>
      </c>
      <c r="I8">
        <v>0.39179999999999998</v>
      </c>
      <c r="J8">
        <v>1.9430000000000001</v>
      </c>
      <c r="K8" s="5">
        <f>(11.6+11.7)/2</f>
        <v>11.649999999999999</v>
      </c>
      <c r="M8">
        <v>42.78</v>
      </c>
      <c r="N8" s="4">
        <f>(8.02+15.89)/2</f>
        <v>11.955</v>
      </c>
      <c r="O8">
        <f>(42.9+43.3)/2</f>
        <v>43.099999999999994</v>
      </c>
      <c r="P8" t="s">
        <v>41</v>
      </c>
      <c r="Q8">
        <v>1</v>
      </c>
      <c r="R8" t="s">
        <v>62</v>
      </c>
      <c r="S8" t="s">
        <v>63</v>
      </c>
      <c r="T8" t="s">
        <v>64</v>
      </c>
      <c r="U8" s="7">
        <v>0.625</v>
      </c>
      <c r="V8">
        <v>110</v>
      </c>
      <c r="W8">
        <v>6.5</v>
      </c>
      <c r="X8">
        <v>18.8</v>
      </c>
      <c r="Y8">
        <v>61.97</v>
      </c>
      <c r="Z8">
        <v>11.63</v>
      </c>
      <c r="AA8" s="5">
        <v>2.5</v>
      </c>
      <c r="AB8" t="s">
        <v>65</v>
      </c>
      <c r="AC8">
        <v>151.4</v>
      </c>
      <c r="AD8">
        <v>152.5</v>
      </c>
      <c r="AE8">
        <v>152.6</v>
      </c>
      <c r="AF8">
        <v>152.19999999999999</v>
      </c>
      <c r="AG8">
        <v>20.3</v>
      </c>
      <c r="AH8">
        <v>6.32</v>
      </c>
      <c r="AI8">
        <v>6.33</v>
      </c>
      <c r="AJ8">
        <v>6.35</v>
      </c>
      <c r="AK8">
        <v>6.33</v>
      </c>
      <c r="AL8" s="4">
        <v>13.174528301886795</v>
      </c>
      <c r="AM8" s="4">
        <v>38.263766003955453</v>
      </c>
    </row>
    <row r="9" spans="1:39">
      <c r="A9">
        <v>4</v>
      </c>
      <c r="B9" t="s">
        <v>66</v>
      </c>
      <c r="C9" t="s">
        <v>60</v>
      </c>
      <c r="D9" t="s">
        <v>67</v>
      </c>
      <c r="E9" s="1">
        <v>45883</v>
      </c>
      <c r="F9">
        <v>0.27</v>
      </c>
      <c r="G9">
        <v>0.27</v>
      </c>
      <c r="H9">
        <v>2600</v>
      </c>
      <c r="I9">
        <v>0.40139999999999998</v>
      </c>
      <c r="J9">
        <v>1.905</v>
      </c>
      <c r="K9" s="5">
        <f>(11.7+11.7)/2</f>
        <v>11.7</v>
      </c>
      <c r="M9">
        <v>38.19</v>
      </c>
      <c r="N9" s="4">
        <f>(11.21+9.5)/2</f>
        <v>10.355</v>
      </c>
      <c r="O9">
        <f>(36.6+34.6)/2</f>
        <v>35.6</v>
      </c>
      <c r="P9" t="s">
        <v>41</v>
      </c>
      <c r="Q9">
        <v>2</v>
      </c>
      <c r="R9" t="s">
        <v>62</v>
      </c>
      <c r="S9" t="s">
        <v>63</v>
      </c>
      <c r="T9" t="s">
        <v>64</v>
      </c>
      <c r="U9" s="7">
        <v>0.625</v>
      </c>
      <c r="V9">
        <v>100</v>
      </c>
      <c r="W9">
        <v>6.83</v>
      </c>
      <c r="X9">
        <v>18.5</v>
      </c>
      <c r="Y9">
        <v>67.736999999999995</v>
      </c>
      <c r="Z9">
        <v>10.77</v>
      </c>
      <c r="AA9" s="5">
        <v>1.5</v>
      </c>
      <c r="AB9" t="s">
        <v>68</v>
      </c>
      <c r="AC9">
        <v>87.9</v>
      </c>
      <c r="AD9">
        <v>87.8</v>
      </c>
      <c r="AE9">
        <v>87.7</v>
      </c>
      <c r="AF9">
        <v>87.8</v>
      </c>
      <c r="AG9">
        <v>20.100000000000001</v>
      </c>
      <c r="AH9">
        <v>6.62</v>
      </c>
      <c r="AI9">
        <v>6.64</v>
      </c>
      <c r="AJ9">
        <v>6.67</v>
      </c>
      <c r="AK9">
        <v>6.64</v>
      </c>
      <c r="AL9" s="4">
        <v>10.162827273568324</v>
      </c>
      <c r="AM9" s="4">
        <v>29.046699024551152</v>
      </c>
    </row>
    <row r="10" spans="1:39">
      <c r="A10">
        <v>4</v>
      </c>
      <c r="B10" t="s">
        <v>69</v>
      </c>
      <c r="C10" t="s">
        <v>60</v>
      </c>
      <c r="D10" t="s">
        <v>70</v>
      </c>
      <c r="E10" s="1">
        <v>45883</v>
      </c>
      <c r="F10">
        <v>7.0000000000000007E-2</v>
      </c>
      <c r="G10">
        <v>-0.1</v>
      </c>
      <c r="H10">
        <v>2945</v>
      </c>
      <c r="I10">
        <v>0.39989999999999998</v>
      </c>
      <c r="J10">
        <v>1.889</v>
      </c>
      <c r="K10" s="5">
        <f>(12.3+12.4)/2</f>
        <v>12.350000000000001</v>
      </c>
      <c r="M10">
        <v>23.72</v>
      </c>
      <c r="N10" s="4">
        <f>(21.23+29.45)/2</f>
        <v>25.34</v>
      </c>
      <c r="O10">
        <f>(41.3+37.9)/2</f>
        <v>39.599999999999994</v>
      </c>
      <c r="P10" t="s">
        <v>41</v>
      </c>
      <c r="Q10">
        <v>3</v>
      </c>
      <c r="R10" t="s">
        <v>62</v>
      </c>
      <c r="S10" t="s">
        <v>63</v>
      </c>
      <c r="T10" t="s">
        <v>64</v>
      </c>
      <c r="U10" s="7">
        <v>0.625</v>
      </c>
      <c r="V10">
        <v>115</v>
      </c>
      <c r="W10">
        <v>6.77</v>
      </c>
      <c r="X10">
        <v>18.5</v>
      </c>
      <c r="Y10">
        <v>71.069999999999993</v>
      </c>
      <c r="Z10">
        <v>10.97</v>
      </c>
      <c r="AA10" s="5">
        <v>2</v>
      </c>
      <c r="AB10" t="s">
        <v>71</v>
      </c>
      <c r="AC10">
        <v>90</v>
      </c>
      <c r="AD10">
        <v>90.3</v>
      </c>
      <c r="AE10">
        <v>90.4</v>
      </c>
      <c r="AF10">
        <v>90.2</v>
      </c>
      <c r="AG10">
        <v>19.899999999999999</v>
      </c>
      <c r="AH10">
        <v>6.97</v>
      </c>
      <c r="AI10">
        <v>6.97</v>
      </c>
      <c r="AJ10">
        <v>6.94</v>
      </c>
      <c r="AK10">
        <v>6.96</v>
      </c>
      <c r="AL10" s="4">
        <v>14.179730624861996</v>
      </c>
      <c r="AM10" s="4">
        <v>40.1974096511385</v>
      </c>
    </row>
    <row r="11" spans="1:39">
      <c r="A11">
        <v>4</v>
      </c>
      <c r="B11" t="s">
        <v>72</v>
      </c>
      <c r="C11" t="s">
        <v>73</v>
      </c>
      <c r="D11" t="s">
        <v>74</v>
      </c>
      <c r="E11" s="1">
        <v>45883</v>
      </c>
      <c r="F11">
        <v>-0.09</v>
      </c>
      <c r="H11">
        <v>1104</v>
      </c>
      <c r="I11">
        <v>0.33789999999999998</v>
      </c>
      <c r="J11">
        <v>2.0379999999999998</v>
      </c>
      <c r="K11" s="5">
        <f>(10.8+11)/2</f>
        <v>10.9</v>
      </c>
      <c r="M11">
        <v>47.81</v>
      </c>
      <c r="N11" s="4">
        <f>(11.8+8.2)/2</f>
        <v>10</v>
      </c>
      <c r="O11">
        <f>(43.5+39.2)/2</f>
        <v>41.35</v>
      </c>
      <c r="P11" t="s">
        <v>41</v>
      </c>
      <c r="Q11">
        <v>4</v>
      </c>
      <c r="R11" t="s">
        <v>62</v>
      </c>
      <c r="S11" t="s">
        <v>75</v>
      </c>
      <c r="T11" t="s">
        <v>64</v>
      </c>
      <c r="U11" s="7">
        <v>0.625</v>
      </c>
      <c r="V11">
        <v>80</v>
      </c>
      <c r="W11">
        <v>6.38</v>
      </c>
      <c r="X11">
        <v>19</v>
      </c>
      <c r="Y11">
        <v>127.5</v>
      </c>
      <c r="Z11">
        <v>15.03</v>
      </c>
      <c r="AA11" s="5">
        <v>2</v>
      </c>
      <c r="AB11" t="s">
        <v>76</v>
      </c>
      <c r="AC11">
        <v>56.1</v>
      </c>
      <c r="AD11">
        <v>56.1</v>
      </c>
      <c r="AE11">
        <v>55.9</v>
      </c>
      <c r="AF11">
        <v>56.1</v>
      </c>
      <c r="AG11">
        <v>20.2</v>
      </c>
      <c r="AH11">
        <v>6.7</v>
      </c>
      <c r="AI11">
        <v>6.5</v>
      </c>
      <c r="AJ11">
        <v>6.49</v>
      </c>
      <c r="AK11">
        <v>6.56</v>
      </c>
      <c r="AL11" s="4">
        <v>15.817473056638388</v>
      </c>
      <c r="AM11" s="4">
        <v>39.002721717249528</v>
      </c>
    </row>
    <row r="12" spans="1:39">
      <c r="A12">
        <v>4</v>
      </c>
      <c r="B12" t="s">
        <v>77</v>
      </c>
      <c r="C12" t="s">
        <v>73</v>
      </c>
      <c r="D12" t="s">
        <v>78</v>
      </c>
      <c r="E12" s="1">
        <v>45883</v>
      </c>
      <c r="F12">
        <v>0.1</v>
      </c>
      <c r="H12">
        <v>1351</v>
      </c>
      <c r="I12">
        <v>0.34300000000000003</v>
      </c>
      <c r="J12">
        <v>1.984</v>
      </c>
      <c r="K12" s="5">
        <f>(11.8+11.9)/2</f>
        <v>11.850000000000001</v>
      </c>
      <c r="M12">
        <v>43.28</v>
      </c>
      <c r="N12" s="4">
        <f>(7.7+6.03)/2</f>
        <v>6.8650000000000002</v>
      </c>
      <c r="O12">
        <f>(30.8+22.1)/2</f>
        <v>26.450000000000003</v>
      </c>
      <c r="P12" t="s">
        <v>41</v>
      </c>
      <c r="Q12">
        <v>5</v>
      </c>
      <c r="R12" t="s">
        <v>51</v>
      </c>
      <c r="S12" t="s">
        <v>75</v>
      </c>
      <c r="T12" t="s">
        <v>64</v>
      </c>
      <c r="U12" s="7">
        <v>0.625</v>
      </c>
      <c r="V12">
        <v>60</v>
      </c>
      <c r="W12">
        <v>6.12</v>
      </c>
      <c r="X12">
        <v>16.2</v>
      </c>
      <c r="Y12">
        <v>161.80000000000001</v>
      </c>
      <c r="Z12">
        <v>12.6</v>
      </c>
      <c r="AA12" s="5">
        <v>2.5</v>
      </c>
      <c r="AB12" t="s">
        <v>79</v>
      </c>
      <c r="AC12">
        <v>78.900000000000006</v>
      </c>
      <c r="AD12">
        <v>79.099999999999994</v>
      </c>
      <c r="AE12">
        <v>79</v>
      </c>
      <c r="AF12">
        <v>79</v>
      </c>
      <c r="AG12">
        <v>20.5</v>
      </c>
      <c r="AH12">
        <v>6.63</v>
      </c>
      <c r="AI12">
        <v>6.63</v>
      </c>
      <c r="AJ12">
        <v>6.63</v>
      </c>
      <c r="AK12">
        <v>6.63</v>
      </c>
      <c r="AL12" s="4">
        <v>12.250201630970512</v>
      </c>
      <c r="AM12" s="4">
        <v>27.978242921664798</v>
      </c>
    </row>
    <row r="13" spans="1:39">
      <c r="A13">
        <v>4</v>
      </c>
      <c r="B13" t="s">
        <v>80</v>
      </c>
      <c r="C13" t="s">
        <v>73</v>
      </c>
      <c r="D13" t="s">
        <v>81</v>
      </c>
      <c r="E13" s="1">
        <v>45883</v>
      </c>
      <c r="F13">
        <v>-0.09</v>
      </c>
      <c r="G13">
        <v>-0.08</v>
      </c>
      <c r="H13">
        <v>1106</v>
      </c>
      <c r="I13">
        <v>0.3528</v>
      </c>
      <c r="J13">
        <v>1.998</v>
      </c>
      <c r="K13" s="5">
        <f>(11.8+11.7)/2</f>
        <v>11.75</v>
      </c>
      <c r="M13">
        <v>3.31</v>
      </c>
      <c r="N13" s="4">
        <f>(83+47.5)/2</f>
        <v>65.25</v>
      </c>
      <c r="O13">
        <f>(34.8+41.5)/2</f>
        <v>38.15</v>
      </c>
      <c r="P13" t="s">
        <v>41</v>
      </c>
      <c r="Q13">
        <v>6</v>
      </c>
      <c r="R13" t="s">
        <v>62</v>
      </c>
      <c r="S13" t="s">
        <v>75</v>
      </c>
      <c r="T13" t="s">
        <v>64</v>
      </c>
      <c r="U13" s="7">
        <v>0.625</v>
      </c>
      <c r="V13">
        <v>1</v>
      </c>
      <c r="W13">
        <v>0</v>
      </c>
      <c r="X13">
        <v>0</v>
      </c>
      <c r="Y13">
        <v>0</v>
      </c>
      <c r="Z13">
        <v>0</v>
      </c>
      <c r="AA13" s="5">
        <v>2.5</v>
      </c>
      <c r="AB13" t="s">
        <v>82</v>
      </c>
      <c r="AC13">
        <v>46.6</v>
      </c>
      <c r="AD13">
        <v>46.5</v>
      </c>
      <c r="AE13">
        <v>46.5</v>
      </c>
      <c r="AF13">
        <v>46.5</v>
      </c>
      <c r="AG13">
        <v>20.399999999999999</v>
      </c>
      <c r="AH13">
        <v>6.46</v>
      </c>
      <c r="AI13">
        <v>6.46</v>
      </c>
      <c r="AJ13">
        <v>6.46</v>
      </c>
      <c r="AK13">
        <v>6.46</v>
      </c>
      <c r="AL13" s="4">
        <v>12.128200301204821</v>
      </c>
      <c r="AM13" s="4">
        <v>38.806720998088345</v>
      </c>
    </row>
    <row r="14" spans="1:39">
      <c r="E14" s="1"/>
      <c r="K14" s="5"/>
      <c r="N14" s="4"/>
    </row>
    <row r="15" spans="1:39">
      <c r="A15">
        <v>5</v>
      </c>
      <c r="B15" t="s">
        <v>38</v>
      </c>
      <c r="C15" t="s">
        <v>39</v>
      </c>
      <c r="D15" t="s">
        <v>83</v>
      </c>
      <c r="E15" s="1">
        <v>45890</v>
      </c>
      <c r="F15">
        <v>0.04</v>
      </c>
      <c r="H15" s="3">
        <v>720.3</v>
      </c>
      <c r="I15" s="3">
        <v>0.3357</v>
      </c>
      <c r="J15" s="3">
        <v>1.9730000000000001</v>
      </c>
      <c r="K15" s="5">
        <v>8.6</v>
      </c>
      <c r="M15">
        <v>0</v>
      </c>
      <c r="N15" s="4">
        <v>11.67</v>
      </c>
      <c r="O15">
        <v>44.5</v>
      </c>
      <c r="P15" t="s">
        <v>84</v>
      </c>
    </row>
    <row r="16" spans="1:39">
      <c r="A16">
        <v>5</v>
      </c>
      <c r="B16" t="s">
        <v>46</v>
      </c>
      <c r="C16" t="s">
        <v>39</v>
      </c>
      <c r="D16" t="s">
        <v>85</v>
      </c>
      <c r="E16" s="1">
        <v>45890</v>
      </c>
      <c r="F16">
        <v>-0.01</v>
      </c>
      <c r="H16" s="3">
        <v>650.5</v>
      </c>
      <c r="I16" s="3">
        <v>0.3362</v>
      </c>
      <c r="J16" s="3">
        <v>1.972</v>
      </c>
      <c r="K16" s="5">
        <v>8.6999999999999993</v>
      </c>
      <c r="L16" s="5"/>
      <c r="M16">
        <v>0</v>
      </c>
      <c r="N16" s="4">
        <v>14.38</v>
      </c>
      <c r="O16">
        <v>45.2</v>
      </c>
      <c r="P16" t="s">
        <v>84</v>
      </c>
    </row>
    <row r="17" spans="1:26">
      <c r="A17">
        <v>5</v>
      </c>
      <c r="B17" t="s">
        <v>49</v>
      </c>
      <c r="C17" t="s">
        <v>39</v>
      </c>
      <c r="D17" t="s">
        <v>86</v>
      </c>
      <c r="E17" s="1">
        <v>45890</v>
      </c>
      <c r="F17">
        <v>-0.08</v>
      </c>
      <c r="H17" s="3">
        <v>876.3</v>
      </c>
      <c r="I17" s="3">
        <v>0.33350000000000002</v>
      </c>
      <c r="J17" s="3">
        <v>1.9910000000000001</v>
      </c>
      <c r="K17" s="5">
        <v>9.1300000000000008</v>
      </c>
      <c r="L17" s="5"/>
      <c r="M17">
        <v>0</v>
      </c>
      <c r="N17" s="4">
        <v>15.34</v>
      </c>
      <c r="O17">
        <v>44.6</v>
      </c>
      <c r="P17" t="s">
        <v>84</v>
      </c>
      <c r="Q17" s="16" t="s">
        <v>87</v>
      </c>
      <c r="R17" t="s">
        <v>88</v>
      </c>
      <c r="S17" t="s">
        <v>43</v>
      </c>
      <c r="T17" t="s">
        <v>44</v>
      </c>
      <c r="U17" s="7">
        <v>0.41666666666666669</v>
      </c>
      <c r="V17">
        <v>40</v>
      </c>
      <c r="W17">
        <v>5.99</v>
      </c>
      <c r="X17">
        <v>14.7</v>
      </c>
      <c r="Y17">
        <v>75.3</v>
      </c>
      <c r="Z17">
        <v>19</v>
      </c>
    </row>
    <row r="18" spans="1:26">
      <c r="A18">
        <v>5</v>
      </c>
      <c r="B18" t="s">
        <v>53</v>
      </c>
      <c r="C18" t="s">
        <v>39</v>
      </c>
      <c r="D18" t="s">
        <v>89</v>
      </c>
      <c r="E18" s="1">
        <v>45890</v>
      </c>
      <c r="F18">
        <v>0.06</v>
      </c>
      <c r="H18" s="3">
        <v>1293</v>
      </c>
      <c r="I18" s="3">
        <v>0.34150000000000003</v>
      </c>
      <c r="J18" s="3">
        <v>1.9610000000000001</v>
      </c>
      <c r="K18" s="5">
        <v>8.1999999999999993</v>
      </c>
      <c r="L18" s="5"/>
      <c r="M18">
        <v>0</v>
      </c>
      <c r="N18" s="4">
        <v>10.36</v>
      </c>
      <c r="O18">
        <v>43.9</v>
      </c>
      <c r="P18" t="s">
        <v>84</v>
      </c>
      <c r="Q18" s="16" t="s">
        <v>90</v>
      </c>
      <c r="R18" t="s">
        <v>88</v>
      </c>
      <c r="S18" t="s">
        <v>43</v>
      </c>
      <c r="T18" t="s">
        <v>44</v>
      </c>
      <c r="U18" s="7">
        <v>0.41666666666666669</v>
      </c>
      <c r="V18">
        <v>20</v>
      </c>
      <c r="W18">
        <v>6.22</v>
      </c>
      <c r="X18">
        <v>16.3</v>
      </c>
      <c r="Y18">
        <v>49.9</v>
      </c>
      <c r="Z18">
        <v>18.600000000000001</v>
      </c>
    </row>
    <row r="19" spans="1:26">
      <c r="A19">
        <v>5</v>
      </c>
      <c r="B19" t="s">
        <v>55</v>
      </c>
      <c r="C19" t="s">
        <v>39</v>
      </c>
      <c r="D19" t="s">
        <v>91</v>
      </c>
      <c r="E19" s="1">
        <v>45890</v>
      </c>
      <c r="F19">
        <v>0.13</v>
      </c>
      <c r="H19" s="3">
        <v>1181</v>
      </c>
      <c r="I19" s="3">
        <v>0.33979999999999999</v>
      </c>
      <c r="J19" s="3">
        <v>1.9770000000000001</v>
      </c>
      <c r="K19" s="5">
        <v>9</v>
      </c>
      <c r="L19" s="5"/>
      <c r="M19">
        <v>0</v>
      </c>
      <c r="N19" s="4">
        <v>12.19</v>
      </c>
      <c r="O19">
        <v>45.5</v>
      </c>
      <c r="P19" t="s">
        <v>84</v>
      </c>
      <c r="Q19" s="16" t="s">
        <v>92</v>
      </c>
      <c r="R19" t="s">
        <v>88</v>
      </c>
      <c r="S19" t="s">
        <v>43</v>
      </c>
      <c r="T19" t="s">
        <v>44</v>
      </c>
      <c r="U19" s="7">
        <v>0.41666666666666669</v>
      </c>
      <c r="V19">
        <v>46</v>
      </c>
      <c r="W19">
        <v>6.3</v>
      </c>
      <c r="X19">
        <v>16</v>
      </c>
      <c r="Y19">
        <v>55.3</v>
      </c>
      <c r="Z19">
        <v>18.399999999999999</v>
      </c>
    </row>
    <row r="20" spans="1:26" ht="16">
      <c r="A20">
        <v>5</v>
      </c>
      <c r="B20" t="s">
        <v>57</v>
      </c>
      <c r="C20" t="s">
        <v>39</v>
      </c>
      <c r="D20" t="s">
        <v>93</v>
      </c>
      <c r="E20" s="1">
        <v>45890</v>
      </c>
      <c r="F20">
        <v>0.22</v>
      </c>
      <c r="H20" s="3">
        <v>1123</v>
      </c>
      <c r="I20" s="3">
        <v>0.33950000000000002</v>
      </c>
      <c r="J20" s="3">
        <v>1.9670000000000001</v>
      </c>
      <c r="K20" s="14">
        <v>9</v>
      </c>
      <c r="L20" s="5"/>
      <c r="M20">
        <v>0</v>
      </c>
      <c r="N20" s="4">
        <v>23.38</v>
      </c>
      <c r="O20">
        <v>45.4</v>
      </c>
      <c r="P20" t="s">
        <v>84</v>
      </c>
      <c r="Q20" s="16" t="s">
        <v>94</v>
      </c>
      <c r="R20" t="s">
        <v>88</v>
      </c>
      <c r="S20" t="s">
        <v>43</v>
      </c>
      <c r="T20" t="s">
        <v>44</v>
      </c>
      <c r="U20" s="7">
        <v>0.41666666666666669</v>
      </c>
      <c r="V20">
        <v>24</v>
      </c>
      <c r="W20">
        <v>6.53</v>
      </c>
      <c r="X20">
        <v>17.100000000000001</v>
      </c>
      <c r="Y20">
        <v>49.5</v>
      </c>
      <c r="Z20">
        <v>18.8</v>
      </c>
    </row>
    <row r="21" spans="1:26">
      <c r="A21">
        <v>5</v>
      </c>
      <c r="B21" t="s">
        <v>59</v>
      </c>
      <c r="C21" t="s">
        <v>60</v>
      </c>
      <c r="D21" t="s">
        <v>95</v>
      </c>
      <c r="E21" s="1">
        <v>45890</v>
      </c>
      <c r="F21" s="9">
        <v>0.43</v>
      </c>
      <c r="H21">
        <v>1293</v>
      </c>
      <c r="I21">
        <v>0.4113</v>
      </c>
      <c r="J21">
        <v>1.9690000000000001</v>
      </c>
      <c r="K21" s="3">
        <v>10.3</v>
      </c>
      <c r="L21" s="3">
        <v>12.8</v>
      </c>
      <c r="M21">
        <v>73</v>
      </c>
      <c r="N21" s="15">
        <f>210.6*0.0185</f>
        <v>3.8960999999999997</v>
      </c>
      <c r="O21">
        <v>47.2</v>
      </c>
      <c r="P21" t="s">
        <v>84</v>
      </c>
    </row>
    <row r="22" spans="1:26">
      <c r="A22">
        <v>5</v>
      </c>
      <c r="B22" t="s">
        <v>66</v>
      </c>
      <c r="C22" t="s">
        <v>60</v>
      </c>
      <c r="D22" t="s">
        <v>96</v>
      </c>
      <c r="E22" s="1">
        <v>45890</v>
      </c>
      <c r="F22" s="9">
        <v>0.86</v>
      </c>
      <c r="H22">
        <v>3273</v>
      </c>
      <c r="I22">
        <v>0.47820000000000001</v>
      </c>
      <c r="J22">
        <v>1.891</v>
      </c>
      <c r="K22" s="3">
        <v>10.4</v>
      </c>
      <c r="L22" s="3">
        <v>11.8</v>
      </c>
      <c r="M22">
        <v>73</v>
      </c>
      <c r="N22" s="15">
        <f>300.9*0.0185</f>
        <v>5.5666499999999992</v>
      </c>
      <c r="O22">
        <v>44.2</v>
      </c>
      <c r="P22" t="s">
        <v>84</v>
      </c>
    </row>
    <row r="23" spans="1:26" ht="16">
      <c r="A23">
        <v>5</v>
      </c>
      <c r="B23" t="s">
        <v>69</v>
      </c>
      <c r="C23" t="s">
        <v>60</v>
      </c>
      <c r="D23" t="s">
        <v>97</v>
      </c>
      <c r="E23" s="1">
        <v>45890</v>
      </c>
      <c r="F23" s="9">
        <v>1.1599999999999999</v>
      </c>
      <c r="H23">
        <v>1359</v>
      </c>
      <c r="I23">
        <v>0.37519999999999998</v>
      </c>
      <c r="J23">
        <v>1.956</v>
      </c>
      <c r="K23" s="3">
        <v>10.9</v>
      </c>
      <c r="L23" s="3">
        <v>13.9</v>
      </c>
      <c r="M23" s="14">
        <v>65</v>
      </c>
      <c r="N23" s="15">
        <f>7113*0.0185</f>
        <v>131.59049999999999</v>
      </c>
      <c r="O23">
        <v>41.4</v>
      </c>
      <c r="P23" t="s">
        <v>84</v>
      </c>
    </row>
    <row r="24" spans="1:26" ht="16">
      <c r="A24">
        <v>5</v>
      </c>
      <c r="B24" t="s">
        <v>72</v>
      </c>
      <c r="C24" t="s">
        <v>73</v>
      </c>
      <c r="D24" t="s">
        <v>98</v>
      </c>
      <c r="E24" s="1">
        <v>45890</v>
      </c>
      <c r="F24" s="9">
        <v>0.24</v>
      </c>
      <c r="H24">
        <v>1289</v>
      </c>
      <c r="I24">
        <v>0.34610000000000002</v>
      </c>
      <c r="J24">
        <v>1.9330000000000001</v>
      </c>
      <c r="K24" s="3">
        <v>10.199999999999999</v>
      </c>
      <c r="L24" s="3">
        <v>9.9</v>
      </c>
      <c r="M24" s="14">
        <v>64</v>
      </c>
      <c r="N24" s="15">
        <f>123.7*0.0185</f>
        <v>2.2884500000000001</v>
      </c>
      <c r="O24">
        <v>28.7</v>
      </c>
      <c r="P24" t="s">
        <v>84</v>
      </c>
    </row>
    <row r="25" spans="1:26" ht="16">
      <c r="A25">
        <v>5</v>
      </c>
      <c r="B25" t="s">
        <v>77</v>
      </c>
      <c r="C25" t="s">
        <v>73</v>
      </c>
      <c r="D25" t="s">
        <v>99</v>
      </c>
      <c r="E25" s="1">
        <v>45890</v>
      </c>
      <c r="F25" s="9">
        <v>0.34</v>
      </c>
      <c r="H25">
        <v>1023</v>
      </c>
      <c r="I25">
        <v>0.34179999999999999</v>
      </c>
      <c r="J25">
        <v>1.95</v>
      </c>
      <c r="K25" s="3">
        <v>10.3</v>
      </c>
      <c r="L25" s="3">
        <v>12</v>
      </c>
      <c r="M25" s="14">
        <v>78</v>
      </c>
      <c r="N25" s="15">
        <f>359.6*0.0185</f>
        <v>6.6526000000000005</v>
      </c>
      <c r="O25">
        <v>16.899999999999999</v>
      </c>
      <c r="P25" t="s">
        <v>84</v>
      </c>
    </row>
    <row r="26" spans="1:26" ht="16">
      <c r="A26">
        <v>5</v>
      </c>
      <c r="B26" t="s">
        <v>80</v>
      </c>
      <c r="C26" t="s">
        <v>73</v>
      </c>
      <c r="D26" t="s">
        <v>100</v>
      </c>
      <c r="E26" s="1">
        <v>45890</v>
      </c>
      <c r="F26" s="9">
        <v>0.48</v>
      </c>
      <c r="H26">
        <v>1372</v>
      </c>
      <c r="I26">
        <v>0.53259999999999996</v>
      </c>
      <c r="J26">
        <v>1.9450000000000001</v>
      </c>
      <c r="K26" s="3">
        <v>10.5</v>
      </c>
      <c r="L26" s="3">
        <v>24.4</v>
      </c>
      <c r="M26" s="14">
        <v>41</v>
      </c>
      <c r="N26" s="15">
        <f>11827*0.0185</f>
        <v>218.79949999999999</v>
      </c>
      <c r="O26">
        <v>40.799999999999997</v>
      </c>
      <c r="P26" t="s">
        <v>84</v>
      </c>
    </row>
    <row r="27" spans="1:26" ht="16">
      <c r="E27" s="1"/>
      <c r="L27" s="14"/>
      <c r="M27" s="14"/>
      <c r="Q27">
        <v>13</v>
      </c>
      <c r="R27" t="s">
        <v>101</v>
      </c>
      <c r="S27" t="s">
        <v>102</v>
      </c>
      <c r="T27" t="s">
        <v>64</v>
      </c>
      <c r="U27" s="7">
        <v>0.52083333333333337</v>
      </c>
      <c r="V27">
        <v>115</v>
      </c>
      <c r="W27">
        <v>6.43</v>
      </c>
      <c r="X27">
        <v>12.6</v>
      </c>
      <c r="Y27">
        <v>180.4</v>
      </c>
      <c r="Z27">
        <v>12.6</v>
      </c>
    </row>
    <row r="28" spans="1:26" ht="16">
      <c r="M28" s="14"/>
      <c r="Q28">
        <v>14</v>
      </c>
      <c r="R28" t="s">
        <v>88</v>
      </c>
      <c r="S28" t="s">
        <v>103</v>
      </c>
      <c r="T28" t="s">
        <v>64</v>
      </c>
      <c r="U28" s="7">
        <v>0.41666666666666669</v>
      </c>
      <c r="V28">
        <v>36</v>
      </c>
      <c r="W28">
        <v>6.51</v>
      </c>
      <c r="X28">
        <v>17</v>
      </c>
      <c r="Y28">
        <v>170.1</v>
      </c>
      <c r="Z28">
        <v>18.899999999999999</v>
      </c>
    </row>
    <row r="29" spans="1:26">
      <c r="E29" s="1"/>
      <c r="U29" s="7"/>
    </row>
    <row r="30" spans="1:26">
      <c r="E30" s="1"/>
      <c r="U30" s="7"/>
    </row>
    <row r="31" spans="1:26">
      <c r="E31" s="1"/>
      <c r="U31" s="7"/>
    </row>
    <row r="32" spans="1:26">
      <c r="E32" s="1"/>
      <c r="U32" s="7"/>
    </row>
    <row r="33" spans="1:5">
      <c r="E33" s="1"/>
    </row>
    <row r="34" spans="1:5">
      <c r="E34" s="1"/>
    </row>
    <row r="35" spans="1:5">
      <c r="E35" s="1"/>
    </row>
    <row r="36" spans="1:5">
      <c r="E36" s="1"/>
    </row>
    <row r="37" spans="1:5">
      <c r="E37" s="1"/>
    </row>
    <row r="38" spans="1:5">
      <c r="E38" s="1"/>
    </row>
    <row r="39" spans="1:5">
      <c r="E39" s="1"/>
    </row>
    <row r="40" spans="1:5">
      <c r="E40" s="1"/>
    </row>
    <row r="42" spans="1:5">
      <c r="A42" s="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Luitgard Schwendenmann</dc:creator>
  <cp:keywords/>
  <dc:description/>
  <cp:lastModifiedBy>Yuehan Luo</cp:lastModifiedBy>
  <cp:revision/>
  <dcterms:created xsi:type="dcterms:W3CDTF">2025-08-13T20:57:14Z</dcterms:created>
  <dcterms:modified xsi:type="dcterms:W3CDTF">2025-09-07T03:54:51Z</dcterms:modified>
  <cp:category/>
  <cp:contentStatus/>
</cp:coreProperties>
</file>