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ython\Tool-test\Tools-test\"/>
    </mc:Choice>
  </mc:AlternateContent>
  <xr:revisionPtr revIDLastSave="0" documentId="13_ncr:1_{1CDBA404-EED3-4956-AA8D-0E3B78E28348}" xr6:coauthVersionLast="47" xr6:coauthVersionMax="47" xr10:uidLastSave="{00000000-0000-0000-0000-000000000000}"/>
  <bookViews>
    <workbookView xWindow="45972" yWindow="-108" windowWidth="23256" windowHeight="12576" activeTab="3" xr2:uid="{C5F9B5A0-B53A-4BB8-8E53-FE4DF8175A80}"/>
  </bookViews>
  <sheets>
    <sheet name="profile" sheetId="1" r:id="rId1"/>
    <sheet name="Cable" sheetId="2" r:id="rId2"/>
    <sheet name="OUT" sheetId="4" r:id="rId3"/>
    <sheet name="reference excel calc shee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C13" i="3"/>
  <c r="B13" i="3"/>
  <c r="H2" i="3"/>
  <c r="R52" i="3"/>
  <c r="Q52" i="3"/>
  <c r="G49" i="3"/>
  <c r="J40" i="3"/>
  <c r="Q34" i="3"/>
  <c r="Q33" i="3"/>
  <c r="Q32" i="3"/>
  <c r="Q31" i="3"/>
  <c r="Q30" i="3"/>
  <c r="Q29" i="3"/>
  <c r="Q28" i="3"/>
  <c r="Q27" i="3"/>
  <c r="Q26" i="3"/>
  <c r="Q25" i="3"/>
  <c r="B25" i="3"/>
  <c r="L9" i="3"/>
  <c r="K9" i="3"/>
  <c r="J9" i="3"/>
  <c r="F49" i="3" s="1"/>
  <c r="E5" i="3"/>
  <c r="H4" i="3"/>
  <c r="L28" i="3" s="1"/>
  <c r="E4" i="3"/>
  <c r="I40" i="3" s="1"/>
  <c r="H3" i="3"/>
  <c r="H5" i="3" s="1"/>
  <c r="M30" i="3" l="1"/>
  <c r="M25" i="3"/>
  <c r="M32" i="3"/>
  <c r="M27" i="3"/>
  <c r="M34" i="3"/>
  <c r="M28" i="3"/>
  <c r="M29" i="3"/>
  <c r="M31" i="3"/>
  <c r="M26" i="3"/>
  <c r="M33" i="3"/>
  <c r="B49" i="3"/>
  <c r="L26" i="3"/>
  <c r="L33" i="3"/>
  <c r="L31" i="3"/>
  <c r="B14" i="3"/>
  <c r="L29" i="3"/>
  <c r="L34" i="3"/>
  <c r="L27" i="3"/>
  <c r="L32" i="3"/>
  <c r="L30" i="3"/>
  <c r="L25" i="3"/>
  <c r="F13" i="3" l="1"/>
  <c r="C14" i="3"/>
  <c r="D13" i="3"/>
  <c r="B15" i="3"/>
  <c r="H13" i="3" l="1"/>
  <c r="G13" i="3"/>
  <c r="B16" i="3"/>
  <c r="C15" i="3"/>
  <c r="C16" i="3" l="1"/>
  <c r="B17" i="3"/>
  <c r="I13" i="3"/>
  <c r="J13" i="3"/>
  <c r="B18" i="3" l="1"/>
  <c r="K13" i="3"/>
  <c r="C17" i="3"/>
  <c r="C18" i="3" l="1"/>
  <c r="L13" i="3"/>
  <c r="O13" i="3" s="1"/>
  <c r="D14" i="3" s="1"/>
  <c r="M13" i="3"/>
  <c r="B19" i="3"/>
  <c r="E14" i="3" l="1"/>
  <c r="F14" i="3"/>
  <c r="B20" i="3"/>
  <c r="N13" i="3"/>
  <c r="C19" i="3"/>
  <c r="B21" i="3" l="1"/>
  <c r="C20" i="3"/>
  <c r="H14" i="3"/>
  <c r="G14" i="3"/>
  <c r="J14" i="3" l="1"/>
  <c r="I14" i="3"/>
  <c r="K14" i="3" s="1"/>
  <c r="L14" i="3"/>
  <c r="C21" i="3"/>
  <c r="B22" i="3"/>
  <c r="B37" i="3" l="1"/>
  <c r="C22" i="3"/>
  <c r="O14" i="3"/>
  <c r="D15" i="3" s="1"/>
  <c r="N14" i="3"/>
  <c r="M14" i="3"/>
  <c r="E15" i="3" l="1"/>
  <c r="F15" i="3"/>
  <c r="D37" i="3"/>
  <c r="B52" i="3" s="1"/>
  <c r="C37" i="3"/>
  <c r="A52" i="3"/>
  <c r="L49" i="3"/>
  <c r="D56" i="3" s="1"/>
  <c r="G15" i="3" l="1"/>
  <c r="H15" i="3"/>
  <c r="I15" i="3" l="1"/>
  <c r="J15" i="3"/>
  <c r="K15" i="3" l="1"/>
  <c r="M15" i="3" l="1"/>
  <c r="L15" i="3"/>
  <c r="O15" i="3" s="1"/>
  <c r="D16" i="3" s="1"/>
  <c r="E16" i="3" l="1"/>
  <c r="F16" i="3"/>
  <c r="N15" i="3"/>
  <c r="H16" i="3" l="1"/>
  <c r="G16" i="3"/>
  <c r="J16" i="3" l="1"/>
  <c r="I16" i="3"/>
  <c r="K16" i="3" s="1"/>
  <c r="L16" i="3"/>
  <c r="M16" i="3"/>
  <c r="O16" i="3" l="1"/>
  <c r="D17" i="3" s="1"/>
  <c r="N16" i="3"/>
  <c r="E17" i="3" l="1"/>
  <c r="F17" i="3"/>
  <c r="H17" i="3" l="1"/>
  <c r="G17" i="3"/>
  <c r="J17" i="3" l="1"/>
  <c r="I17" i="3"/>
  <c r="K17" i="3" s="1"/>
  <c r="L17" i="3"/>
  <c r="M17" i="3"/>
  <c r="O17" i="3" l="1"/>
  <c r="D18" i="3" s="1"/>
  <c r="N17" i="3"/>
  <c r="E18" i="3" l="1"/>
  <c r="F18" i="3"/>
  <c r="H18" i="3" l="1"/>
  <c r="G18" i="3"/>
  <c r="J18" i="3" l="1"/>
  <c r="I18" i="3"/>
  <c r="K18" i="3" s="1"/>
  <c r="L18" i="3"/>
  <c r="M18" i="3"/>
  <c r="O18" i="3" l="1"/>
  <c r="D19" i="3" s="1"/>
  <c r="N18" i="3"/>
  <c r="E19" i="3" l="1"/>
  <c r="F19" i="3"/>
  <c r="H19" i="3" l="1"/>
  <c r="G19" i="3"/>
  <c r="I19" i="3" l="1"/>
  <c r="J19" i="3"/>
  <c r="K19" i="3" l="1"/>
  <c r="M19" i="3" l="1"/>
  <c r="L19" i="3"/>
  <c r="O19" i="3" s="1"/>
  <c r="D20" i="3" s="1"/>
  <c r="E20" i="3" l="1"/>
  <c r="F20" i="3"/>
  <c r="N19" i="3"/>
  <c r="H20" i="3" l="1"/>
  <c r="G20" i="3"/>
  <c r="I20" i="3" l="1"/>
  <c r="J20" i="3"/>
  <c r="K20" i="3" l="1"/>
  <c r="M20" i="3"/>
  <c r="L20" i="3"/>
  <c r="N20" i="3" s="1"/>
  <c r="O20" i="3" l="1"/>
  <c r="D21" i="3" s="1"/>
  <c r="E21" i="3"/>
  <c r="F21" i="3"/>
  <c r="G21" i="3" l="1"/>
  <c r="H21" i="3"/>
  <c r="I21" i="3" l="1"/>
  <c r="J21" i="3"/>
  <c r="K21" i="3" l="1"/>
  <c r="M21" i="3" s="1"/>
  <c r="L21" i="3"/>
  <c r="O21" i="3" s="1"/>
  <c r="D22" i="3" s="1"/>
  <c r="G37" i="3" l="1"/>
  <c r="A56" i="3" s="1"/>
  <c r="E22" i="3"/>
  <c r="E37" i="3" s="1"/>
  <c r="F22" i="3"/>
  <c r="N21" i="3"/>
  <c r="F37" i="3" l="1"/>
  <c r="H22" i="3"/>
  <c r="G22" i="3"/>
  <c r="H37" i="3"/>
  <c r="E52" i="3" s="1"/>
  <c r="D43" i="3"/>
  <c r="C52" i="3"/>
  <c r="I22" i="3" l="1"/>
  <c r="J22" i="3"/>
  <c r="I37" i="3"/>
  <c r="F52" i="3" s="1"/>
  <c r="E43" i="3"/>
  <c r="D52" i="3"/>
  <c r="K22" i="3" l="1"/>
  <c r="L22" i="3" s="1"/>
  <c r="D32" i="3"/>
  <c r="D29" i="3"/>
  <c r="D27" i="3"/>
  <c r="D34" i="3"/>
  <c r="G43" i="3" s="1"/>
  <c r="D31" i="3"/>
  <c r="D26" i="3"/>
  <c r="D33" i="3"/>
  <c r="D28" i="3"/>
  <c r="D25" i="3"/>
  <c r="D30" i="3"/>
  <c r="C25" i="3"/>
  <c r="C32" i="3"/>
  <c r="C27" i="3"/>
  <c r="O22" i="3"/>
  <c r="C34" i="3"/>
  <c r="N22" i="3"/>
  <c r="C29" i="3"/>
  <c r="C31" i="3"/>
  <c r="C26" i="3"/>
  <c r="C33" i="3"/>
  <c r="C30" i="3"/>
  <c r="C28" i="3"/>
  <c r="M22" i="3"/>
  <c r="G25" i="3" l="1"/>
  <c r="E27" i="3"/>
  <c r="E34" i="3"/>
  <c r="H43" i="3" s="1"/>
  <c r="E29" i="3"/>
  <c r="E31" i="3"/>
  <c r="E26" i="3"/>
  <c r="E33" i="3"/>
  <c r="E32" i="3"/>
  <c r="E28" i="3"/>
  <c r="E30" i="3"/>
  <c r="E25" i="3"/>
  <c r="F25" i="3" s="1"/>
  <c r="K40" i="3"/>
  <c r="M40" i="3"/>
  <c r="N40" i="3" s="1"/>
  <c r="I43" i="3"/>
  <c r="F43" i="3"/>
  <c r="G52" i="3" l="1"/>
  <c r="L40" i="3"/>
  <c r="H52" i="3" s="1"/>
  <c r="K43" i="3"/>
  <c r="J43" i="3"/>
  <c r="I25" i="3"/>
  <c r="H25" i="3"/>
  <c r="I46" i="3" l="1"/>
  <c r="K46" i="3" s="1"/>
  <c r="K25" i="3"/>
  <c r="J25" i="3"/>
  <c r="C46" i="3"/>
  <c r="E46" i="3" s="1"/>
  <c r="H46" i="3"/>
  <c r="L46" i="3" s="1"/>
  <c r="J46" i="3" l="1"/>
  <c r="M46" i="3" s="1"/>
  <c r="N25" i="3"/>
  <c r="O25" i="3" l="1"/>
  <c r="P25" i="3" s="1"/>
  <c r="R25" i="3" s="1"/>
  <c r="B26" i="3" s="1"/>
  <c r="F26" i="3" l="1"/>
  <c r="G26" i="3"/>
  <c r="I26" i="3" l="1"/>
  <c r="H26" i="3"/>
  <c r="J26" i="3" l="1"/>
  <c r="K26" i="3"/>
  <c r="N26" i="3" s="1"/>
  <c r="O26" i="3" l="1"/>
  <c r="P26" i="3" s="1"/>
  <c r="R26" i="3" s="1"/>
  <c r="B27" i="3" s="1"/>
  <c r="F27" i="3" l="1"/>
  <c r="G27" i="3"/>
  <c r="I27" i="3" l="1"/>
  <c r="H27" i="3"/>
  <c r="K27" i="3" l="1"/>
  <c r="J27" i="3"/>
  <c r="N27" i="3" l="1"/>
  <c r="O27" i="3" l="1"/>
  <c r="P27" i="3" s="1"/>
  <c r="R27" i="3" s="1"/>
  <c r="B28" i="3" s="1"/>
  <c r="G28" i="3" l="1"/>
  <c r="F28" i="3"/>
  <c r="I28" i="3" l="1"/>
  <c r="H28" i="3"/>
  <c r="K28" i="3" l="1"/>
  <c r="J28" i="3"/>
  <c r="N28" i="3" l="1"/>
  <c r="O28" i="3" l="1"/>
  <c r="P28" i="3" s="1"/>
  <c r="R28" i="3" s="1"/>
  <c r="B29" i="3" s="1"/>
  <c r="G29" i="3" l="1"/>
  <c r="F29" i="3"/>
  <c r="H29" i="3" l="1"/>
  <c r="I29" i="3"/>
  <c r="K29" i="3" l="1"/>
  <c r="J29" i="3"/>
  <c r="N29" i="3" l="1"/>
  <c r="O29" i="3" l="1"/>
  <c r="P29" i="3" s="1"/>
  <c r="R29" i="3" s="1"/>
  <c r="B30" i="3" s="1"/>
  <c r="G30" i="3" l="1"/>
  <c r="F30" i="3"/>
  <c r="I30" i="3" l="1"/>
  <c r="H30" i="3"/>
  <c r="K30" i="3" l="1"/>
  <c r="J30" i="3"/>
  <c r="N30" i="3" l="1"/>
  <c r="O30" i="3" l="1"/>
  <c r="P30" i="3" s="1"/>
  <c r="R30" i="3" s="1"/>
  <c r="B31" i="3" s="1"/>
  <c r="F31" i="3" l="1"/>
  <c r="G31" i="3"/>
  <c r="I31" i="3" l="1"/>
  <c r="H31" i="3"/>
  <c r="K31" i="3" l="1"/>
  <c r="J31" i="3"/>
  <c r="N31" i="3" l="1"/>
  <c r="O31" i="3" l="1"/>
  <c r="P31" i="3" s="1"/>
  <c r="R31" i="3" s="1"/>
  <c r="B32" i="3" s="1"/>
  <c r="F32" i="3" l="1"/>
  <c r="G32" i="3"/>
  <c r="I32" i="3" l="1"/>
  <c r="H32" i="3"/>
  <c r="K32" i="3" l="1"/>
  <c r="J32" i="3"/>
  <c r="N32" i="3" l="1"/>
  <c r="O32" i="3" l="1"/>
  <c r="P32" i="3" s="1"/>
  <c r="R32" i="3" s="1"/>
  <c r="B33" i="3" s="1"/>
  <c r="G33" i="3" l="1"/>
  <c r="F33" i="3"/>
  <c r="H33" i="3" l="1"/>
  <c r="I33" i="3"/>
  <c r="K33" i="3" l="1"/>
  <c r="J33" i="3"/>
  <c r="N33" i="3" l="1"/>
  <c r="O33" i="3" l="1"/>
  <c r="P33" i="3" s="1"/>
  <c r="R33" i="3" s="1"/>
  <c r="B34" i="3" s="1"/>
  <c r="J37" i="3" l="1"/>
  <c r="B43" i="3"/>
  <c r="G34" i="3"/>
  <c r="F34" i="3"/>
  <c r="K37" i="3" l="1"/>
  <c r="C43" i="3"/>
  <c r="E40" i="3"/>
  <c r="I34" i="3"/>
  <c r="H34" i="3"/>
  <c r="B40" i="3" s="1"/>
  <c r="B56" i="3" s="1"/>
  <c r="I52" i="3"/>
  <c r="C49" i="3"/>
  <c r="F56" i="3" s="1"/>
  <c r="H49" i="3"/>
  <c r="J49" i="3"/>
  <c r="I49" i="3"/>
  <c r="F46" i="3"/>
  <c r="D46" i="3"/>
  <c r="G46" i="3" s="1"/>
  <c r="N46" i="3" s="1"/>
  <c r="G56" i="3" s="1"/>
  <c r="B46" i="3"/>
  <c r="J52" i="3" l="1"/>
  <c r="D49" i="3"/>
  <c r="E49" i="3" s="1"/>
  <c r="K34" i="3"/>
  <c r="J34" i="3"/>
  <c r="C40" i="3"/>
  <c r="M52" i="3" s="1"/>
  <c r="D40" i="3"/>
  <c r="N52" i="3" s="1"/>
  <c r="K49" i="3" l="1"/>
  <c r="H56" i="3" s="1"/>
  <c r="J56" i="3" s="1"/>
  <c r="F40" i="3"/>
  <c r="G40" i="3" s="1"/>
  <c r="N34" i="3"/>
  <c r="L37" i="3" l="1"/>
  <c r="K52" i="3" s="1"/>
  <c r="O52" i="3"/>
  <c r="H40" i="3"/>
  <c r="P52" i="3" s="1"/>
  <c r="O34" i="3"/>
  <c r="M37" i="3" s="1"/>
  <c r="L52" i="3" s="1"/>
  <c r="P34" i="3" l="1"/>
  <c r="R34" i="3" s="1"/>
</calcChain>
</file>

<file path=xl/sharedStrings.xml><?xml version="1.0" encoding="utf-8"?>
<sst xmlns="http://schemas.openxmlformats.org/spreadsheetml/2006/main" count="200" uniqueCount="140">
  <si>
    <t>g1 =</t>
  </si>
  <si>
    <t>g2 =</t>
  </si>
  <si>
    <t>Lc =</t>
  </si>
  <si>
    <t>sta(PVC)=</t>
  </si>
  <si>
    <t>Cable #</t>
  </si>
  <si>
    <t>Station</t>
  </si>
  <si>
    <t>L2</t>
  </si>
  <si>
    <t>L3</t>
  </si>
  <si>
    <t>X(WPTOP)</t>
  </si>
  <si>
    <t>Y(WPTOP)</t>
  </si>
  <si>
    <t>A</t>
  </si>
  <si>
    <t>F</t>
  </si>
  <si>
    <t>W</t>
  </si>
  <si>
    <t>E</t>
  </si>
  <si>
    <t>X2(1)</t>
  </si>
  <si>
    <t>d2</t>
  </si>
  <si>
    <t>d1</t>
  </si>
  <si>
    <t>PY1</t>
  </si>
  <si>
    <t>Station of pylon</t>
  </si>
  <si>
    <t>Station of cable</t>
  </si>
  <si>
    <t>Area of cable (m2)</t>
  </si>
  <si>
    <t>Cable force (kN)</t>
  </si>
  <si>
    <t>weight of cable (kN/m)</t>
  </si>
  <si>
    <t xml:space="preserve">Young's modulus of cable </t>
  </si>
  <si>
    <t>First trial input</t>
  </si>
  <si>
    <t>Dimension of the anchorage at deck (refers to fig.</t>
  </si>
  <si>
    <t>Refers to fig.</t>
  </si>
  <si>
    <t>Figure1</t>
  </si>
  <si>
    <t>Figure2</t>
  </si>
  <si>
    <t>Figure3</t>
  </si>
  <si>
    <t>Figure4</t>
  </si>
  <si>
    <t>w=</t>
    <phoneticPr fontId="0" type="noConversion"/>
  </si>
  <si>
    <t>YTOP1=</t>
    <phoneticPr fontId="0" type="noConversion"/>
  </si>
  <si>
    <t>XTOP1=</t>
  </si>
  <si>
    <t>XTOP2=</t>
    <phoneticPr fontId="0" type="noConversion"/>
  </si>
  <si>
    <t>YBOT1=</t>
    <phoneticPr fontId="0" type="noConversion"/>
  </si>
  <si>
    <t>XBOT1=</t>
  </si>
  <si>
    <t>XBOT2=</t>
    <phoneticPr fontId="0" type="noConversion"/>
  </si>
  <si>
    <t>D1=</t>
    <phoneticPr fontId="0" type="noConversion"/>
  </si>
  <si>
    <t>B1=</t>
    <phoneticPr fontId="0" type="noConversion"/>
  </si>
  <si>
    <t>YTOP2=</t>
    <phoneticPr fontId="0" type="noConversion"/>
  </si>
  <si>
    <t>D0=</t>
    <phoneticPr fontId="0" type="noConversion"/>
  </si>
  <si>
    <t>B0=</t>
    <phoneticPr fontId="0" type="noConversion"/>
  </si>
  <si>
    <r>
      <t>elev(PVC)</t>
    </r>
    <r>
      <rPr>
        <sz val="9"/>
        <color theme="1"/>
        <rFont val="Verdana"/>
        <family val="2"/>
        <charset val="129"/>
      </rPr>
      <t>=</t>
    </r>
  </si>
  <si>
    <t>PY1</t>
    <phoneticPr fontId="0" type="noConversion"/>
  </si>
  <si>
    <t>Iteration</t>
    <phoneticPr fontId="0" type="noConversion"/>
  </si>
  <si>
    <t>X(WPA)</t>
  </si>
  <si>
    <t>Y(WPA)</t>
  </si>
  <si>
    <t>THETAWPA(1)</t>
    <phoneticPr fontId="0" type="noConversion"/>
  </si>
  <si>
    <t>X(WPA3)</t>
    <phoneticPr fontId="0" type="noConversion"/>
  </si>
  <si>
    <t>Y(WP3)</t>
    <phoneticPr fontId="0" type="noConversion"/>
  </si>
  <si>
    <t>alpha</t>
    <phoneticPr fontId="0" type="noConversion"/>
  </si>
  <si>
    <t>tan(alpha)</t>
    <phoneticPr fontId="0" type="noConversion"/>
  </si>
  <si>
    <t>q</t>
    <phoneticPr fontId="0" type="noConversion"/>
  </si>
  <si>
    <t>H</t>
    <phoneticPr fontId="0" type="noConversion"/>
  </si>
  <si>
    <t>K2</t>
    <phoneticPr fontId="0" type="noConversion"/>
  </si>
  <si>
    <t>k1</t>
    <phoneticPr fontId="0" type="noConversion"/>
  </si>
  <si>
    <t>k0</t>
    <phoneticPr fontId="0" type="noConversion"/>
  </si>
  <si>
    <t>thetawptop</t>
    <phoneticPr fontId="0" type="noConversion"/>
  </si>
  <si>
    <t>thetawp(2)</t>
    <phoneticPr fontId="0" type="noConversion"/>
  </si>
  <si>
    <t>X2</t>
    <phoneticPr fontId="0" type="noConversion"/>
  </si>
  <si>
    <t>K1</t>
    <phoneticPr fontId="0" type="noConversion"/>
  </si>
  <si>
    <t>K0</t>
    <phoneticPr fontId="0" type="noConversion"/>
  </si>
  <si>
    <t>Y2</t>
    <phoneticPr fontId="0" type="noConversion"/>
  </si>
  <si>
    <t>m</t>
    <phoneticPr fontId="0" type="noConversion"/>
  </si>
  <si>
    <t>THETA2</t>
    <phoneticPr fontId="0" type="noConversion"/>
  </si>
  <si>
    <t>-1/m</t>
    <phoneticPr fontId="0" type="noConversion"/>
  </si>
  <si>
    <t>A1</t>
    <phoneticPr fontId="0" type="noConversion"/>
  </si>
  <si>
    <t>A0</t>
    <phoneticPr fontId="0" type="noConversion"/>
  </si>
  <si>
    <t>B1</t>
    <phoneticPr fontId="0" type="noConversion"/>
  </si>
  <si>
    <t>B0</t>
    <phoneticPr fontId="0" type="noConversion"/>
  </si>
  <si>
    <t>X3</t>
    <phoneticPr fontId="0" type="noConversion"/>
  </si>
  <si>
    <t>Y3</t>
    <phoneticPr fontId="0" type="noConversion"/>
  </si>
  <si>
    <t>L</t>
    <phoneticPr fontId="0" type="noConversion"/>
  </si>
  <si>
    <t>d2</t>
    <phoneticPr fontId="0" type="noConversion"/>
  </si>
  <si>
    <t>DELTAX2</t>
    <phoneticPr fontId="0" type="noConversion"/>
  </si>
  <si>
    <t>X(WPA)</t>
    <phoneticPr fontId="0" type="noConversion"/>
  </si>
  <si>
    <t>y</t>
    <phoneticPr fontId="0" type="noConversion"/>
  </si>
  <si>
    <t>Y(WPA)</t>
    <phoneticPr fontId="0" type="noConversion"/>
  </si>
  <si>
    <t>X(WP3)</t>
    <phoneticPr fontId="0" type="noConversion"/>
  </si>
  <si>
    <t>THETAWPA</t>
    <phoneticPr fontId="0" type="noConversion"/>
  </si>
  <si>
    <t>X(WP4)</t>
    <phoneticPr fontId="0" type="noConversion"/>
  </si>
  <si>
    <t>Y(WP4)</t>
    <phoneticPr fontId="0" type="noConversion"/>
  </si>
  <si>
    <t>X4</t>
    <phoneticPr fontId="0" type="noConversion"/>
  </si>
  <si>
    <t>Y4</t>
    <phoneticPr fontId="0" type="noConversion"/>
  </si>
  <si>
    <t>C1</t>
    <phoneticPr fontId="0" type="noConversion"/>
  </si>
  <si>
    <t>C0</t>
    <phoneticPr fontId="0" type="noConversion"/>
  </si>
  <si>
    <t>X5</t>
    <phoneticPr fontId="0" type="noConversion"/>
  </si>
  <si>
    <t>Y5</t>
    <phoneticPr fontId="0" type="noConversion"/>
  </si>
  <si>
    <t>D1</t>
    <phoneticPr fontId="0" type="noConversion"/>
  </si>
  <si>
    <t>D0</t>
    <phoneticPr fontId="0" type="noConversion"/>
  </si>
  <si>
    <t>X1(1ST)</t>
    <phoneticPr fontId="0" type="noConversion"/>
  </si>
  <si>
    <t>Y1(1ST)</t>
    <phoneticPr fontId="0" type="noConversion"/>
  </si>
  <si>
    <t>X1(2ND)</t>
    <phoneticPr fontId="0" type="noConversion"/>
  </si>
  <si>
    <t>Y1(2ND)</t>
    <phoneticPr fontId="0" type="noConversion"/>
  </si>
  <si>
    <t>a</t>
    <phoneticPr fontId="0" type="noConversion"/>
  </si>
  <si>
    <t>b</t>
    <phoneticPr fontId="0" type="noConversion"/>
  </si>
  <si>
    <t>c</t>
    <phoneticPr fontId="0" type="noConversion"/>
  </si>
  <si>
    <t>B</t>
    <phoneticPr fontId="0" type="noConversion"/>
  </si>
  <si>
    <t>r</t>
    <phoneticPr fontId="0" type="noConversion"/>
  </si>
  <si>
    <t>I1(for X2)</t>
    <phoneticPr fontId="0" type="noConversion"/>
  </si>
  <si>
    <t>I2(for X2)</t>
    <phoneticPr fontId="0" type="noConversion"/>
  </si>
  <si>
    <t>I3(for X2)</t>
    <phoneticPr fontId="0" type="noConversion"/>
  </si>
  <si>
    <t>ISUM(for X2)</t>
    <phoneticPr fontId="0" type="noConversion"/>
  </si>
  <si>
    <t>I1(x(wp3)</t>
    <phoneticPr fontId="0" type="noConversion"/>
  </si>
  <si>
    <t>I2(x(wp3)</t>
    <phoneticPr fontId="0" type="noConversion"/>
  </si>
  <si>
    <t>I3(x(wp3)</t>
    <phoneticPr fontId="0" type="noConversion"/>
  </si>
  <si>
    <t>ISUM(x(wp3)</t>
    <phoneticPr fontId="0" type="noConversion"/>
  </si>
  <si>
    <t>ABS(ISUM(FOR X2)-ISUM(FOR X(WP3))</t>
    <phoneticPr fontId="0" type="noConversion"/>
  </si>
  <si>
    <t>F</t>
    <phoneticPr fontId="0" type="noConversion"/>
  </si>
  <si>
    <t>AP-AP</t>
    <phoneticPr fontId="0" type="noConversion"/>
  </si>
  <si>
    <t>beta</t>
    <phoneticPr fontId="0" type="noConversion"/>
  </si>
  <si>
    <t>A</t>
    <phoneticPr fontId="0" type="noConversion"/>
  </si>
  <si>
    <t>E</t>
    <phoneticPr fontId="0" type="noConversion"/>
  </si>
  <si>
    <t>S1</t>
    <phoneticPr fontId="0" type="noConversion"/>
  </si>
  <si>
    <t>S2</t>
    <phoneticPr fontId="0" type="noConversion"/>
  </si>
  <si>
    <t>S3</t>
    <phoneticPr fontId="0" type="noConversion"/>
  </si>
  <si>
    <t>DELTA</t>
    <phoneticPr fontId="0" type="noConversion"/>
  </si>
  <si>
    <t>WP-WP</t>
    <phoneticPr fontId="0" type="noConversion"/>
  </si>
  <si>
    <t>X1</t>
    <phoneticPr fontId="0" type="noConversion"/>
  </si>
  <si>
    <t>Y1</t>
    <phoneticPr fontId="0" type="noConversion"/>
  </si>
  <si>
    <t>X(WPTOP)</t>
    <phoneticPr fontId="0" type="noConversion"/>
  </si>
  <si>
    <t>Y(WPTOP)</t>
    <phoneticPr fontId="0" type="noConversion"/>
  </si>
  <si>
    <t>Chord Leng.</t>
    <phoneticPr fontId="0" type="noConversion"/>
  </si>
  <si>
    <t>Cable</t>
    <phoneticPr fontId="0" type="noConversion"/>
  </si>
  <si>
    <t>Assumed</t>
    <phoneticPr fontId="0" type="noConversion"/>
  </si>
  <si>
    <t>Theta(wpa)</t>
    <phoneticPr fontId="0" type="noConversion"/>
  </si>
  <si>
    <t>Theta(wptop)</t>
    <phoneticPr fontId="0" type="noConversion"/>
  </si>
  <si>
    <t>WPA-WPTOP</t>
    <phoneticPr fontId="0" type="noConversion"/>
  </si>
  <si>
    <t>WP3-X2</t>
    <phoneticPr fontId="0" type="noConversion"/>
  </si>
  <si>
    <t>Length</t>
    <phoneticPr fontId="0" type="noConversion"/>
  </si>
  <si>
    <t>Elongation</t>
    <phoneticPr fontId="0" type="noConversion"/>
  </si>
  <si>
    <t>Shim</t>
    <phoneticPr fontId="0" type="noConversion"/>
  </si>
  <si>
    <t>Cable Length</t>
    <phoneticPr fontId="0" type="noConversion"/>
  </si>
  <si>
    <t>Cable ID</t>
  </si>
  <si>
    <t>g1</t>
  </si>
  <si>
    <t>g2</t>
  </si>
  <si>
    <t>Lc</t>
  </si>
  <si>
    <t>sta(PVC)</t>
  </si>
  <si>
    <t>elev(PVC)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</si>
</sst>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"/>
  </numFmts>
  <fonts count="2">
    <font>
      <sz val="9"/>
      <color theme="1"/>
      <name val="Verdana"/>
      <family val="2"/>
      <charset val="129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2" borderId="0" xfId="1" applyFill="1"/>
    <xf numFmtId="0" fontId="1" fillId="0" borderId="0" xfId="1"/>
    <xf numFmtId="0" fontId="1" fillId="3" borderId="0" xfId="1" applyFill="1" applyAlignment="1">
      <alignment horizontal="center"/>
    </xf>
    <xf numFmtId="0" fontId="1" fillId="0" borderId="0" xfId="1" applyAlignment="1">
      <alignment horizontal="center"/>
    </xf>
    <xf numFmtId="0" fontId="1" fillId="3" borderId="0" xfId="1" quotePrefix="1" applyFill="1" applyAlignment="1">
      <alignment horizontal="center"/>
    </xf>
    <xf numFmtId="0" fontId="1" fillId="3" borderId="0" xfId="1" applyFill="1" applyAlignment="1">
      <alignment horizontal="left"/>
    </xf>
    <xf numFmtId="0" fontId="1" fillId="4" borderId="0" xfId="1" applyFill="1" applyAlignment="1">
      <alignment horizontal="center"/>
    </xf>
    <xf numFmtId="164" fontId="1" fillId="0" borderId="0" xfId="1" applyNumberFormat="1"/>
    <xf numFmtId="0" fontId="1" fillId="4" borderId="0" xfId="1" applyFill="1" applyAlignment="1">
      <alignment horizontal="left"/>
    </xf>
    <xf numFmtId="0" fontId="1" fillId="0" borderId="0" xfId="1" applyAlignment="1">
      <alignment horizontal="left"/>
    </xf>
    <xf numFmtId="164" fontId="1" fillId="5" borderId="0" xfId="1" applyNumberFormat="1" applyFill="1"/>
  </cellXfs>
  <cellStyles count="2">
    <cellStyle name="Normal" xfId="0" builtinId="0"/>
    <cellStyle name="Normal 2" xfId="1" xr:uid="{64DD3614-593E-46BB-8B1E-40D935B09D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304800</xdr:colOff>
      <xdr:row>9</xdr:row>
      <xdr:rowOff>72390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36D97-0497-4B4F-9983-BACC3DD4657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2875"/>
          <a:ext cx="3133725" cy="1200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10</xdr:col>
      <xdr:colOff>349081</xdr:colOff>
      <xdr:row>37</xdr:row>
      <xdr:rowOff>78442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2A4384-CFE5-4DFD-B565-A237B4FE5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559" y="582706"/>
          <a:ext cx="9179316" cy="488576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16</xdr:col>
      <xdr:colOff>449356</xdr:colOff>
      <xdr:row>22</xdr:row>
      <xdr:rowOff>16249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485260A-82A0-4DEF-BDB2-54EEDF077A39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7353" y="582706"/>
          <a:ext cx="3867150" cy="2638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21</xdr:col>
      <xdr:colOff>370915</xdr:colOff>
      <xdr:row>23</xdr:row>
      <xdr:rowOff>99172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F705B34-DF75-486A-8C7B-FFF27D016D95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8706" y="582706"/>
          <a:ext cx="3105150" cy="2867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22</xdr:col>
      <xdr:colOff>0</xdr:colOff>
      <xdr:row>4</xdr:row>
      <xdr:rowOff>0</xdr:rowOff>
    </xdr:from>
    <xdr:to>
      <xdr:col>26</xdr:col>
      <xdr:colOff>390525</xdr:colOff>
      <xdr:row>24</xdr:row>
      <xdr:rowOff>95251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5D47D77-A7C3-4AA5-89CD-67E30CBFF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0" y="582706"/>
          <a:ext cx="3124760" cy="3008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8CC3-35C3-4DCA-8361-A6BD7E4740F3}">
  <sheetPr>
    <tabColor rgb="FF00B0F0"/>
  </sheetPr>
  <dimension ref="D11:H12"/>
  <sheetViews>
    <sheetView workbookViewId="0">
      <selection activeCell="D16" sqref="D16"/>
    </sheetView>
  </sheetViews>
  <sheetFormatPr defaultRowHeight="11.25"/>
  <cols>
    <col min="2" max="2" width="9.625" bestFit="1" customWidth="1"/>
    <col min="3" max="3" width="18.5" customWidth="1"/>
  </cols>
  <sheetData>
    <row r="11" spans="4:8">
      <c r="D11" t="s">
        <v>135</v>
      </c>
      <c r="E11" t="s">
        <v>136</v>
      </c>
      <c r="F11" t="s">
        <v>137</v>
      </c>
      <c r="G11" t="s">
        <v>138</v>
      </c>
      <c r="H11" t="s">
        <v>139</v>
      </c>
    </row>
    <row r="12" spans="4:8">
      <c r="D12">
        <v>2.0981E-2</v>
      </c>
      <c r="E12">
        <v>-1.0898E-2</v>
      </c>
      <c r="F12">
        <v>960</v>
      </c>
      <c r="G12">
        <v>3567</v>
      </c>
      <c r="H12">
        <v>65.370999999999995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5424-15F1-42D9-A3CF-548EF64A932A}">
  <sheetPr>
    <tabColor rgb="FF00B0F0"/>
  </sheetPr>
  <dimension ref="B4:W61"/>
  <sheetViews>
    <sheetView topLeftCell="A21" zoomScale="85" zoomScaleNormal="85" workbookViewId="0">
      <selection activeCell="C51" sqref="C51"/>
    </sheetView>
  </sheetViews>
  <sheetFormatPr defaultRowHeight="11.25"/>
  <cols>
    <col min="2" max="2" width="9.5" bestFit="1" customWidth="1"/>
    <col min="3" max="3" width="43.5" bestFit="1" customWidth="1"/>
  </cols>
  <sheetData>
    <row r="4" spans="2:23">
      <c r="B4" t="s">
        <v>27</v>
      </c>
      <c r="L4" t="s">
        <v>28</v>
      </c>
      <c r="R4" t="s">
        <v>29</v>
      </c>
      <c r="W4" t="s">
        <v>30</v>
      </c>
    </row>
    <row r="45" spans="2:4">
      <c r="B45" t="s">
        <v>17</v>
      </c>
      <c r="C45" t="s">
        <v>18</v>
      </c>
      <c r="D45">
        <v>4282</v>
      </c>
    </row>
    <row r="49" spans="2:4">
      <c r="B49" t="s">
        <v>4</v>
      </c>
      <c r="C49" t="s">
        <v>134</v>
      </c>
      <c r="D49">
        <v>1</v>
      </c>
    </row>
    <row r="50" spans="2:4">
      <c r="B50" t="s">
        <v>5</v>
      </c>
      <c r="C50" t="s">
        <v>19</v>
      </c>
      <c r="D50">
        <v>4302</v>
      </c>
    </row>
    <row r="51" spans="2:4">
      <c r="B51" t="s">
        <v>6</v>
      </c>
      <c r="C51" t="s">
        <v>25</v>
      </c>
      <c r="D51">
        <v>2.0289999999999999</v>
      </c>
    </row>
    <row r="52" spans="2:4">
      <c r="B52" t="s">
        <v>7</v>
      </c>
      <c r="C52" t="s">
        <v>25</v>
      </c>
      <c r="D52">
        <v>1.9750000000000001</v>
      </c>
    </row>
    <row r="53" spans="2:4">
      <c r="B53" t="s">
        <v>8</v>
      </c>
      <c r="C53" t="s">
        <v>26</v>
      </c>
      <c r="D53">
        <v>0</v>
      </c>
    </row>
    <row r="54" spans="2:4">
      <c r="B54" t="s">
        <v>9</v>
      </c>
      <c r="C54" t="s">
        <v>26</v>
      </c>
      <c r="D54">
        <v>132.26300000000001</v>
      </c>
    </row>
    <row r="55" spans="2:4">
      <c r="B55" t="s">
        <v>10</v>
      </c>
      <c r="C55" t="s">
        <v>20</v>
      </c>
      <c r="D55">
        <v>1.541E-2</v>
      </c>
    </row>
    <row r="56" spans="2:4">
      <c r="B56" t="s">
        <v>11</v>
      </c>
      <c r="C56" t="s">
        <v>21</v>
      </c>
      <c r="D56">
        <v>910.8</v>
      </c>
    </row>
    <row r="57" spans="2:4">
      <c r="B57" t="s">
        <v>12</v>
      </c>
      <c r="C57" t="s">
        <v>22</v>
      </c>
      <c r="D57">
        <v>0.13796</v>
      </c>
    </row>
    <row r="58" spans="2:4">
      <c r="B58" t="s">
        <v>13</v>
      </c>
      <c r="C58" t="s">
        <v>23</v>
      </c>
      <c r="D58">
        <v>19300000</v>
      </c>
    </row>
    <row r="59" spans="2:4">
      <c r="B59" t="s">
        <v>14</v>
      </c>
      <c r="C59" t="s">
        <v>24</v>
      </c>
      <c r="D59">
        <v>3.5</v>
      </c>
    </row>
    <row r="60" spans="2:4">
      <c r="B60" t="s">
        <v>15</v>
      </c>
      <c r="C60" t="s">
        <v>26</v>
      </c>
      <c r="D60">
        <v>0.4</v>
      </c>
    </row>
    <row r="61" spans="2:4">
      <c r="B61" t="s">
        <v>16</v>
      </c>
      <c r="C61" t="s">
        <v>26</v>
      </c>
      <c r="D61"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ED89E-3C42-46ED-90B1-E1CAE104623E}">
  <sheetPr>
    <tabColor rgb="FFFF0000"/>
  </sheetPr>
  <dimension ref="A1"/>
  <sheetViews>
    <sheetView workbookViewId="0">
      <selection activeCell="B45" sqref="B45"/>
    </sheetView>
  </sheetViews>
  <sheetFormatPr defaultRowHeight="11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184C1-82F6-4113-A3E0-1082117A106E}">
  <dimension ref="A1:R56"/>
  <sheetViews>
    <sheetView tabSelected="1" topLeftCell="B1" workbookViewId="0">
      <selection activeCell="H17" sqref="H17"/>
    </sheetView>
  </sheetViews>
  <sheetFormatPr defaultColWidth="10.5" defaultRowHeight="13.5"/>
  <cols>
    <col min="1" max="2" width="10.5" style="2"/>
    <col min="3" max="3" width="12.375" style="2" bestFit="1" customWidth="1"/>
    <col min="4" max="16384" width="10.5" style="2"/>
  </cols>
  <sheetData>
    <row r="1" spans="1:18">
      <c r="A1" s="1" t="s">
        <v>0</v>
      </c>
      <c r="B1" s="1">
        <v>2.0981E-2</v>
      </c>
      <c r="G1" s="1" t="s">
        <v>31</v>
      </c>
      <c r="H1" s="1">
        <v>1.6</v>
      </c>
      <c r="J1" s="1" t="s">
        <v>32</v>
      </c>
      <c r="K1" s="1">
        <v>187.76300000000001</v>
      </c>
    </row>
    <row r="2" spans="1:18">
      <c r="A2" s="1" t="s">
        <v>1</v>
      </c>
      <c r="B2" s="1">
        <v>-1.0898E-2</v>
      </c>
      <c r="D2" s="1" t="s">
        <v>33</v>
      </c>
      <c r="E2" s="1">
        <v>3.31</v>
      </c>
      <c r="G2" s="2" t="s">
        <v>34</v>
      </c>
      <c r="H2" s="2">
        <f>E2-H1</f>
        <v>1.71</v>
      </c>
      <c r="J2" s="1" t="s">
        <v>35</v>
      </c>
      <c r="K2" s="1">
        <v>67.763000000000005</v>
      </c>
    </row>
    <row r="3" spans="1:18">
      <c r="A3" s="1"/>
      <c r="B3" s="1"/>
      <c r="D3" s="1" t="s">
        <v>36</v>
      </c>
      <c r="E3" s="1">
        <v>4</v>
      </c>
      <c r="G3" s="2" t="s">
        <v>37</v>
      </c>
      <c r="H3" s="2">
        <f>E3-H1</f>
        <v>2.4</v>
      </c>
    </row>
    <row r="4" spans="1:18">
      <c r="A4" s="1" t="s">
        <v>2</v>
      </c>
      <c r="B4" s="1">
        <v>960</v>
      </c>
      <c r="D4" s="2" t="s">
        <v>38</v>
      </c>
      <c r="E4" s="2">
        <f>(K2-K1)/(E3-E2)</f>
        <v>-173.91304347826087</v>
      </c>
      <c r="G4" s="2" t="s">
        <v>39</v>
      </c>
      <c r="H4" s="2">
        <f>(K5-K4)/(H3-H2)</f>
        <v>-173.91304347826087</v>
      </c>
      <c r="J4" s="1" t="s">
        <v>40</v>
      </c>
      <c r="K4" s="1">
        <v>187.76300000000001</v>
      </c>
    </row>
    <row r="5" spans="1:18">
      <c r="A5" s="1" t="s">
        <v>3</v>
      </c>
      <c r="B5" s="1">
        <v>3567</v>
      </c>
      <c r="D5" s="2" t="s">
        <v>41</v>
      </c>
      <c r="E5" s="2">
        <f>(K2-K1)/(E3-E2)*(-E2)+K1</f>
        <v>763.41517391304353</v>
      </c>
      <c r="G5" s="2" t="s">
        <v>42</v>
      </c>
      <c r="H5" s="2">
        <f>(K5-K4)/(H3-H2)*(-H2)+K4</f>
        <v>485.15430434782604</v>
      </c>
      <c r="J5" s="1" t="s">
        <v>40</v>
      </c>
      <c r="K5" s="1">
        <v>67.763000000000005</v>
      </c>
    </row>
    <row r="6" spans="1:18">
      <c r="A6" s="1" t="s">
        <v>43</v>
      </c>
      <c r="B6" s="1">
        <v>65.370999999999995</v>
      </c>
    </row>
    <row r="8" spans="1:18" s="4" customFormat="1">
      <c r="A8" s="3" t="s">
        <v>4</v>
      </c>
      <c r="B8" s="3" t="s">
        <v>5</v>
      </c>
      <c r="C8" s="3" t="s">
        <v>6</v>
      </c>
      <c r="D8" s="3" t="s">
        <v>7</v>
      </c>
      <c r="E8" s="3" t="s">
        <v>8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10</v>
      </c>
      <c r="K8" s="3" t="s">
        <v>11</v>
      </c>
      <c r="L8" s="3" t="s">
        <v>12</v>
      </c>
      <c r="M8" s="3" t="s">
        <v>13</v>
      </c>
      <c r="N8" s="3" t="s">
        <v>14</v>
      </c>
      <c r="O8" s="3" t="s">
        <v>15</v>
      </c>
      <c r="P8" s="3" t="s">
        <v>16</v>
      </c>
      <c r="Q8" s="3"/>
      <c r="R8" s="3"/>
    </row>
    <row r="9" spans="1:18">
      <c r="A9" s="2">
        <v>1</v>
      </c>
      <c r="B9" s="1">
        <v>4302</v>
      </c>
      <c r="C9" s="1">
        <v>2.0289999999999999</v>
      </c>
      <c r="D9" s="1">
        <v>1.9750000000000001</v>
      </c>
      <c r="E9" s="1">
        <v>0</v>
      </c>
      <c r="F9" s="1">
        <v>132.26300000000001</v>
      </c>
      <c r="G9" s="1">
        <v>1.541E-2</v>
      </c>
      <c r="H9" s="1">
        <v>910.8</v>
      </c>
      <c r="I9" s="1">
        <v>0.13796</v>
      </c>
      <c r="J9" s="2">
        <f>G9/2</f>
        <v>7.705E-3</v>
      </c>
      <c r="K9" s="2">
        <f>H9/2</f>
        <v>455.4</v>
      </c>
      <c r="L9" s="2">
        <f>I9/2</f>
        <v>6.898E-2</v>
      </c>
      <c r="M9" s="1">
        <v>19300000</v>
      </c>
      <c r="N9" s="1">
        <v>3.5</v>
      </c>
      <c r="O9" s="1">
        <v>0.4</v>
      </c>
      <c r="P9" s="1">
        <v>0.4</v>
      </c>
    </row>
    <row r="10" spans="1:18">
      <c r="A10" s="2" t="s">
        <v>44</v>
      </c>
      <c r="B10" s="1">
        <v>4282</v>
      </c>
    </row>
    <row r="12" spans="1:18" s="4" customFormat="1">
      <c r="A12" s="3" t="s">
        <v>45</v>
      </c>
      <c r="B12" s="3" t="s">
        <v>46</v>
      </c>
      <c r="C12" s="3" t="s">
        <v>47</v>
      </c>
      <c r="D12" s="3" t="s">
        <v>48</v>
      </c>
      <c r="E12" s="3" t="s">
        <v>49</v>
      </c>
      <c r="F12" s="3" t="s">
        <v>50</v>
      </c>
      <c r="G12" s="3" t="s">
        <v>51</v>
      </c>
      <c r="H12" s="3" t="s">
        <v>52</v>
      </c>
      <c r="I12" s="3" t="s">
        <v>53</v>
      </c>
      <c r="J12" s="3" t="s">
        <v>54</v>
      </c>
      <c r="K12" s="3" t="s">
        <v>55</v>
      </c>
      <c r="L12" s="3" t="s">
        <v>56</v>
      </c>
      <c r="M12" s="3" t="s">
        <v>57</v>
      </c>
      <c r="N12" s="3" t="s">
        <v>58</v>
      </c>
      <c r="O12" s="3" t="s">
        <v>59</v>
      </c>
      <c r="P12" s="3"/>
      <c r="Q12" s="3"/>
      <c r="R12" s="3"/>
    </row>
    <row r="13" spans="1:18">
      <c r="A13" s="2">
        <v>1</v>
      </c>
      <c r="B13" s="2">
        <f>B9-B10</f>
        <v>20</v>
      </c>
      <c r="C13" s="2">
        <f>(B2-B1)/2/B4*(B10-B5+B13)^2+B1*(B10-B5+B13)+B6-1.18</f>
        <v>70.64233042968749</v>
      </c>
      <c r="D13" s="2">
        <f>ATAN(($F$9-C13)/(0-B13))</f>
        <v>-1.2569566377277253</v>
      </c>
      <c r="E13" s="2">
        <f>B13-$C$9*COS(D13)</f>
        <v>19.373621234767832</v>
      </c>
      <c r="F13" s="2">
        <f t="shared" ref="F13:F22" si="0">C13-$C$9*SIN(D13)</f>
        <v>72.572224375599077</v>
      </c>
      <c r="G13" s="2">
        <f t="shared" ref="G13:G22" si="1">ATAN(($F$9-F13)/($E$9-E13))</f>
        <v>-1.2569566377277253</v>
      </c>
      <c r="H13" s="2">
        <f t="shared" ref="H13:H22" si="2">TAN(ATAN(($F$9-F13)/($E$9-E13)))</f>
        <v>-3.0810334785156268</v>
      </c>
      <c r="I13" s="2">
        <f t="shared" ref="I13:I22" si="3">$L$9/COS(G13)</f>
        <v>0.22344374964263547</v>
      </c>
      <c r="J13" s="2">
        <f t="shared" ref="J13:J22" si="4">$K$9*COS(G13)</f>
        <v>140.58792000331687</v>
      </c>
      <c r="K13" s="2">
        <f t="shared" ref="K13:K22" si="5">I13/2/J13</f>
        <v>7.9467620559918592E-4</v>
      </c>
      <c r="L13" s="2">
        <f t="shared" ref="L13:L22" si="6">H13-K13*($E$9+E13)</f>
        <v>-3.096429234327188</v>
      </c>
      <c r="M13" s="2">
        <f t="shared" ref="M13:M22" si="7">F13-H13*E13+K13*E13*$E$9</f>
        <v>132.26300000000003</v>
      </c>
      <c r="N13" s="2">
        <f t="shared" ref="N13:N22" si="8">ATAN(2*K13*$E$9+L13)*180/PI()</f>
        <v>-72.102000532750864</v>
      </c>
      <c r="O13" s="2">
        <f t="shared" ref="O13:O22" si="9">ATAN(2*K13*E13+L13)*180/PI()</f>
        <v>-71.933860098404622</v>
      </c>
    </row>
    <row r="14" spans="1:18">
      <c r="A14" s="2">
        <v>2</v>
      </c>
      <c r="B14" s="2">
        <f t="shared" ref="B14:C22" si="10">B13</f>
        <v>20</v>
      </c>
      <c r="C14" s="2">
        <f t="shared" si="10"/>
        <v>70.64233042968749</v>
      </c>
      <c r="D14" s="2">
        <f t="shared" ref="D14:D22" si="11">O13*PI()/180</f>
        <v>-1.255482702386133</v>
      </c>
      <c r="E14" s="2">
        <f t="shared" ref="E13:E22" si="12">B14-$C$9*COS(D14)</f>
        <v>19.370777377304616</v>
      </c>
      <c r="F14" s="2">
        <f t="shared" si="0"/>
        <v>72.571299037801253</v>
      </c>
      <c r="G14" s="2">
        <f t="shared" si="1"/>
        <v>-1.2570042922896008</v>
      </c>
      <c r="H14" s="2">
        <f t="shared" si="2"/>
        <v>-3.081533580171921</v>
      </c>
      <c r="I14" s="2">
        <f t="shared" si="3"/>
        <v>0.22347656190974247</v>
      </c>
      <c r="J14" s="2">
        <f t="shared" si="4"/>
        <v>140.56727798008299</v>
      </c>
      <c r="K14" s="2">
        <f t="shared" si="5"/>
        <v>7.9490961595417287E-4</v>
      </c>
      <c r="L14" s="2">
        <f t="shared" si="6"/>
        <v>-3.0969315973776479</v>
      </c>
      <c r="M14" s="2">
        <f t="shared" si="7"/>
        <v>132.26300000000001</v>
      </c>
      <c r="N14" s="2">
        <f t="shared" si="8"/>
        <v>-72.10471864730637</v>
      </c>
      <c r="O14" s="2">
        <f t="shared" si="9"/>
        <v>-71.936602894183793</v>
      </c>
    </row>
    <row r="15" spans="1:18">
      <c r="A15" s="2">
        <v>3</v>
      </c>
      <c r="B15" s="2">
        <f t="shared" si="10"/>
        <v>20</v>
      </c>
      <c r="C15" s="2">
        <f t="shared" si="10"/>
        <v>70.64233042968749</v>
      </c>
      <c r="D15" s="2">
        <f t="shared" si="11"/>
        <v>-1.2555305732031892</v>
      </c>
      <c r="E15" s="2">
        <f t="shared" si="12"/>
        <v>19.370869719328894</v>
      </c>
      <c r="F15" s="2">
        <f t="shared" si="0"/>
        <v>72.571329156992078</v>
      </c>
      <c r="G15" s="2">
        <f t="shared" si="1"/>
        <v>-1.2570027445547571</v>
      </c>
      <c r="H15" s="2">
        <f t="shared" si="2"/>
        <v>-3.0815173354578698</v>
      </c>
      <c r="I15" s="2">
        <f t="shared" si="3"/>
        <v>0.22347549606667336</v>
      </c>
      <c r="J15" s="2">
        <f t="shared" si="4"/>
        <v>140.5679484010536</v>
      </c>
      <c r="K15" s="2">
        <f t="shared" si="5"/>
        <v>7.9490203353141614E-4</v>
      </c>
      <c r="L15" s="2">
        <f t="shared" si="6"/>
        <v>-3.0969152791890364</v>
      </c>
      <c r="M15" s="2">
        <f t="shared" si="7"/>
        <v>132.26299999999998</v>
      </c>
      <c r="N15" s="2">
        <f t="shared" si="8"/>
        <v>-72.104630367720475</v>
      </c>
      <c r="O15" s="2">
        <f t="shared" si="9"/>
        <v>-71.936513813181477</v>
      </c>
    </row>
    <row r="16" spans="1:18">
      <c r="A16" s="2">
        <v>4</v>
      </c>
      <c r="B16" s="2">
        <f t="shared" si="10"/>
        <v>20</v>
      </c>
      <c r="C16" s="2">
        <f t="shared" si="10"/>
        <v>70.64233042968749</v>
      </c>
      <c r="D16" s="2">
        <f t="shared" si="11"/>
        <v>-1.2555290184463979</v>
      </c>
      <c r="E16" s="2">
        <f t="shared" si="12"/>
        <v>19.370866720205782</v>
      </c>
      <c r="F16" s="2">
        <f t="shared" si="0"/>
        <v>72.571328178845164</v>
      </c>
      <c r="G16" s="2">
        <f t="shared" si="1"/>
        <v>-1.2570027948223628</v>
      </c>
      <c r="H16" s="2">
        <f t="shared" si="2"/>
        <v>-3.0815178630541271</v>
      </c>
      <c r="I16" s="2">
        <f t="shared" si="3"/>
        <v>0.22347553068314471</v>
      </c>
      <c r="J16" s="2">
        <f t="shared" si="4"/>
        <v>140.56792662700818</v>
      </c>
      <c r="K16" s="2">
        <f t="shared" si="5"/>
        <v>7.9490227979291757E-4</v>
      </c>
      <c r="L16" s="2">
        <f t="shared" si="6"/>
        <v>-3.0969158091715836</v>
      </c>
      <c r="M16" s="2">
        <f t="shared" si="7"/>
        <v>132.26300000000001</v>
      </c>
      <c r="N16" s="2">
        <f t="shared" si="8"/>
        <v>-72.104633234880353</v>
      </c>
      <c r="O16" s="2">
        <f t="shared" si="9"/>
        <v>-71.936516706370099</v>
      </c>
    </row>
    <row r="17" spans="1:18">
      <c r="A17" s="2">
        <v>5</v>
      </c>
      <c r="B17" s="2">
        <f t="shared" si="10"/>
        <v>20</v>
      </c>
      <c r="C17" s="2">
        <f t="shared" si="10"/>
        <v>70.64233042968749</v>
      </c>
      <c r="D17" s="2">
        <f t="shared" si="11"/>
        <v>-1.2555290689420651</v>
      </c>
      <c r="E17" s="2">
        <f t="shared" si="12"/>
        <v>19.370866817611812</v>
      </c>
      <c r="F17" s="2">
        <f t="shared" si="0"/>
        <v>72.571328210613672</v>
      </c>
      <c r="G17" s="2">
        <f t="shared" si="1"/>
        <v>-1.2570027931897625</v>
      </c>
      <c r="H17" s="2">
        <f t="shared" si="2"/>
        <v>-3.0815178459187593</v>
      </c>
      <c r="I17" s="2">
        <f t="shared" si="3"/>
        <v>0.2234755295588646</v>
      </c>
      <c r="J17" s="2">
        <f t="shared" si="4"/>
        <v>140.56792733418951</v>
      </c>
      <c r="K17" s="2">
        <f t="shared" si="5"/>
        <v>7.9490227179479078E-4</v>
      </c>
      <c r="L17" s="2">
        <f t="shared" si="6"/>
        <v>-3.0969157919587134</v>
      </c>
      <c r="M17" s="2">
        <f t="shared" si="7"/>
        <v>132.26300000000001</v>
      </c>
      <c r="N17" s="2">
        <f t="shared" si="8"/>
        <v>-72.104633141760232</v>
      </c>
      <c r="O17" s="2">
        <f t="shared" si="9"/>
        <v>-71.936516612404603</v>
      </c>
    </row>
    <row r="18" spans="1:18">
      <c r="A18" s="2">
        <v>6</v>
      </c>
      <c r="B18" s="2">
        <f t="shared" si="10"/>
        <v>20</v>
      </c>
      <c r="C18" s="2">
        <f t="shared" si="10"/>
        <v>70.64233042968749</v>
      </c>
      <c r="D18" s="2">
        <f t="shared" si="11"/>
        <v>-1.2555290673020578</v>
      </c>
      <c r="E18" s="2">
        <f t="shared" si="12"/>
        <v>19.370866814448242</v>
      </c>
      <c r="F18" s="2">
        <f t="shared" si="0"/>
        <v>72.571328209581878</v>
      </c>
      <c r="G18" s="2">
        <f t="shared" si="1"/>
        <v>-1.2570027932427865</v>
      </c>
      <c r="H18" s="2">
        <f t="shared" si="2"/>
        <v>-3.0815178464752861</v>
      </c>
      <c r="I18" s="2">
        <f t="shared" si="3"/>
        <v>0.22347552959537925</v>
      </c>
      <c r="J18" s="2">
        <f t="shared" si="4"/>
        <v>140.5679273112215</v>
      </c>
      <c r="K18" s="2">
        <f t="shared" si="5"/>
        <v>7.9490227205455586E-4</v>
      </c>
      <c r="L18" s="2">
        <f t="shared" si="6"/>
        <v>-3.0969157925177573</v>
      </c>
      <c r="M18" s="2">
        <f t="shared" si="7"/>
        <v>132.26300000000001</v>
      </c>
      <c r="N18" s="2">
        <f t="shared" si="8"/>
        <v>-72.104633144784614</v>
      </c>
      <c r="O18" s="2">
        <f t="shared" si="9"/>
        <v>-71.936516615456441</v>
      </c>
    </row>
    <row r="19" spans="1:18">
      <c r="A19" s="2">
        <v>7</v>
      </c>
      <c r="B19" s="2">
        <f t="shared" si="10"/>
        <v>20</v>
      </c>
      <c r="C19" s="2">
        <f t="shared" si="10"/>
        <v>70.64233042968749</v>
      </c>
      <c r="D19" s="2">
        <f t="shared" si="11"/>
        <v>-1.2555290673553223</v>
      </c>
      <c r="E19" s="2">
        <f t="shared" si="12"/>
        <v>19.37086681455099</v>
      </c>
      <c r="F19" s="2">
        <f t="shared" si="0"/>
        <v>72.571328209615388</v>
      </c>
      <c r="G19" s="2">
        <f t="shared" si="1"/>
        <v>-1.2570027932410643</v>
      </c>
      <c r="H19" s="2">
        <f t="shared" si="2"/>
        <v>-3.0815178464572108</v>
      </c>
      <c r="I19" s="2">
        <f t="shared" si="3"/>
        <v>0.22347552959419328</v>
      </c>
      <c r="J19" s="2">
        <f t="shared" si="4"/>
        <v>140.56792731196748</v>
      </c>
      <c r="K19" s="2">
        <f t="shared" si="5"/>
        <v>7.9490227204611892E-4</v>
      </c>
      <c r="L19" s="2">
        <f t="shared" si="6"/>
        <v>-3.0969157924996003</v>
      </c>
      <c r="M19" s="2">
        <f t="shared" si="7"/>
        <v>132.26300000000001</v>
      </c>
      <c r="N19" s="2">
        <f t="shared" si="8"/>
        <v>-72.104633144686375</v>
      </c>
      <c r="O19" s="2">
        <f t="shared" si="9"/>
        <v>-71.936516615357306</v>
      </c>
    </row>
    <row r="20" spans="1:18">
      <c r="A20" s="2">
        <v>8</v>
      </c>
      <c r="B20" s="2">
        <f t="shared" si="10"/>
        <v>20</v>
      </c>
      <c r="C20" s="2">
        <f t="shared" si="10"/>
        <v>70.64233042968749</v>
      </c>
      <c r="D20" s="2">
        <f t="shared" si="11"/>
        <v>-1.2555290673535922</v>
      </c>
      <c r="E20" s="2">
        <f t="shared" si="12"/>
        <v>19.37086681454765</v>
      </c>
      <c r="F20" s="2">
        <f t="shared" si="0"/>
        <v>72.571328209614308</v>
      </c>
      <c r="G20" s="2">
        <f t="shared" si="1"/>
        <v>-1.2570027932411203</v>
      </c>
      <c r="H20" s="2">
        <f t="shared" si="2"/>
        <v>-3.0815178464577979</v>
      </c>
      <c r="I20" s="2">
        <f t="shared" si="3"/>
        <v>0.22347552959423184</v>
      </c>
      <c r="J20" s="2">
        <f t="shared" si="4"/>
        <v>140.56792731194324</v>
      </c>
      <c r="K20" s="2">
        <f t="shared" si="5"/>
        <v>7.9490227204639312E-4</v>
      </c>
      <c r="L20" s="2">
        <f t="shared" si="6"/>
        <v>-3.09691579250019</v>
      </c>
      <c r="M20" s="2">
        <f t="shared" si="7"/>
        <v>132.26300000000001</v>
      </c>
      <c r="N20" s="2">
        <f t="shared" si="8"/>
        <v>-72.104633144689572</v>
      </c>
      <c r="O20" s="2">
        <f t="shared" si="9"/>
        <v>-71.936516615360532</v>
      </c>
    </row>
    <row r="21" spans="1:18">
      <c r="A21" s="2">
        <v>9</v>
      </c>
      <c r="B21" s="2">
        <f t="shared" si="10"/>
        <v>20</v>
      </c>
      <c r="C21" s="2">
        <f t="shared" si="10"/>
        <v>70.64233042968749</v>
      </c>
      <c r="D21" s="2">
        <f t="shared" si="11"/>
        <v>-1.2555290673536486</v>
      </c>
      <c r="E21" s="2">
        <f t="shared" si="12"/>
        <v>19.37086681454776</v>
      </c>
      <c r="F21" s="2">
        <f t="shared" si="0"/>
        <v>72.571328209614336</v>
      </c>
      <c r="G21" s="2">
        <f t="shared" si="1"/>
        <v>-1.2570027932411185</v>
      </c>
      <c r="H21" s="2">
        <f t="shared" si="2"/>
        <v>-3.0815178464577793</v>
      </c>
      <c r="I21" s="2">
        <f t="shared" si="3"/>
        <v>0.22347552959423059</v>
      </c>
      <c r="J21" s="2">
        <f t="shared" si="4"/>
        <v>140.567927311944</v>
      </c>
      <c r="K21" s="2">
        <f t="shared" si="5"/>
        <v>7.9490227204638433E-4</v>
      </c>
      <c r="L21" s="2">
        <f t="shared" si="6"/>
        <v>-3.0969157925001713</v>
      </c>
      <c r="M21" s="2">
        <f t="shared" si="7"/>
        <v>132.26300000000001</v>
      </c>
      <c r="N21" s="2">
        <f t="shared" si="8"/>
        <v>-72.104633144689473</v>
      </c>
      <c r="O21" s="2">
        <f t="shared" si="9"/>
        <v>-71.936516615360432</v>
      </c>
    </row>
    <row r="22" spans="1:18">
      <c r="A22" s="2">
        <v>10</v>
      </c>
      <c r="B22" s="2">
        <f t="shared" si="10"/>
        <v>20</v>
      </c>
      <c r="C22" s="2">
        <f t="shared" si="10"/>
        <v>70.64233042968749</v>
      </c>
      <c r="D22" s="2">
        <f t="shared" si="11"/>
        <v>-1.2555290673536468</v>
      </c>
      <c r="E22" s="2">
        <f t="shared" si="12"/>
        <v>19.370866814547757</v>
      </c>
      <c r="F22" s="2">
        <f t="shared" si="0"/>
        <v>72.571328209614336</v>
      </c>
      <c r="G22" s="2">
        <f t="shared" si="1"/>
        <v>-1.2570027932411185</v>
      </c>
      <c r="H22" s="2">
        <f t="shared" si="2"/>
        <v>-3.0815178464577793</v>
      </c>
      <c r="I22" s="2">
        <f t="shared" si="3"/>
        <v>0.22347552959423059</v>
      </c>
      <c r="J22" s="2">
        <f t="shared" si="4"/>
        <v>140.567927311944</v>
      </c>
      <c r="K22" s="2">
        <f t="shared" si="5"/>
        <v>7.9490227204638433E-4</v>
      </c>
      <c r="L22" s="2">
        <f t="shared" si="6"/>
        <v>-3.0969157925001713</v>
      </c>
      <c r="M22" s="2">
        <f t="shared" si="7"/>
        <v>132.26300000000001</v>
      </c>
      <c r="N22" s="2">
        <f t="shared" si="8"/>
        <v>-72.104633144689473</v>
      </c>
      <c r="O22" s="2">
        <f t="shared" si="9"/>
        <v>-71.936516615360432</v>
      </c>
    </row>
    <row r="24" spans="1:18" s="4" customFormat="1">
      <c r="A24" s="3" t="s">
        <v>45</v>
      </c>
      <c r="B24" s="5" t="s">
        <v>60</v>
      </c>
      <c r="C24" s="5" t="s">
        <v>55</v>
      </c>
      <c r="D24" s="5" t="s">
        <v>61</v>
      </c>
      <c r="E24" s="5" t="s">
        <v>62</v>
      </c>
      <c r="F24" s="5" t="s">
        <v>63</v>
      </c>
      <c r="G24" s="3" t="s">
        <v>64</v>
      </c>
      <c r="H24" s="3" t="s">
        <v>65</v>
      </c>
      <c r="I24" s="5" t="s">
        <v>66</v>
      </c>
      <c r="J24" s="5" t="s">
        <v>67</v>
      </c>
      <c r="K24" s="5" t="s">
        <v>68</v>
      </c>
      <c r="L24" s="5" t="s">
        <v>69</v>
      </c>
      <c r="M24" s="5" t="s">
        <v>70</v>
      </c>
      <c r="N24" s="5" t="s">
        <v>71</v>
      </c>
      <c r="O24" s="5" t="s">
        <v>72</v>
      </c>
      <c r="P24" s="3" t="s">
        <v>73</v>
      </c>
      <c r="Q24" s="5" t="s">
        <v>74</v>
      </c>
      <c r="R24" s="5" t="s">
        <v>75</v>
      </c>
    </row>
    <row r="25" spans="1:18">
      <c r="A25" s="2">
        <v>1</v>
      </c>
      <c r="B25" s="2">
        <f>$N$9</f>
        <v>3.5</v>
      </c>
      <c r="C25" s="2">
        <f t="shared" ref="C25:C34" si="13">$K$22</f>
        <v>7.9490227204638433E-4</v>
      </c>
      <c r="D25" s="2">
        <f t="shared" ref="D25:D34" si="14">$L$22</f>
        <v>-3.0969157925001713</v>
      </c>
      <c r="E25" s="2">
        <f t="shared" ref="E25:E34" si="15">$M$22</f>
        <v>132.26300000000001</v>
      </c>
      <c r="F25" s="2">
        <f t="shared" ref="F25:F34" si="16">C25*B25^2+D25*B25+E25</f>
        <v>121.43353227908197</v>
      </c>
      <c r="G25" s="2">
        <f t="shared" ref="G25:G34" si="17">2*C25*B25+D25</f>
        <v>-3.0913514765958467</v>
      </c>
      <c r="H25" s="2">
        <f t="shared" ref="H25:H34" si="18">ATAN(G25)*180/PI()</f>
        <v>-72.074481623621978</v>
      </c>
      <c r="I25" s="2">
        <f t="shared" ref="I25:I34" si="19">-1/G25</f>
        <v>0.3234831133149525</v>
      </c>
      <c r="J25" s="2">
        <f t="shared" ref="J25:J34" si="20">I25</f>
        <v>0.3234831133149525</v>
      </c>
      <c r="K25" s="2">
        <f t="shared" ref="K25:K34" si="21">-I25*B25+F25</f>
        <v>120.30134138247963</v>
      </c>
      <c r="L25" s="2">
        <f t="shared" ref="L25:L34" si="22">$H$4</f>
        <v>-173.91304347826087</v>
      </c>
      <c r="M25" s="2">
        <f t="shared" ref="M25:M34" si="23">$H$5</f>
        <v>485.15430434782604</v>
      </c>
      <c r="N25" s="2">
        <f t="shared" ref="N25:N34" si="24">-(K25-M25)/(J25-L25)</f>
        <v>2.0940096207300467</v>
      </c>
      <c r="O25" s="2">
        <f t="shared" ref="O25:O34" si="25">J25*N25+K25</f>
        <v>120.97871813390485</v>
      </c>
      <c r="P25" s="2">
        <f t="shared" ref="P25:P34" si="26">((B25-N25)^2+(F25-O25)^2)^0.5</f>
        <v>1.4777228607735842</v>
      </c>
      <c r="Q25" s="2">
        <f t="shared" ref="Q25:Q34" si="27">$O$9</f>
        <v>0.4</v>
      </c>
      <c r="R25" s="2">
        <f t="shared" ref="R25:R34" si="28">(P25-Q25)*SIN(H25*PI()/180)</f>
        <v>-1.0254074116263685</v>
      </c>
    </row>
    <row r="26" spans="1:18">
      <c r="A26" s="2">
        <v>2</v>
      </c>
      <c r="B26" s="2">
        <f t="shared" ref="B26:B34" si="29">B25+R25</f>
        <v>2.4745925883736315</v>
      </c>
      <c r="C26" s="2">
        <f t="shared" si="13"/>
        <v>7.9490227204638433E-4</v>
      </c>
      <c r="D26" s="2">
        <f t="shared" si="14"/>
        <v>-3.0969157925001713</v>
      </c>
      <c r="E26" s="2">
        <f t="shared" si="15"/>
        <v>132.26300000000001</v>
      </c>
      <c r="F26" s="2">
        <f t="shared" si="16"/>
        <v>124.60426280335446</v>
      </c>
      <c r="G26" s="2">
        <f t="shared" si="17"/>
        <v>-3.0929816739583966</v>
      </c>
      <c r="H26" s="2">
        <f t="shared" si="18"/>
        <v>-72.083325394459536</v>
      </c>
      <c r="I26" s="2">
        <f t="shared" si="19"/>
        <v>0.32331261721321497</v>
      </c>
      <c r="J26" s="2">
        <f t="shared" si="20"/>
        <v>0.32331261721321497</v>
      </c>
      <c r="K26" s="2">
        <f t="shared" si="21"/>
        <v>123.80419579707096</v>
      </c>
      <c r="L26" s="2">
        <f t="shared" si="22"/>
        <v>-173.91304347826087</v>
      </c>
      <c r="M26" s="2">
        <f t="shared" si="23"/>
        <v>485.15430434782604</v>
      </c>
      <c r="N26" s="2">
        <f t="shared" si="24"/>
        <v>2.0739076312681299</v>
      </c>
      <c r="O26" s="2">
        <f t="shared" si="25"/>
        <v>124.47471630119472</v>
      </c>
      <c r="P26" s="2">
        <f t="shared" si="26"/>
        <v>0.42110655548502374</v>
      </c>
      <c r="Q26" s="2">
        <f t="shared" si="27"/>
        <v>0.4</v>
      </c>
      <c r="R26" s="2">
        <f t="shared" si="28"/>
        <v>-2.0082991273837725E-2</v>
      </c>
    </row>
    <row r="27" spans="1:18">
      <c r="A27" s="2">
        <v>3</v>
      </c>
      <c r="B27" s="2">
        <f t="shared" si="29"/>
        <v>2.4545095970997939</v>
      </c>
      <c r="C27" s="2">
        <f t="shared" si="13"/>
        <v>7.9490227204638433E-4</v>
      </c>
      <c r="D27" s="2">
        <f t="shared" si="14"/>
        <v>-3.0969157925001713</v>
      </c>
      <c r="E27" s="2">
        <f t="shared" si="15"/>
        <v>132.26300000000001</v>
      </c>
      <c r="F27" s="2">
        <f t="shared" si="16"/>
        <v>124.66637944792788</v>
      </c>
      <c r="G27" s="2">
        <f t="shared" si="17"/>
        <v>-3.093013601989183</v>
      </c>
      <c r="H27" s="2">
        <f t="shared" si="18"/>
        <v>-72.083498518781326</v>
      </c>
      <c r="I27" s="2">
        <f t="shared" si="19"/>
        <v>0.32330927977713342</v>
      </c>
      <c r="J27" s="2">
        <f t="shared" si="20"/>
        <v>0.32330927977713342</v>
      </c>
      <c r="K27" s="2">
        <f t="shared" si="21"/>
        <v>123.87281371788349</v>
      </c>
      <c r="L27" s="2">
        <f t="shared" si="22"/>
        <v>-173.91304347826087</v>
      </c>
      <c r="M27" s="2">
        <f t="shared" si="23"/>
        <v>485.15430434782604</v>
      </c>
      <c r="N27" s="2">
        <f t="shared" si="24"/>
        <v>2.0735138500726888</v>
      </c>
      <c r="O27" s="2">
        <f t="shared" si="25"/>
        <v>124.54319998735841</v>
      </c>
      <c r="P27" s="2">
        <f t="shared" si="26"/>
        <v>0.40041345976244175</v>
      </c>
      <c r="Q27" s="2">
        <f t="shared" si="27"/>
        <v>0.4</v>
      </c>
      <c r="R27" s="2">
        <f t="shared" si="28"/>
        <v>-3.9340938027056124E-4</v>
      </c>
    </row>
    <row r="28" spans="1:18">
      <c r="A28" s="2">
        <v>4</v>
      </c>
      <c r="B28" s="2">
        <f t="shared" si="29"/>
        <v>2.4541161877195234</v>
      </c>
      <c r="C28" s="2">
        <f t="shared" si="13"/>
        <v>7.9490227204638433E-4</v>
      </c>
      <c r="D28" s="2">
        <f t="shared" si="14"/>
        <v>-3.0969157925001713</v>
      </c>
      <c r="E28" s="2">
        <f t="shared" si="15"/>
        <v>132.26300000000001</v>
      </c>
      <c r="F28" s="2">
        <f t="shared" si="16"/>
        <v>124.66759626861524</v>
      </c>
      <c r="G28" s="2">
        <f t="shared" si="17"/>
        <v>-3.0930142274332031</v>
      </c>
      <c r="H28" s="2">
        <f t="shared" si="18"/>
        <v>-72.083501910112943</v>
      </c>
      <c r="I28" s="2">
        <f t="shared" si="19"/>
        <v>0.32330921440017724</v>
      </c>
      <c r="J28" s="2">
        <f t="shared" si="20"/>
        <v>0.32330921440017724</v>
      </c>
      <c r="K28" s="2">
        <f t="shared" si="21"/>
        <v>123.87415789191688</v>
      </c>
      <c r="L28" s="2">
        <f t="shared" si="22"/>
        <v>-173.91304347826087</v>
      </c>
      <c r="M28" s="2">
        <f t="shared" si="23"/>
        <v>485.15430434782604</v>
      </c>
      <c r="N28" s="2">
        <f t="shared" si="24"/>
        <v>2.0735061361917877</v>
      </c>
      <c r="O28" s="2">
        <f t="shared" si="25"/>
        <v>124.54454153186299</v>
      </c>
      <c r="P28" s="2">
        <f t="shared" si="26"/>
        <v>0.40000809936938986</v>
      </c>
      <c r="Q28" s="2">
        <f t="shared" si="27"/>
        <v>0.4</v>
      </c>
      <c r="R28" s="2">
        <f t="shared" si="28"/>
        <v>-7.7065974555700386E-6</v>
      </c>
    </row>
    <row r="29" spans="1:18">
      <c r="A29" s="2">
        <v>5</v>
      </c>
      <c r="B29" s="2">
        <f t="shared" si="29"/>
        <v>2.4541084811220677</v>
      </c>
      <c r="C29" s="2">
        <f t="shared" si="13"/>
        <v>7.9490227204638433E-4</v>
      </c>
      <c r="D29" s="2">
        <f t="shared" si="14"/>
        <v>-3.0969157925001713</v>
      </c>
      <c r="E29" s="2">
        <f t="shared" si="15"/>
        <v>132.26300000000001</v>
      </c>
      <c r="F29" s="2">
        <f t="shared" si="16"/>
        <v>124.66762010523087</v>
      </c>
      <c r="G29" s="2">
        <f t="shared" si="17"/>
        <v>-3.093014239685187</v>
      </c>
      <c r="H29" s="2">
        <f t="shared" si="18"/>
        <v>-72.0835019765466</v>
      </c>
      <c r="I29" s="2">
        <f t="shared" si="19"/>
        <v>0.32330921311949146</v>
      </c>
      <c r="J29" s="2">
        <f t="shared" si="20"/>
        <v>0.32330921311949146</v>
      </c>
      <c r="K29" s="2">
        <f t="shared" si="21"/>
        <v>123.87418422328942</v>
      </c>
      <c r="L29" s="2">
        <f t="shared" si="22"/>
        <v>-173.91304347826087</v>
      </c>
      <c r="M29" s="2">
        <f t="shared" si="23"/>
        <v>485.15430434782604</v>
      </c>
      <c r="N29" s="2">
        <f t="shared" si="24"/>
        <v>2.0735059850825808</v>
      </c>
      <c r="O29" s="2">
        <f t="shared" si="25"/>
        <v>124.54456781172502</v>
      </c>
      <c r="P29" s="2">
        <f t="shared" si="26"/>
        <v>0.40000015866064048</v>
      </c>
      <c r="Q29" s="2">
        <f t="shared" si="27"/>
        <v>0.4</v>
      </c>
      <c r="R29" s="2">
        <f t="shared" si="28"/>
        <v>-1.5096652957378503E-7</v>
      </c>
    </row>
    <row r="30" spans="1:18">
      <c r="A30" s="2">
        <v>6</v>
      </c>
      <c r="B30" s="2">
        <f t="shared" si="29"/>
        <v>2.4541083301555382</v>
      </c>
      <c r="C30" s="2">
        <f t="shared" si="13"/>
        <v>7.9490227204638433E-4</v>
      </c>
      <c r="D30" s="2">
        <f t="shared" si="14"/>
        <v>-3.0969157925001713</v>
      </c>
      <c r="E30" s="2">
        <f t="shared" si="15"/>
        <v>132.26300000000001</v>
      </c>
      <c r="F30" s="2">
        <f t="shared" si="16"/>
        <v>124.6676205721725</v>
      </c>
      <c r="G30" s="2">
        <f t="shared" si="17"/>
        <v>-3.0930142399251941</v>
      </c>
      <c r="H30" s="2">
        <f t="shared" si="18"/>
        <v>-72.083501977847988</v>
      </c>
      <c r="I30" s="2">
        <f t="shared" si="19"/>
        <v>0.3233092130944038</v>
      </c>
      <c r="J30" s="2">
        <f t="shared" si="20"/>
        <v>0.3233092130944038</v>
      </c>
      <c r="K30" s="2">
        <f t="shared" si="21"/>
        <v>123.87418473910148</v>
      </c>
      <c r="L30" s="2">
        <f t="shared" si="22"/>
        <v>-173.91304347826087</v>
      </c>
      <c r="M30" s="2">
        <f t="shared" si="23"/>
        <v>485.15430434782604</v>
      </c>
      <c r="N30" s="2">
        <f t="shared" si="24"/>
        <v>2.0735059821224637</v>
      </c>
      <c r="O30" s="2">
        <f t="shared" si="25"/>
        <v>124.54456832652804</v>
      </c>
      <c r="P30" s="2">
        <f t="shared" si="26"/>
        <v>0.40000000310804223</v>
      </c>
      <c r="Q30" s="2">
        <f t="shared" si="27"/>
        <v>0.4</v>
      </c>
      <c r="R30" s="2">
        <f t="shared" si="28"/>
        <v>-2.9573203866657377E-9</v>
      </c>
    </row>
    <row r="31" spans="1:18">
      <c r="A31" s="2">
        <v>7</v>
      </c>
      <c r="B31" s="2">
        <f t="shared" si="29"/>
        <v>2.454108327198218</v>
      </c>
      <c r="C31" s="2">
        <f t="shared" si="13"/>
        <v>7.9490227204638433E-4</v>
      </c>
      <c r="D31" s="2">
        <f t="shared" si="14"/>
        <v>-3.0969157925001713</v>
      </c>
      <c r="E31" s="2">
        <f t="shared" si="15"/>
        <v>132.26300000000001</v>
      </c>
      <c r="F31" s="2">
        <f t="shared" si="16"/>
        <v>124.66762058131953</v>
      </c>
      <c r="G31" s="2">
        <f t="shared" si="17"/>
        <v>-3.0930142399298957</v>
      </c>
      <c r="H31" s="2">
        <f t="shared" si="18"/>
        <v>-72.083501977873482</v>
      </c>
      <c r="I31" s="2">
        <f t="shared" si="19"/>
        <v>0.32330921309391236</v>
      </c>
      <c r="J31" s="2">
        <f t="shared" si="20"/>
        <v>0.32330921309391236</v>
      </c>
      <c r="K31" s="2">
        <f t="shared" si="21"/>
        <v>123.87418474920585</v>
      </c>
      <c r="L31" s="2">
        <f t="shared" si="22"/>
        <v>-173.91304347826087</v>
      </c>
      <c r="M31" s="2">
        <f t="shared" si="23"/>
        <v>485.15430434782604</v>
      </c>
      <c r="N31" s="2">
        <f t="shared" si="24"/>
        <v>2.0735059820644772</v>
      </c>
      <c r="O31" s="2">
        <f t="shared" si="25"/>
        <v>124.54456833661264</v>
      </c>
      <c r="P31" s="2">
        <f t="shared" si="26"/>
        <v>0.40000000006088238</v>
      </c>
      <c r="Q31" s="2">
        <f t="shared" si="27"/>
        <v>0.4</v>
      </c>
      <c r="R31" s="2">
        <f t="shared" si="28"/>
        <v>-5.7929917443994013E-11</v>
      </c>
    </row>
    <row r="32" spans="1:18">
      <c r="A32" s="2">
        <v>8</v>
      </c>
      <c r="B32" s="2">
        <f t="shared" si="29"/>
        <v>2.4541083271402879</v>
      </c>
      <c r="C32" s="2">
        <f t="shared" si="13"/>
        <v>7.9490227204638433E-4</v>
      </c>
      <c r="D32" s="2">
        <f t="shared" si="14"/>
        <v>-3.0969157925001713</v>
      </c>
      <c r="E32" s="2">
        <f t="shared" si="15"/>
        <v>132.26300000000001</v>
      </c>
      <c r="F32" s="2">
        <f t="shared" si="16"/>
        <v>124.6676205814987</v>
      </c>
      <c r="G32" s="2">
        <f t="shared" si="17"/>
        <v>-3.093014239929988</v>
      </c>
      <c r="H32" s="2">
        <f t="shared" si="18"/>
        <v>-72.083501977873979</v>
      </c>
      <c r="I32" s="2">
        <f t="shared" si="19"/>
        <v>0.3233092130939027</v>
      </c>
      <c r="J32" s="2">
        <f t="shared" si="20"/>
        <v>0.3233092130939027</v>
      </c>
      <c r="K32" s="2">
        <f t="shared" si="21"/>
        <v>123.87418474940378</v>
      </c>
      <c r="L32" s="2">
        <f t="shared" si="22"/>
        <v>-173.91304347826087</v>
      </c>
      <c r="M32" s="2">
        <f t="shared" si="23"/>
        <v>485.15430434782604</v>
      </c>
      <c r="N32" s="2">
        <f t="shared" si="24"/>
        <v>2.0735059820633412</v>
      </c>
      <c r="O32" s="2">
        <f t="shared" si="25"/>
        <v>124.54456833681019</v>
      </c>
      <c r="P32" s="2">
        <f t="shared" si="26"/>
        <v>0.40000000000118985</v>
      </c>
      <c r="Q32" s="2">
        <f t="shared" si="27"/>
        <v>0.4</v>
      </c>
      <c r="R32" s="2">
        <f t="shared" si="28"/>
        <v>-1.1321264293199975E-12</v>
      </c>
    </row>
    <row r="33" spans="1:18">
      <c r="A33" s="2">
        <v>9</v>
      </c>
      <c r="B33" s="2">
        <f t="shared" si="29"/>
        <v>2.4541083271391559</v>
      </c>
      <c r="C33" s="2">
        <f t="shared" si="13"/>
        <v>7.9490227204638433E-4</v>
      </c>
      <c r="D33" s="2">
        <f t="shared" si="14"/>
        <v>-3.0969157925001713</v>
      </c>
      <c r="E33" s="2">
        <f t="shared" si="15"/>
        <v>132.26300000000001</v>
      </c>
      <c r="F33" s="2">
        <f t="shared" si="16"/>
        <v>124.66762058150221</v>
      </c>
      <c r="G33" s="2">
        <f t="shared" si="17"/>
        <v>-3.0930142399299898</v>
      </c>
      <c r="H33" s="2">
        <f t="shared" si="18"/>
        <v>-72.083501977873979</v>
      </c>
      <c r="I33" s="2">
        <f t="shared" si="19"/>
        <v>0.32330921309390254</v>
      </c>
      <c r="J33" s="2">
        <f t="shared" si="20"/>
        <v>0.32330921309390254</v>
      </c>
      <c r="K33" s="2">
        <f t="shared" si="21"/>
        <v>123.87418474940765</v>
      </c>
      <c r="L33" s="2">
        <f t="shared" si="22"/>
        <v>-173.91304347826087</v>
      </c>
      <c r="M33" s="2">
        <f t="shared" si="23"/>
        <v>485.15430434782604</v>
      </c>
      <c r="N33" s="2">
        <f t="shared" si="24"/>
        <v>2.073505982063319</v>
      </c>
      <c r="O33" s="2">
        <f t="shared" si="25"/>
        <v>124.54456833681404</v>
      </c>
      <c r="P33" s="2">
        <f t="shared" si="26"/>
        <v>0.400000000000029</v>
      </c>
      <c r="Q33" s="2">
        <f t="shared" si="27"/>
        <v>0.4</v>
      </c>
      <c r="R33" s="2">
        <f t="shared" si="28"/>
        <v>-2.75716150090995E-14</v>
      </c>
    </row>
    <row r="34" spans="1:18">
      <c r="A34" s="2">
        <v>10</v>
      </c>
      <c r="B34" s="2">
        <f t="shared" si="29"/>
        <v>2.4541083271391284</v>
      </c>
      <c r="C34" s="2">
        <f t="shared" si="13"/>
        <v>7.9490227204638433E-4</v>
      </c>
      <c r="D34" s="2">
        <f t="shared" si="14"/>
        <v>-3.0969157925001713</v>
      </c>
      <c r="E34" s="2">
        <f t="shared" si="15"/>
        <v>132.26300000000001</v>
      </c>
      <c r="F34" s="2">
        <f t="shared" si="16"/>
        <v>124.66762058150229</v>
      </c>
      <c r="G34" s="2">
        <f t="shared" si="17"/>
        <v>-3.0930142399299898</v>
      </c>
      <c r="H34" s="2">
        <f t="shared" si="18"/>
        <v>-72.083501977873979</v>
      </c>
      <c r="I34" s="2">
        <f t="shared" si="19"/>
        <v>0.32330921309390254</v>
      </c>
      <c r="J34" s="2">
        <f t="shared" si="20"/>
        <v>0.32330921309390254</v>
      </c>
      <c r="K34" s="2">
        <f t="shared" si="21"/>
        <v>123.87418474940775</v>
      </c>
      <c r="L34" s="2">
        <f t="shared" si="22"/>
        <v>-173.91304347826087</v>
      </c>
      <c r="M34" s="2">
        <f t="shared" si="23"/>
        <v>485.15430434782604</v>
      </c>
      <c r="N34" s="2">
        <f t="shared" si="24"/>
        <v>2.0735059820633186</v>
      </c>
      <c r="O34" s="2">
        <f t="shared" si="25"/>
        <v>124.54456833681414</v>
      </c>
      <c r="P34" s="2">
        <f t="shared" si="26"/>
        <v>0.3999999999999988</v>
      </c>
      <c r="Q34" s="2">
        <f t="shared" si="27"/>
        <v>0.4</v>
      </c>
      <c r="R34" s="2">
        <f t="shared" si="28"/>
        <v>1.1620220885061092E-15</v>
      </c>
    </row>
    <row r="36" spans="1:18" s="4" customFormat="1">
      <c r="A36" s="3" t="s">
        <v>4</v>
      </c>
      <c r="B36" s="3" t="s">
        <v>76</v>
      </c>
      <c r="C36" s="3" t="s">
        <v>77</v>
      </c>
      <c r="D36" s="3" t="s">
        <v>78</v>
      </c>
      <c r="E36" s="3" t="s">
        <v>79</v>
      </c>
      <c r="F36" s="3" t="s">
        <v>50</v>
      </c>
      <c r="G36" s="3" t="s">
        <v>80</v>
      </c>
      <c r="H36" s="3" t="s">
        <v>81</v>
      </c>
      <c r="I36" s="3" t="s">
        <v>82</v>
      </c>
      <c r="J36" s="3" t="s">
        <v>60</v>
      </c>
      <c r="K36" s="3" t="s">
        <v>63</v>
      </c>
      <c r="L36" s="3" t="s">
        <v>71</v>
      </c>
      <c r="M36" s="3" t="s">
        <v>72</v>
      </c>
      <c r="N36" s="3"/>
      <c r="O36" s="3"/>
      <c r="P36" s="3"/>
      <c r="Q36" s="3"/>
      <c r="R36" s="3"/>
    </row>
    <row r="37" spans="1:18">
      <c r="A37" s="2">
        <v>1</v>
      </c>
      <c r="B37" s="2">
        <f>$B$22</f>
        <v>20</v>
      </c>
      <c r="C37" s="2">
        <f>C22+1.18</f>
        <v>71.822330429687497</v>
      </c>
      <c r="D37" s="2">
        <f>$C$22</f>
        <v>70.64233042968749</v>
      </c>
      <c r="E37" s="2">
        <f>$E$22</f>
        <v>19.370866814547757</v>
      </c>
      <c r="F37" s="2">
        <f>$F$22</f>
        <v>72.571328209614336</v>
      </c>
      <c r="G37" s="2">
        <f>$D$22*180/PI()</f>
        <v>-71.936516615360432</v>
      </c>
      <c r="H37" s="2">
        <f>E37-D9*COS(G37*PI()/180)</f>
        <v>18.758477439846828</v>
      </c>
      <c r="I37" s="2">
        <f>F37-D9*SIN(G37*PI()/180)</f>
        <v>74.448987458187787</v>
      </c>
      <c r="J37" s="2">
        <f>B34</f>
        <v>2.4541083271391284</v>
      </c>
      <c r="K37" s="2">
        <f>F34</f>
        <v>124.66762058150229</v>
      </c>
      <c r="L37" s="2">
        <f>N34</f>
        <v>2.0735059820633186</v>
      </c>
      <c r="M37" s="2">
        <f>O34</f>
        <v>124.54456833681414</v>
      </c>
    </row>
    <row r="39" spans="1:18" s="4" customFormat="1">
      <c r="A39" s="3" t="s">
        <v>4</v>
      </c>
      <c r="B39" s="3" t="s">
        <v>65</v>
      </c>
      <c r="C39" s="3" t="s">
        <v>83</v>
      </c>
      <c r="D39" s="3" t="s">
        <v>84</v>
      </c>
      <c r="E39" s="3" t="s">
        <v>85</v>
      </c>
      <c r="F39" s="3" t="s">
        <v>86</v>
      </c>
      <c r="G39" s="3" t="s">
        <v>87</v>
      </c>
      <c r="H39" s="3" t="s">
        <v>88</v>
      </c>
      <c r="I39" s="3" t="s">
        <v>89</v>
      </c>
      <c r="J39" s="3" t="s">
        <v>90</v>
      </c>
      <c r="K39" s="3" t="s">
        <v>91</v>
      </c>
      <c r="L39" s="3" t="s">
        <v>92</v>
      </c>
      <c r="M39" s="3" t="s">
        <v>93</v>
      </c>
      <c r="N39" s="3" t="s">
        <v>94</v>
      </c>
      <c r="O39" s="3"/>
      <c r="P39" s="3"/>
      <c r="Q39" s="3"/>
      <c r="R39" s="3"/>
    </row>
    <row r="40" spans="1:18">
      <c r="A40" s="2">
        <v>1</v>
      </c>
      <c r="B40" s="2">
        <f>H34</f>
        <v>-72.083501977873979</v>
      </c>
      <c r="C40" s="2">
        <f>J37-P9*SIN(B40*PI()/180)</f>
        <v>2.8347106722149391</v>
      </c>
      <c r="D40" s="2">
        <f>K37+P9*COS(B40*PI()/180)</f>
        <v>124.79067282619044</v>
      </c>
      <c r="E40" s="2">
        <f>G34</f>
        <v>-3.0930142399299898</v>
      </c>
      <c r="F40" s="2">
        <f>-E40*C40+D40</f>
        <v>133.55847330143277</v>
      </c>
      <c r="G40" s="2">
        <f>-(M34-F40)/(L34-E40)</f>
        <v>2.0582822319731671</v>
      </c>
      <c r="H40" s="2">
        <f>E40*G40+F40</f>
        <v>127.19217704814488</v>
      </c>
      <c r="I40" s="2">
        <f>E4</f>
        <v>-173.91304347826087</v>
      </c>
      <c r="J40" s="2">
        <f>E5</f>
        <v>763.41517391304353</v>
      </c>
      <c r="K40" s="2">
        <f>(-($L$22-$I$40)+(($L$22-$I$40)^2-4*$K$22*($M$22-$J$40))^0.5)/2/$K$22</f>
        <v>3.6948579181389127</v>
      </c>
      <c r="L40" s="2">
        <f>$I$40*K40+$J$40</f>
        <v>120.83118814975433</v>
      </c>
      <c r="M40" s="2">
        <f>(-($L$22-$I$40)-(($L$22-$I$40)^2-4*$K$22*($M$22-$J$40))^0.5)/2/$K$22</f>
        <v>-214893.16453576201</v>
      </c>
      <c r="N40" s="2">
        <f>$I$40*M40+$J$40</f>
        <v>37373487.682262957</v>
      </c>
    </row>
    <row r="42" spans="1:18" s="4" customFormat="1">
      <c r="A42" s="3" t="s">
        <v>4</v>
      </c>
      <c r="B42" s="3" t="s">
        <v>60</v>
      </c>
      <c r="C42" s="3" t="s">
        <v>63</v>
      </c>
      <c r="D42" s="3" t="s">
        <v>79</v>
      </c>
      <c r="E42" s="3" t="s">
        <v>50</v>
      </c>
      <c r="F42" s="3" t="s">
        <v>55</v>
      </c>
      <c r="G42" s="3" t="s">
        <v>61</v>
      </c>
      <c r="H42" s="3" t="s">
        <v>62</v>
      </c>
      <c r="I42" s="3" t="s">
        <v>95</v>
      </c>
      <c r="J42" s="3" t="s">
        <v>96</v>
      </c>
      <c r="K42" s="3" t="s">
        <v>97</v>
      </c>
      <c r="L42" s="3"/>
      <c r="M42" s="3"/>
      <c r="N42" s="3"/>
      <c r="O42" s="3"/>
      <c r="P42" s="3"/>
      <c r="Q42" s="3"/>
      <c r="R42" s="3"/>
    </row>
    <row r="43" spans="1:18">
      <c r="A43" s="2">
        <v>1</v>
      </c>
      <c r="B43" s="2">
        <f>B34</f>
        <v>2.4541083271391284</v>
      </c>
      <c r="C43" s="2">
        <f>F34</f>
        <v>124.66762058150229</v>
      </c>
      <c r="D43" s="2">
        <f>E37</f>
        <v>19.370866814547757</v>
      </c>
      <c r="E43" s="2">
        <f>F37</f>
        <v>72.571328209614336</v>
      </c>
      <c r="F43" s="2">
        <f>C34</f>
        <v>7.9490227204638433E-4</v>
      </c>
      <c r="G43" s="2">
        <f>D34</f>
        <v>-3.0969157925001713</v>
      </c>
      <c r="H43" s="2">
        <f>E34</f>
        <v>132.26300000000001</v>
      </c>
      <c r="I43" s="2">
        <f>1+G43^2</f>
        <v>10.590887425836964</v>
      </c>
      <c r="J43" s="2">
        <f>4*F43*G43</f>
        <v>-9.8469815991788605E-3</v>
      </c>
      <c r="K43" s="2">
        <f>4*F43^2</f>
        <v>2.5274784884180161E-6</v>
      </c>
    </row>
    <row r="45" spans="1:18" s="4" customFormat="1">
      <c r="A45" s="3" t="s">
        <v>4</v>
      </c>
      <c r="B45" s="3" t="s">
        <v>98</v>
      </c>
      <c r="C45" s="3" t="s">
        <v>99</v>
      </c>
      <c r="D45" s="3" t="s">
        <v>100</v>
      </c>
      <c r="E45" s="3" t="s">
        <v>101</v>
      </c>
      <c r="F45" s="3" t="s">
        <v>102</v>
      </c>
      <c r="G45" s="6" t="s">
        <v>103</v>
      </c>
      <c r="H45" s="3" t="s">
        <v>98</v>
      </c>
      <c r="I45" s="3" t="s">
        <v>99</v>
      </c>
      <c r="J45" s="3" t="s">
        <v>104</v>
      </c>
      <c r="K45" s="3" t="s">
        <v>105</v>
      </c>
      <c r="L45" s="3" t="s">
        <v>106</v>
      </c>
      <c r="M45" s="3" t="s">
        <v>107</v>
      </c>
      <c r="N45" s="3" t="s">
        <v>108</v>
      </c>
      <c r="O45" s="3"/>
      <c r="P45" s="3"/>
      <c r="Q45" s="3"/>
      <c r="R45" s="3"/>
    </row>
    <row r="46" spans="1:18">
      <c r="A46" s="2">
        <v>1</v>
      </c>
      <c r="B46" s="2">
        <f>$I$43+$J$43*B43+$K$43*$B$43^2</f>
        <v>10.566737088409692</v>
      </c>
      <c r="C46" s="2">
        <f>4*$I$43*$K$43-$J$43^2</f>
        <v>1.0109913953672069E-5</v>
      </c>
      <c r="D46" s="2">
        <f>($J$43+2*$K$43*B43)/4/$K$43*B46^0.5</f>
        <v>-3162.1221383721222</v>
      </c>
      <c r="E46" s="2">
        <f>C46/8/$K$43^1.5</f>
        <v>314.5040702379718</v>
      </c>
      <c r="F46" s="2">
        <f>LN($J$43+2*$K$43*B43+2*(K43*B46)^0.5)</f>
        <v>-7.598453858176029</v>
      </c>
      <c r="G46" s="2">
        <f>D46+E46*F46</f>
        <v>-5551.8668042839035</v>
      </c>
      <c r="H46" s="2">
        <f>$I$43+$J$43*D43+$K$43*$D$43^2</f>
        <v>10.401091243723265</v>
      </c>
      <c r="I46" s="2">
        <f>4*$I$43*$K$43-$J$43^2</f>
        <v>1.0109913953672069E-5</v>
      </c>
      <c r="J46" s="2">
        <f>($J$43+2*$K$43*D43)/4/$K$43*H46^0.5</f>
        <v>-3109.960387953693</v>
      </c>
      <c r="K46" s="2">
        <f>I46/8/$K$43^1.5</f>
        <v>314.5040702379718</v>
      </c>
      <c r="L46" s="2">
        <f>LN($J$43+2*$K$43*D43+2*(K43*H46)^0.5)</f>
        <v>-7.5901476073805725</v>
      </c>
      <c r="M46" s="2">
        <f>J46+K46*L46</f>
        <v>-5497.0927041818868</v>
      </c>
      <c r="N46" s="2">
        <f>ABS(G46-M46)</f>
        <v>54.774100102016746</v>
      </c>
    </row>
    <row r="48" spans="1:18" s="4" customFormat="1">
      <c r="A48" s="3" t="s">
        <v>4</v>
      </c>
      <c r="B48" s="3" t="s">
        <v>109</v>
      </c>
      <c r="C48" s="3" t="s">
        <v>110</v>
      </c>
      <c r="D48" s="3" t="s">
        <v>111</v>
      </c>
      <c r="E48" s="3" t="s">
        <v>54</v>
      </c>
      <c r="F48" s="3" t="s">
        <v>112</v>
      </c>
      <c r="G48" s="3" t="s">
        <v>113</v>
      </c>
      <c r="H48" s="3" t="s">
        <v>114</v>
      </c>
      <c r="I48" s="3" t="s">
        <v>115</v>
      </c>
      <c r="J48" s="3" t="s">
        <v>116</v>
      </c>
      <c r="K48" s="3" t="s">
        <v>117</v>
      </c>
      <c r="L48" s="3" t="s">
        <v>118</v>
      </c>
      <c r="M48" s="3"/>
      <c r="N48" s="3"/>
      <c r="O48" s="3"/>
      <c r="P48" s="3"/>
      <c r="Q48" s="3"/>
      <c r="R48" s="3"/>
    </row>
    <row r="49" spans="1:18">
      <c r="A49" s="2">
        <v>1</v>
      </c>
      <c r="B49" s="2">
        <f>K9</f>
        <v>455.4</v>
      </c>
      <c r="C49" s="2">
        <f>((B43-D43)^2+(C43-E43)^2)^0.5</f>
        <v>54.774085082441523</v>
      </c>
      <c r="D49" s="2">
        <f>ATAN((C43-E43)/(B43-D43))*180/PI()</f>
        <v>-72.010299597398372</v>
      </c>
      <c r="E49" s="2">
        <f>B49*COS(D49*PI()/180)</f>
        <v>140.64848009000275</v>
      </c>
      <c r="F49" s="2">
        <f>J9</f>
        <v>7.705E-3</v>
      </c>
      <c r="G49" s="2">
        <f>M9</f>
        <v>19300000</v>
      </c>
      <c r="H49" s="2">
        <f>(1+G43^2)*(B43-D43)</f>
        <v>-179.16348475021678</v>
      </c>
      <c r="I49" s="2">
        <f>2*F43*G43*(B43^2-D43^2)</f>
        <v>1.8177913712042968</v>
      </c>
      <c r="J49" s="2">
        <f>4/3*F43^2*(B43^3-D43^3)</f>
        <v>-6.1112403193259498E-3</v>
      </c>
      <c r="K49" s="2">
        <f>ABS(E49/F49/G49*(H49+I49+J49))</f>
        <v>0.16774156987709446</v>
      </c>
      <c r="L49" s="2">
        <f>((B37-E9)^2+(D37-F9)^2)^0.5</f>
        <v>64.785082529033176</v>
      </c>
    </row>
    <row r="51" spans="1:18" s="4" customFormat="1">
      <c r="A51" s="7" t="s">
        <v>76</v>
      </c>
      <c r="B51" s="7" t="s">
        <v>78</v>
      </c>
      <c r="C51" s="7" t="s">
        <v>79</v>
      </c>
      <c r="D51" s="7" t="s">
        <v>50</v>
      </c>
      <c r="E51" s="7" t="s">
        <v>81</v>
      </c>
      <c r="F51" s="7" t="s">
        <v>82</v>
      </c>
      <c r="G51" s="7" t="s">
        <v>119</v>
      </c>
      <c r="H51" s="7" t="s">
        <v>120</v>
      </c>
      <c r="I51" s="7" t="s">
        <v>60</v>
      </c>
      <c r="J51" s="7" t="s">
        <v>63</v>
      </c>
      <c r="K51" s="7" t="s">
        <v>71</v>
      </c>
      <c r="L51" s="7" t="s">
        <v>72</v>
      </c>
      <c r="M51" s="7" t="s">
        <v>83</v>
      </c>
      <c r="N51" s="7" t="s">
        <v>84</v>
      </c>
      <c r="O51" s="7" t="s">
        <v>87</v>
      </c>
      <c r="P51" s="7" t="s">
        <v>88</v>
      </c>
      <c r="Q51" s="7" t="s">
        <v>121</v>
      </c>
      <c r="R51" s="7" t="s">
        <v>122</v>
      </c>
    </row>
    <row r="52" spans="1:18">
      <c r="A52" s="8">
        <f>B37</f>
        <v>20</v>
      </c>
      <c r="B52" s="8">
        <f>D37</f>
        <v>70.64233042968749</v>
      </c>
      <c r="C52" s="8">
        <f>E37</f>
        <v>19.370866814547757</v>
      </c>
      <c r="D52" s="8">
        <f>F37</f>
        <v>72.571328209614336</v>
      </c>
      <c r="E52" s="8">
        <f>H37</f>
        <v>18.758477439846828</v>
      </c>
      <c r="F52" s="8">
        <f>I37</f>
        <v>74.448987458187787</v>
      </c>
      <c r="G52" s="8">
        <f>K40</f>
        <v>3.6948579181389127</v>
      </c>
      <c r="H52" s="8">
        <f>L40</f>
        <v>120.83118814975433</v>
      </c>
      <c r="I52" s="8">
        <f>B43</f>
        <v>2.4541083271391284</v>
      </c>
      <c r="J52" s="8">
        <f>C43</f>
        <v>124.66762058150229</v>
      </c>
      <c r="K52" s="8">
        <f>L37</f>
        <v>2.0735059820633186</v>
      </c>
      <c r="L52" s="8">
        <f>M37</f>
        <v>124.54456833681414</v>
      </c>
      <c r="M52" s="8">
        <f>C40</f>
        <v>2.8347106722149391</v>
      </c>
      <c r="N52" s="8">
        <f>D40</f>
        <v>124.79067282619044</v>
      </c>
      <c r="O52" s="8">
        <f>G40</f>
        <v>2.0582822319731671</v>
      </c>
      <c r="P52" s="8">
        <f>H40</f>
        <v>127.19217704814488</v>
      </c>
      <c r="Q52" s="8">
        <f>E9</f>
        <v>0</v>
      </c>
      <c r="R52" s="8">
        <f>F9</f>
        <v>132.26300000000001</v>
      </c>
    </row>
    <row r="54" spans="1:18">
      <c r="A54" s="9"/>
      <c r="B54" s="9"/>
      <c r="C54" s="9"/>
      <c r="D54" s="9" t="s">
        <v>123</v>
      </c>
      <c r="E54" s="9"/>
      <c r="F54" s="9" t="s">
        <v>123</v>
      </c>
      <c r="G54" s="9" t="s">
        <v>124</v>
      </c>
      <c r="H54" s="9" t="s">
        <v>124</v>
      </c>
      <c r="I54" s="9" t="s">
        <v>125</v>
      </c>
      <c r="J54" s="9"/>
      <c r="K54" s="9"/>
      <c r="L54" s="9"/>
      <c r="M54" s="9"/>
      <c r="N54" s="9"/>
      <c r="O54" s="9"/>
      <c r="P54" s="9"/>
      <c r="Q54" s="9"/>
      <c r="R54" s="9"/>
    </row>
    <row r="55" spans="1:18" s="10" customFormat="1">
      <c r="A55" s="9" t="s">
        <v>126</v>
      </c>
      <c r="B55" s="9" t="s">
        <v>127</v>
      </c>
      <c r="C55" s="9"/>
      <c r="D55" s="9" t="s">
        <v>128</v>
      </c>
      <c r="E55" s="9"/>
      <c r="F55" s="9" t="s">
        <v>129</v>
      </c>
      <c r="G55" s="9" t="s">
        <v>130</v>
      </c>
      <c r="H55" s="9" t="s">
        <v>131</v>
      </c>
      <c r="I55" s="9" t="s">
        <v>132</v>
      </c>
      <c r="J55" s="9" t="s">
        <v>133</v>
      </c>
      <c r="K55" s="9"/>
      <c r="L55" s="9"/>
      <c r="M55" s="9"/>
      <c r="N55" s="9"/>
      <c r="O55" s="9"/>
      <c r="P55" s="9"/>
      <c r="Q55" s="9"/>
      <c r="R55" s="9"/>
    </row>
    <row r="56" spans="1:18" s="8" customFormat="1">
      <c r="A56" s="8">
        <f>G37</f>
        <v>-71.936516615360432</v>
      </c>
      <c r="B56" s="8">
        <f>B40</f>
        <v>-72.083501977873979</v>
      </c>
      <c r="D56" s="8">
        <f>L49</f>
        <v>64.785082529033176</v>
      </c>
      <c r="F56" s="8">
        <f>C49</f>
        <v>54.774085082441523</v>
      </c>
      <c r="G56" s="8">
        <f>N46</f>
        <v>54.774100102016746</v>
      </c>
      <c r="H56" s="8">
        <f>K49</f>
        <v>0.16774156987709446</v>
      </c>
      <c r="I56" s="11">
        <v>0.08</v>
      </c>
      <c r="J56" s="8">
        <f>G56-H56+I56</f>
        <v>54.68635853213965</v>
      </c>
    </row>
  </sheetData>
  <pageMargins left="0.4" right="0.36" top="0.41" bottom="0.31" header="0.39" footer="0.26"/>
  <pageSetup paperSize="8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356cb0-c670-4c75-8cd2-8413c05a40f4" xsi:nil="true"/>
    <lcf76f155ced4ddcb4097134ff3c332f xmlns="46a2f16e-6d7d-4690-8f3b-13376243768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BF14A2A247DF45BFAB7AD9F0248F86" ma:contentTypeVersion="14" ma:contentTypeDescription="Create a new document." ma:contentTypeScope="" ma:versionID="1580924b9348ed7e70e22a34f69e7764">
  <xsd:schema xmlns:xsd="http://www.w3.org/2001/XMLSchema" xmlns:xs="http://www.w3.org/2001/XMLSchema" xmlns:p="http://schemas.microsoft.com/office/2006/metadata/properties" xmlns:ns2="46a2f16e-6d7d-4690-8f3b-13376243768b" xmlns:ns3="64356cb0-c670-4c75-8cd2-8413c05a40f4" targetNamespace="http://schemas.microsoft.com/office/2006/metadata/properties" ma:root="true" ma:fieldsID="c582c2233b2c88eb56b3539618eda86f" ns2:_="" ns3:_="">
    <xsd:import namespace="46a2f16e-6d7d-4690-8f3b-13376243768b"/>
    <xsd:import namespace="64356cb0-c670-4c75-8cd2-8413c05a40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2f16e-6d7d-4690-8f3b-1337624376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fdb14d2a-266d-41d8-ae34-cec0a80f25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56cb0-c670-4c75-8cd2-8413c05a40f4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69b1a83-cc59-4a13-afb3-6d3b1bb5cce5}" ma:internalName="TaxCatchAll" ma:showField="CatchAllData" ma:web="64356cb0-c670-4c75-8cd2-8413c05a40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A5F55E-5D20-4C2E-A720-97C26FA0A3DC}">
  <ds:schemaRefs>
    <ds:schemaRef ds:uri="http://schemas.microsoft.com/office/2006/metadata/properties"/>
    <ds:schemaRef ds:uri="http://schemas.microsoft.com/office/infopath/2007/PartnerControls"/>
    <ds:schemaRef ds:uri="64356cb0-c670-4c75-8cd2-8413c05a40f4"/>
    <ds:schemaRef ds:uri="46a2f16e-6d7d-4690-8f3b-13376243768b"/>
  </ds:schemaRefs>
</ds:datastoreItem>
</file>

<file path=customXml/itemProps2.xml><?xml version="1.0" encoding="utf-8"?>
<ds:datastoreItem xmlns:ds="http://schemas.openxmlformats.org/officeDocument/2006/customXml" ds:itemID="{B68F8A8D-E182-45FD-9727-3D8BDD98BA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3D7809-EE1E-4E5F-9B92-355F61BF4F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a2f16e-6d7d-4690-8f3b-13376243768b"/>
    <ds:schemaRef ds:uri="64356cb0-c670-4c75-8cd2-8413c05a4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</vt:lpstr>
      <vt:lpstr>Cable</vt:lpstr>
      <vt:lpstr>OUT</vt:lpstr>
      <vt:lpstr>reference excel calc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KilHo Choi</dc:creator>
  <cp:lastModifiedBy>KilHo Choi</cp:lastModifiedBy>
  <dcterms:created xsi:type="dcterms:W3CDTF">2022-05-25T23:27:28Z</dcterms:created>
  <dcterms:modified xsi:type="dcterms:W3CDTF">2022-06-15T08:31:00Z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0x0101008FBF14A2A247DF45BFAB7AD9F0248F86</vt:lpwstr>
  </property>
</Properties>
</file>