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work\Git\Modelling\Modelling\example\"/>
    </mc:Choice>
  </mc:AlternateContent>
  <xr:revisionPtr revIDLastSave="0" documentId="13_ncr:1_{88228059-BC43-4F28-B95A-A23AE77ED636}" xr6:coauthVersionLast="47" xr6:coauthVersionMax="47" xr10:uidLastSave="{00000000-0000-0000-0000-000000000000}"/>
  <bookViews>
    <workbookView xWindow="-120" yWindow="-120" windowWidth="29040" windowHeight="15840" xr2:uid="{A27B079D-2BA1-4558-8616-350C2F189F3B}"/>
  </bookViews>
  <sheets>
    <sheet name="alignment" sheetId="6" r:id="rId1"/>
    <sheet name="DBsub" sheetId="2" r:id="rId2"/>
    <sheet name="DBsup" sheetId="5" r:id="rId3"/>
    <sheet name="DBsoil" sheetId="7" r:id="rId4"/>
    <sheet name="DBtendonA" sheetId="9" r:id="rId5"/>
    <sheet name="DBtendonB" sheetId="12" r:id="rId6"/>
    <sheet name="DBtendonC" sheetId="11" r:id="rId7"/>
    <sheet name="tables" sheetId="3" r:id="rId8"/>
    <sheet name="trackbeam node" sheetId="13" r:id="rId9"/>
    <sheet name="Sheet3" sheetId="15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6" l="1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N9" i="15" l="1"/>
  <c r="M9" i="15"/>
  <c r="I9" i="15"/>
  <c r="H9" i="15"/>
  <c r="F9" i="15"/>
  <c r="N5" i="15"/>
  <c r="M5" i="15"/>
  <c r="I5" i="15"/>
  <c r="H5" i="15"/>
  <c r="F5" i="15"/>
  <c r="H177" i="13"/>
  <c r="G177" i="13"/>
  <c r="H176" i="13"/>
  <c r="G176" i="13"/>
  <c r="H175" i="13"/>
  <c r="G175" i="13"/>
  <c r="H174" i="13"/>
  <c r="G174" i="13"/>
  <c r="H173" i="13"/>
  <c r="G173" i="13"/>
  <c r="H172" i="13"/>
  <c r="G172" i="13"/>
  <c r="H171" i="13"/>
  <c r="G171" i="13"/>
  <c r="G170" i="13"/>
  <c r="H170" i="13" s="1"/>
  <c r="G169" i="13"/>
  <c r="H169" i="13" s="1"/>
  <c r="G168" i="13"/>
  <c r="H168" i="13" s="1"/>
  <c r="G167" i="13"/>
  <c r="H167" i="13" s="1"/>
  <c r="H166" i="13"/>
  <c r="G166" i="13"/>
  <c r="G165" i="13"/>
  <c r="H165" i="13" s="1"/>
  <c r="G164" i="13"/>
  <c r="H164" i="13" s="1"/>
  <c r="G163" i="13"/>
  <c r="H163" i="13" s="1"/>
  <c r="G162" i="13"/>
  <c r="H162" i="13" s="1"/>
  <c r="G161" i="13"/>
  <c r="H161" i="13" s="1"/>
  <c r="H160" i="13"/>
  <c r="G160" i="13"/>
  <c r="H159" i="13"/>
  <c r="G159" i="13"/>
  <c r="G158" i="13"/>
  <c r="H158" i="13" s="1"/>
  <c r="G157" i="13"/>
  <c r="H157" i="13" s="1"/>
  <c r="G156" i="13"/>
  <c r="H156" i="13" s="1"/>
  <c r="G155" i="13"/>
  <c r="H155" i="13" s="1"/>
  <c r="H154" i="13"/>
  <c r="G154" i="13"/>
  <c r="G153" i="13"/>
  <c r="H153" i="13" s="1"/>
  <c r="G152" i="13"/>
  <c r="H152" i="13" s="1"/>
  <c r="G151" i="13"/>
  <c r="H151" i="13" s="1"/>
  <c r="G150" i="13"/>
  <c r="H150" i="13" s="1"/>
  <c r="G149" i="13"/>
  <c r="H149" i="13" s="1"/>
  <c r="H148" i="13"/>
  <c r="G148" i="13"/>
  <c r="G147" i="13"/>
  <c r="H147" i="13" s="1"/>
  <c r="G146" i="13"/>
  <c r="H146" i="13" s="1"/>
  <c r="G145" i="13"/>
  <c r="H145" i="13" s="1"/>
  <c r="G144" i="13"/>
  <c r="H144" i="13" s="1"/>
  <c r="G132" i="13"/>
  <c r="H132" i="13" s="1"/>
  <c r="G131" i="13"/>
  <c r="H131" i="13" s="1"/>
  <c r="G130" i="13"/>
  <c r="H130" i="13" s="1"/>
  <c r="G129" i="13"/>
  <c r="H129" i="13" s="1"/>
  <c r="G128" i="13"/>
  <c r="H128" i="13" s="1"/>
  <c r="G127" i="13"/>
  <c r="H127" i="13" s="1"/>
  <c r="H126" i="13"/>
  <c r="G126" i="13"/>
  <c r="G125" i="13"/>
  <c r="H125" i="13" s="1"/>
  <c r="G124" i="13"/>
  <c r="H124" i="13" s="1"/>
  <c r="G123" i="13"/>
  <c r="H123" i="13" s="1"/>
  <c r="G122" i="13"/>
  <c r="H122" i="13" s="1"/>
  <c r="G121" i="13"/>
  <c r="H121" i="13" s="1"/>
  <c r="H120" i="13"/>
  <c r="G120" i="13"/>
  <c r="G119" i="13"/>
  <c r="H119" i="13" s="1"/>
  <c r="G118" i="13"/>
  <c r="H118" i="13" s="1"/>
  <c r="G117" i="13"/>
  <c r="H117" i="13" s="1"/>
  <c r="G116" i="13"/>
  <c r="H116" i="13" s="1"/>
  <c r="G115" i="13"/>
  <c r="H115" i="13" s="1"/>
  <c r="H114" i="13"/>
  <c r="G114" i="13"/>
  <c r="G113" i="13"/>
  <c r="H113" i="13" s="1"/>
  <c r="G112" i="13"/>
  <c r="H112" i="13" s="1"/>
  <c r="G111" i="13"/>
  <c r="H111" i="13" s="1"/>
  <c r="G110" i="13"/>
  <c r="H110" i="13" s="1"/>
  <c r="G109" i="13"/>
  <c r="H109" i="13" s="1"/>
  <c r="H108" i="13"/>
  <c r="G108" i="13"/>
  <c r="H133" i="13"/>
  <c r="G133" i="13"/>
  <c r="H141" i="13"/>
  <c r="G141" i="13"/>
  <c r="H140" i="13"/>
  <c r="G140" i="13"/>
  <c r="H139" i="13"/>
  <c r="G139" i="13"/>
  <c r="H138" i="13"/>
  <c r="G138" i="13"/>
  <c r="H137" i="13"/>
  <c r="G137" i="13"/>
  <c r="H136" i="13"/>
  <c r="G136" i="13"/>
  <c r="H135" i="13"/>
  <c r="G135" i="13"/>
  <c r="H134" i="13"/>
  <c r="G134" i="13"/>
  <c r="H105" i="13"/>
  <c r="H104" i="13"/>
  <c r="H103" i="13"/>
  <c r="H102" i="13"/>
  <c r="H101" i="13"/>
  <c r="H100" i="13"/>
  <c r="H99" i="13"/>
  <c r="H98" i="13"/>
  <c r="H97" i="13"/>
  <c r="H96" i="13"/>
  <c r="H95" i="13"/>
  <c r="H94" i="13"/>
  <c r="H93" i="13"/>
  <c r="H92" i="13"/>
  <c r="H91" i="13"/>
  <c r="H90" i="13"/>
  <c r="H89" i="13"/>
  <c r="H88" i="13"/>
  <c r="H87" i="13"/>
  <c r="H86" i="13"/>
  <c r="H85" i="13"/>
  <c r="H84" i="13"/>
  <c r="H83" i="13"/>
  <c r="H82" i="13"/>
  <c r="H81" i="13"/>
  <c r="H80" i="13"/>
  <c r="H79" i="13"/>
  <c r="H78" i="13"/>
  <c r="H77" i="13"/>
  <c r="H76" i="13"/>
  <c r="H75" i="13"/>
  <c r="H74" i="13"/>
  <c r="G77" i="13"/>
  <c r="G76" i="13"/>
  <c r="G75" i="13"/>
  <c r="G74" i="13"/>
  <c r="G73" i="13"/>
  <c r="H73" i="13" s="1"/>
  <c r="G72" i="13"/>
  <c r="H72" i="13" s="1"/>
  <c r="G105" i="13"/>
  <c r="G104" i="13"/>
  <c r="G103" i="13"/>
  <c r="G102" i="13"/>
  <c r="G101" i="13"/>
  <c r="G100" i="13"/>
  <c r="G99" i="13"/>
  <c r="G98" i="13"/>
  <c r="G97" i="13"/>
  <c r="G96" i="13"/>
  <c r="G95" i="13"/>
  <c r="G94" i="13"/>
  <c r="G93" i="13"/>
  <c r="G92" i="13"/>
  <c r="G91" i="13"/>
  <c r="G90" i="13"/>
  <c r="G89" i="13"/>
  <c r="G88" i="13"/>
  <c r="G87" i="13"/>
  <c r="G86" i="13"/>
  <c r="G85" i="13"/>
  <c r="G84" i="13"/>
  <c r="G83" i="13"/>
  <c r="G82" i="13"/>
  <c r="G81" i="13"/>
  <c r="G80" i="13"/>
  <c r="G79" i="13"/>
  <c r="G78" i="13"/>
  <c r="H56" i="13"/>
  <c r="H54" i="13"/>
  <c r="G63" i="13"/>
  <c r="H63" i="13" s="1"/>
  <c r="G62" i="13"/>
  <c r="H62" i="13" s="1"/>
  <c r="G61" i="13"/>
  <c r="H61" i="13" s="1"/>
  <c r="G60" i="13"/>
  <c r="H60" i="13" s="1"/>
  <c r="G59" i="13"/>
  <c r="H59" i="13" s="1"/>
  <c r="G58" i="13"/>
  <c r="H58" i="13" s="1"/>
  <c r="G57" i="13"/>
  <c r="H57" i="13" s="1"/>
  <c r="G56" i="13"/>
  <c r="G55" i="13"/>
  <c r="H55" i="13" s="1"/>
  <c r="G54" i="13"/>
  <c r="G53" i="13"/>
  <c r="H53" i="13" s="1"/>
  <c r="G42" i="13"/>
  <c r="H42" i="13" s="1"/>
  <c r="G41" i="13"/>
  <c r="H41" i="13" s="1"/>
  <c r="G40" i="13"/>
  <c r="H40" i="13" s="1"/>
  <c r="G39" i="13"/>
  <c r="H39" i="13" s="1"/>
  <c r="G38" i="13"/>
  <c r="H38" i="13" s="1"/>
  <c r="G37" i="13"/>
  <c r="H37" i="13" s="1"/>
  <c r="G36" i="13"/>
  <c r="H36" i="13" s="1"/>
  <c r="H69" i="13"/>
  <c r="H68" i="13"/>
  <c r="H67" i="13"/>
  <c r="H66" i="13"/>
  <c r="H65" i="13"/>
  <c r="H64" i="13"/>
  <c r="G69" i="13"/>
  <c r="G68" i="13"/>
  <c r="G67" i="13"/>
  <c r="G66" i="13"/>
  <c r="G65" i="13"/>
  <c r="G64" i="13"/>
  <c r="H5" i="13"/>
  <c r="H4" i="13"/>
  <c r="D5" i="13"/>
  <c r="M5" i="13" s="1"/>
  <c r="D4" i="13"/>
  <c r="L4" i="13" s="1"/>
  <c r="H30" i="13" l="1"/>
  <c r="H47" i="13"/>
  <c r="H20" i="13"/>
  <c r="G15" i="13"/>
  <c r="H49" i="13"/>
  <c r="G18" i="13"/>
  <c r="H17" i="13"/>
  <c r="H18" i="13"/>
  <c r="H19" i="13"/>
  <c r="H33" i="13"/>
  <c r="G43" i="13"/>
  <c r="G16" i="13"/>
  <c r="G30" i="13"/>
  <c r="H44" i="13"/>
  <c r="G19" i="13"/>
  <c r="G32" i="13"/>
  <c r="G45" i="13"/>
  <c r="G51" i="13"/>
  <c r="G47" i="13"/>
  <c r="H31" i="13"/>
  <c r="G48" i="13"/>
  <c r="H48" i="13"/>
  <c r="H43" i="13"/>
  <c r="G17" i="13"/>
  <c r="H50" i="13"/>
  <c r="G20" i="13"/>
  <c r="G33" i="13"/>
  <c r="H45" i="13"/>
  <c r="H51" i="13"/>
  <c r="H32" i="13"/>
  <c r="G28" i="13"/>
  <c r="G50" i="13"/>
  <c r="H15" i="13"/>
  <c r="H28" i="13"/>
  <c r="G46" i="13"/>
  <c r="G52" i="13"/>
  <c r="G49" i="13"/>
  <c r="G29" i="13"/>
  <c r="G44" i="13"/>
  <c r="G31" i="13"/>
  <c r="H16" i="13"/>
  <c r="H29" i="13"/>
  <c r="H46" i="13"/>
  <c r="H52" i="13"/>
  <c r="M4" i="13"/>
  <c r="L5" i="13"/>
  <c r="K4" i="13"/>
  <c r="K5" i="13"/>
  <c r="B2" i="2"/>
  <c r="F3" i="5"/>
  <c r="B2" i="5"/>
  <c r="E2" i="2"/>
  <c r="D2" i="2"/>
  <c r="F2" i="2"/>
  <c r="P2" i="2"/>
  <c r="C2" i="5" l="1"/>
  <c r="G2" i="5" s="1"/>
  <c r="E6" i="9" l="1"/>
  <c r="E7" i="9"/>
  <c r="B4" i="9"/>
  <c r="E4" i="9"/>
  <c r="B3" i="9"/>
  <c r="E3" i="9"/>
  <c r="B2" i="9"/>
  <c r="E2" i="9"/>
  <c r="E5" i="9"/>
  <c r="E15" i="9"/>
  <c r="E16" i="9"/>
  <c r="D3" i="2"/>
  <c r="B3" i="2"/>
  <c r="B10" i="2"/>
  <c r="B9" i="2"/>
  <c r="B8" i="2"/>
  <c r="B7" i="2"/>
  <c r="B6" i="2"/>
  <c r="B5" i="2"/>
  <c r="B4" i="2"/>
  <c r="G5" i="7"/>
  <c r="E3" i="2" l="1"/>
  <c r="E4" i="2"/>
  <c r="E5" i="2"/>
  <c r="E6" i="2"/>
  <c r="E7" i="2"/>
  <c r="E8" i="2"/>
  <c r="E9" i="2"/>
  <c r="E10" i="2"/>
  <c r="A4" i="2" l="1"/>
  <c r="A5" i="2" s="1"/>
  <c r="A6" i="2" s="1"/>
  <c r="A7" i="2" s="1"/>
  <c r="A8" i="2" s="1"/>
  <c r="A9" i="2" s="1"/>
  <c r="A10" i="2" s="1"/>
  <c r="A4" i="5"/>
  <c r="B4" i="5"/>
  <c r="B3" i="5"/>
  <c r="A5" i="5" l="1"/>
  <c r="A6" i="5"/>
  <c r="A7" i="5" s="1"/>
  <c r="A8" i="5" s="1"/>
  <c r="B6" i="5"/>
  <c r="B5" i="5" l="1"/>
  <c r="B7" i="5"/>
  <c r="A9" i="5"/>
  <c r="B8" i="5"/>
  <c r="A10" i="5" l="1"/>
  <c r="B9" i="5"/>
  <c r="C15" i="9" l="1"/>
  <c r="A11" i="5"/>
  <c r="B10" i="5"/>
  <c r="B11" i="5" l="1"/>
  <c r="C11" i="5" s="1"/>
  <c r="C3" i="5"/>
  <c r="G3" i="5" s="1"/>
  <c r="C4" i="5"/>
  <c r="G4" i="5" s="1"/>
  <c r="C5" i="5"/>
  <c r="G5" i="5" s="1"/>
  <c r="C6" i="5"/>
  <c r="G6" i="5" s="1"/>
  <c r="C7" i="5"/>
  <c r="G7" i="5" s="1"/>
  <c r="C8" i="5"/>
  <c r="G8" i="5" s="1"/>
  <c r="C9" i="5"/>
  <c r="G9" i="5" s="1"/>
  <c r="C10" i="5"/>
  <c r="G10" i="5" s="1"/>
  <c r="F4" i="5"/>
  <c r="F5" i="5"/>
  <c r="F6" i="5"/>
  <c r="F7" i="5"/>
  <c r="F8" i="5"/>
  <c r="F9" i="5"/>
  <c r="F10" i="5"/>
  <c r="F11" i="5"/>
  <c r="C16" i="9" s="1"/>
  <c r="N4" i="2"/>
  <c r="N5" i="2"/>
  <c r="N6" i="2"/>
  <c r="N7" i="2"/>
  <c r="N8" i="2"/>
  <c r="N9" i="2"/>
  <c r="F3" i="2"/>
  <c r="F4" i="2"/>
  <c r="F5" i="2"/>
  <c r="F6" i="2"/>
  <c r="F7" i="2"/>
  <c r="F8" i="2"/>
  <c r="F9" i="2"/>
  <c r="F10" i="2"/>
  <c r="P3" i="2"/>
  <c r="P4" i="2"/>
  <c r="P5" i="2"/>
  <c r="P6" i="2"/>
  <c r="P7" i="2"/>
  <c r="P8" i="2"/>
  <c r="P9" i="2"/>
  <c r="P10" i="2"/>
  <c r="B5" i="9" l="1"/>
  <c r="B6" i="9"/>
  <c r="B7" i="9"/>
  <c r="B15" i="9"/>
  <c r="B16" i="9"/>
  <c r="C6" i="9"/>
  <c r="AG6" i="9" s="1" a="1"/>
  <c r="AG6" i="9" s="1"/>
  <c r="C7" i="9"/>
  <c r="C5" i="9"/>
  <c r="C3" i="9"/>
  <c r="C2" i="9"/>
  <c r="C4" i="9"/>
  <c r="A8" i="11"/>
  <c r="A3" i="11"/>
  <c r="A4" i="11" s="1"/>
  <c r="A8" i="12"/>
  <c r="A3" i="12"/>
  <c r="A9" i="12" s="1"/>
  <c r="A9" i="9"/>
  <c r="A10" i="9" s="1"/>
  <c r="A11" i="9" s="1"/>
  <c r="A12" i="9" s="1"/>
  <c r="A13" i="9" s="1"/>
  <c r="A14" i="9" s="1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13" i="7"/>
  <c r="D13" i="7"/>
  <c r="C13" i="7"/>
  <c r="F12" i="7"/>
  <c r="D12" i="7"/>
  <c r="C12" i="7"/>
  <c r="P16" i="9" l="1" a="1"/>
  <c r="P16" i="9" s="1"/>
  <c r="I16" i="9" a="1"/>
  <c r="I16" i="9" s="1"/>
  <c r="K16" i="9" a="1"/>
  <c r="K16" i="9" s="1"/>
  <c r="AQ16" i="9" a="1"/>
  <c r="AQ16" i="9" s="1"/>
  <c r="AB16" i="9" a="1"/>
  <c r="AB16" i="9" s="1"/>
  <c r="AJ16" i="9" a="1"/>
  <c r="AJ16" i="9" s="1"/>
  <c r="S16" i="9" a="1"/>
  <c r="S16" i="9" s="1"/>
  <c r="AA16" i="9" a="1"/>
  <c r="AA16" i="9" s="1"/>
  <c r="Y16" i="9" a="1"/>
  <c r="Y16" i="9" s="1"/>
  <c r="W16" i="9" a="1"/>
  <c r="W16" i="9" s="1"/>
  <c r="AK16" i="9" a="1"/>
  <c r="AK16" i="9" s="1"/>
  <c r="H16" i="9" a="1"/>
  <c r="H16" i="9" s="1"/>
  <c r="T16" i="9" a="1"/>
  <c r="T16" i="9" s="1"/>
  <c r="U16" i="9" a="1"/>
  <c r="U16" i="9" s="1"/>
  <c r="AD16" i="9" a="1"/>
  <c r="AD16" i="9" s="1"/>
  <c r="AF16" i="9" a="1"/>
  <c r="AF16" i="9" s="1"/>
  <c r="Z16" i="9" a="1"/>
  <c r="Z16" i="9" s="1"/>
  <c r="AP16" i="9" a="1"/>
  <c r="AP16" i="9" s="1"/>
  <c r="AC16" i="9" a="1"/>
  <c r="AC16" i="9" s="1"/>
  <c r="O16" i="9" a="1"/>
  <c r="O16" i="9" s="1"/>
  <c r="M16" i="9" a="1"/>
  <c r="M16" i="9" s="1"/>
  <c r="R16" i="9" a="1"/>
  <c r="R16" i="9" s="1"/>
  <c r="AN16" i="9" a="1"/>
  <c r="AN16" i="9" s="1"/>
  <c r="AM16" i="9" a="1"/>
  <c r="AM16" i="9" s="1"/>
  <c r="N16" i="9" a="1"/>
  <c r="N16" i="9" s="1"/>
  <c r="AE16" i="9" a="1"/>
  <c r="AE16" i="9" s="1"/>
  <c r="L16" i="9" a="1"/>
  <c r="L16" i="9" s="1"/>
  <c r="X16" i="9" a="1"/>
  <c r="X16" i="9" s="1"/>
  <c r="AO16" i="9" a="1"/>
  <c r="AO16" i="9" s="1"/>
  <c r="AG16" i="9" a="1"/>
  <c r="AG16" i="9" s="1"/>
  <c r="V16" i="9" a="1"/>
  <c r="V16" i="9" s="1"/>
  <c r="J16" i="9" a="1"/>
  <c r="J16" i="9" s="1"/>
  <c r="AH16" i="9" a="1"/>
  <c r="AH16" i="9" s="1"/>
  <c r="Q16" i="9" a="1"/>
  <c r="Q16" i="9" s="1"/>
  <c r="AL16" i="9" a="1"/>
  <c r="AL16" i="9" s="1"/>
  <c r="AI16" i="9" a="1"/>
  <c r="AI16" i="9" s="1"/>
  <c r="I4" i="9" a="1"/>
  <c r="I4" i="9" s="1"/>
  <c r="H4" i="9" a="1"/>
  <c r="H4" i="9" s="1"/>
  <c r="Q4" i="9" a="1"/>
  <c r="Q4" i="9" s="1"/>
  <c r="AG4" i="9" a="1"/>
  <c r="AG4" i="9" s="1"/>
  <c r="AH4" i="9" a="1"/>
  <c r="AH4" i="9" s="1"/>
  <c r="M4" i="9" a="1"/>
  <c r="M4" i="9" s="1"/>
  <c r="AP4" i="9" a="1"/>
  <c r="AP4" i="9" s="1"/>
  <c r="AB4" i="9" a="1"/>
  <c r="AB4" i="9" s="1"/>
  <c r="AE4" i="9" a="1"/>
  <c r="AE4" i="9" s="1"/>
  <c r="R4" i="9" a="1"/>
  <c r="R4" i="9" s="1"/>
  <c r="U4" i="9" a="1"/>
  <c r="U4" i="9" s="1"/>
  <c r="Y4" i="9" a="1"/>
  <c r="Y4" i="9" s="1"/>
  <c r="AO4" i="9" a="1"/>
  <c r="AO4" i="9" s="1"/>
  <c r="AF4" i="9" a="1"/>
  <c r="AF4" i="9" s="1"/>
  <c r="AJ4" i="9" a="1"/>
  <c r="AJ4" i="9" s="1"/>
  <c r="T4" i="9" a="1"/>
  <c r="T4" i="9" s="1"/>
  <c r="W4" i="9" a="1"/>
  <c r="W4" i="9" s="1"/>
  <c r="AC4" i="9" a="1"/>
  <c r="AC4" i="9" s="1"/>
  <c r="V4" i="9" a="1"/>
  <c r="V4" i="9" s="1"/>
  <c r="Z4" i="9" a="1"/>
  <c r="Z4" i="9" s="1"/>
  <c r="N4" i="9" a="1"/>
  <c r="N4" i="9" s="1"/>
  <c r="K4" i="9" a="1"/>
  <c r="K4" i="9" s="1"/>
  <c r="AL4" i="9" a="1"/>
  <c r="AL4" i="9" s="1"/>
  <c r="J4" i="9" a="1"/>
  <c r="J4" i="9" s="1"/>
  <c r="O4" i="9" a="1"/>
  <c r="O4" i="9" s="1"/>
  <c r="AQ4" i="9" a="1"/>
  <c r="AQ4" i="9" s="1"/>
  <c r="AI4" i="9" a="1"/>
  <c r="AI4" i="9" s="1"/>
  <c r="AK4" i="9" a="1"/>
  <c r="AK4" i="9" s="1"/>
  <c r="X4" i="9" a="1"/>
  <c r="X4" i="9" s="1"/>
  <c r="S4" i="9" a="1"/>
  <c r="S4" i="9" s="1"/>
  <c r="AD4" i="9" a="1"/>
  <c r="AD4" i="9" s="1"/>
  <c r="AA4" i="9" a="1"/>
  <c r="AA4" i="9" s="1"/>
  <c r="L4" i="9" a="1"/>
  <c r="L4" i="9" s="1"/>
  <c r="AN4" i="9" a="1"/>
  <c r="AN4" i="9" s="1"/>
  <c r="P4" i="9" a="1"/>
  <c r="P4" i="9" s="1"/>
  <c r="AM4" i="9" a="1"/>
  <c r="AM4" i="9" s="1"/>
  <c r="AB15" i="9" a="1"/>
  <c r="AB15" i="9" s="1"/>
  <c r="J15" i="9" a="1"/>
  <c r="J15" i="9" s="1"/>
  <c r="AP15" i="9" a="1"/>
  <c r="AP15" i="9" s="1"/>
  <c r="W15" i="9" a="1"/>
  <c r="W15" i="9" s="1"/>
  <c r="AI15" i="9" a="1"/>
  <c r="AI15" i="9" s="1"/>
  <c r="AK15" i="9" a="1"/>
  <c r="AK15" i="9" s="1"/>
  <c r="R15" i="9" a="1"/>
  <c r="R15" i="9" s="1"/>
  <c r="AE15" i="9" a="1"/>
  <c r="AE15" i="9" s="1"/>
  <c r="Z15" i="9" a="1"/>
  <c r="Z15" i="9" s="1"/>
  <c r="AN15" i="9" a="1"/>
  <c r="AN15" i="9" s="1"/>
  <c r="AG15" i="9" a="1"/>
  <c r="AG15" i="9" s="1"/>
  <c r="AO15" i="9" a="1"/>
  <c r="AO15" i="9" s="1"/>
  <c r="L15" i="9" a="1"/>
  <c r="L15" i="9" s="1"/>
  <c r="AJ15" i="9" a="1"/>
  <c r="AJ15" i="9" s="1"/>
  <c r="S15" i="9" a="1"/>
  <c r="S15" i="9" s="1"/>
  <c r="AM15" i="9" a="1"/>
  <c r="AM15" i="9" s="1"/>
  <c r="N15" i="9" a="1"/>
  <c r="N15" i="9" s="1"/>
  <c r="H15" i="9" a="1"/>
  <c r="H15" i="9" s="1"/>
  <c r="Q15" i="9" a="1"/>
  <c r="Q15" i="9" s="1"/>
  <c r="I15" i="9" a="1"/>
  <c r="I15" i="9" s="1"/>
  <c r="V15" i="9" a="1"/>
  <c r="V15" i="9" s="1"/>
  <c r="X15" i="9" a="1"/>
  <c r="X15" i="9" s="1"/>
  <c r="O15" i="9" a="1"/>
  <c r="O15" i="9" s="1"/>
  <c r="AA15" i="9" a="1"/>
  <c r="AA15" i="9" s="1"/>
  <c r="AC15" i="9" a="1"/>
  <c r="AC15" i="9" s="1"/>
  <c r="AH15" i="9" a="1"/>
  <c r="AH15" i="9" s="1"/>
  <c r="K15" i="9" a="1"/>
  <c r="K15" i="9" s="1"/>
  <c r="U15" i="9" a="1"/>
  <c r="U15" i="9" s="1"/>
  <c r="T15" i="9" a="1"/>
  <c r="T15" i="9" s="1"/>
  <c r="AQ15" i="9" a="1"/>
  <c r="AQ15" i="9" s="1"/>
  <c r="P15" i="9" a="1"/>
  <c r="P15" i="9" s="1"/>
  <c r="AL15" i="9" a="1"/>
  <c r="AL15" i="9" s="1"/>
  <c r="AD15" i="9" a="1"/>
  <c r="AD15" i="9" s="1"/>
  <c r="AF15" i="9" a="1"/>
  <c r="AF15" i="9" s="1"/>
  <c r="M15" i="9" a="1"/>
  <c r="M15" i="9" s="1"/>
  <c r="Y15" i="9" a="1"/>
  <c r="Y15" i="9" s="1"/>
  <c r="AN3" i="9" a="1"/>
  <c r="AN3" i="9" s="1"/>
  <c r="J3" i="9" a="1"/>
  <c r="J3" i="9" s="1"/>
  <c r="U3" i="9" a="1"/>
  <c r="U3" i="9" s="1"/>
  <c r="AK3" i="9" a="1"/>
  <c r="AK3" i="9" s="1"/>
  <c r="R3" i="9" a="1"/>
  <c r="R3" i="9" s="1"/>
  <c r="AH3" i="9" a="1"/>
  <c r="AH3" i="9" s="1"/>
  <c r="O3" i="9" a="1"/>
  <c r="O3" i="9" s="1"/>
  <c r="AE3" i="9" a="1"/>
  <c r="AE3" i="9" s="1"/>
  <c r="L3" i="9" a="1"/>
  <c r="L3" i="9" s="1"/>
  <c r="I3" i="9" a="1"/>
  <c r="I3" i="9" s="1"/>
  <c r="Y3" i="9" a="1"/>
  <c r="Y3" i="9" s="1"/>
  <c r="S3" i="9" a="1"/>
  <c r="S3" i="9" s="1"/>
  <c r="AO3" i="9" a="1"/>
  <c r="AO3" i="9" s="1"/>
  <c r="K3" i="9" a="1"/>
  <c r="K3" i="9" s="1"/>
  <c r="AL3" i="9" a="1"/>
  <c r="AL3" i="9" s="1"/>
  <c r="M3" i="9" a="1"/>
  <c r="M3" i="9" s="1"/>
  <c r="AI3" i="9" a="1"/>
  <c r="AI3" i="9" s="1"/>
  <c r="AF3" i="9" a="1"/>
  <c r="AF3" i="9" s="1"/>
  <c r="AC3" i="9" a="1"/>
  <c r="AC3" i="9" s="1"/>
  <c r="Z3" i="9" a="1"/>
  <c r="Z3" i="9" s="1"/>
  <c r="W3" i="9" a="1"/>
  <c r="W3" i="9" s="1"/>
  <c r="T3" i="9" a="1"/>
  <c r="T3" i="9" s="1"/>
  <c r="Q3" i="9" a="1"/>
  <c r="Q3" i="9" s="1"/>
  <c r="AB3" i="9" a="1"/>
  <c r="AB3" i="9" s="1"/>
  <c r="N3" i="9" a="1"/>
  <c r="N3" i="9" s="1"/>
  <c r="AP3" i="9" a="1"/>
  <c r="AP3" i="9" s="1"/>
  <c r="AM3" i="9" a="1"/>
  <c r="AM3" i="9" s="1"/>
  <c r="H3" i="9" a="1"/>
  <c r="H3" i="9" s="1"/>
  <c r="AJ3" i="9" a="1"/>
  <c r="AJ3" i="9" s="1"/>
  <c r="P3" i="9" a="1"/>
  <c r="P3" i="9" s="1"/>
  <c r="V3" i="9" a="1"/>
  <c r="V3" i="9" s="1"/>
  <c r="AG3" i="9" a="1"/>
  <c r="AG3" i="9" s="1"/>
  <c r="AD3" i="9" a="1"/>
  <c r="AD3" i="9" s="1"/>
  <c r="AA3" i="9" a="1"/>
  <c r="AA3" i="9" s="1"/>
  <c r="AQ3" i="9" a="1"/>
  <c r="AQ3" i="9" s="1"/>
  <c r="X3" i="9" a="1"/>
  <c r="X3" i="9" s="1"/>
  <c r="H7" i="9" a="1"/>
  <c r="H7" i="9" s="1"/>
  <c r="AE7" i="9" a="1"/>
  <c r="AE7" i="9" s="1"/>
  <c r="AK7" i="9" a="1"/>
  <c r="AK7" i="9" s="1"/>
  <c r="AM7" i="9" a="1"/>
  <c r="AM7" i="9" s="1"/>
  <c r="AP7" i="9" a="1"/>
  <c r="AP7" i="9" s="1"/>
  <c r="Q7" i="9" a="1"/>
  <c r="Q7" i="9" s="1"/>
  <c r="AC7" i="9" a="1"/>
  <c r="AC7" i="9" s="1"/>
  <c r="AG7" i="9" a="1"/>
  <c r="AG7" i="9" s="1"/>
  <c r="AH7" i="9" a="1"/>
  <c r="AH7" i="9" s="1"/>
  <c r="AD7" i="9" a="1"/>
  <c r="AD7" i="9" s="1"/>
  <c r="Y7" i="9" a="1"/>
  <c r="Y7" i="9" s="1"/>
  <c r="X7" i="9" a="1"/>
  <c r="X7" i="9" s="1"/>
  <c r="J7" i="9" a="1"/>
  <c r="J7" i="9" s="1"/>
  <c r="W7" i="9" a="1"/>
  <c r="W7" i="9" s="1"/>
  <c r="R7" i="9" a="1"/>
  <c r="R7" i="9" s="1"/>
  <c r="AL7" i="9" a="1"/>
  <c r="AL7" i="9" s="1"/>
  <c r="AO7" i="9" a="1"/>
  <c r="AO7" i="9" s="1"/>
  <c r="L7" i="9" a="1"/>
  <c r="L7" i="9" s="1"/>
  <c r="Z7" i="9" a="1"/>
  <c r="Z7" i="9" s="1"/>
  <c r="S7" i="9" a="1"/>
  <c r="S7" i="9" s="1"/>
  <c r="K7" i="9" a="1"/>
  <c r="K7" i="9" s="1"/>
  <c r="T7" i="9" a="1"/>
  <c r="T7" i="9" s="1"/>
  <c r="AI7" i="9" a="1"/>
  <c r="AI7" i="9" s="1"/>
  <c r="N7" i="9" a="1"/>
  <c r="N7" i="9" s="1"/>
  <c r="AF7" i="9" a="1"/>
  <c r="AF7" i="9" s="1"/>
  <c r="M7" i="9" a="1"/>
  <c r="M7" i="9" s="1"/>
  <c r="U7" i="9" a="1"/>
  <c r="U7" i="9" s="1"/>
  <c r="AA7" i="9" a="1"/>
  <c r="AA7" i="9" s="1"/>
  <c r="O7" i="9" a="1"/>
  <c r="O7" i="9" s="1"/>
  <c r="I7" i="9" a="1"/>
  <c r="I7" i="9" s="1"/>
  <c r="AN7" i="9" a="1"/>
  <c r="AN7" i="9" s="1"/>
  <c r="AB7" i="9" a="1"/>
  <c r="AB7" i="9" s="1"/>
  <c r="V7" i="9" a="1"/>
  <c r="V7" i="9" s="1"/>
  <c r="AQ7" i="9" a="1"/>
  <c r="AQ7" i="9" s="1"/>
  <c r="AJ7" i="9" a="1"/>
  <c r="AJ7" i="9" s="1"/>
  <c r="P7" i="9" a="1"/>
  <c r="P7" i="9" s="1"/>
  <c r="H6" i="9" a="1"/>
  <c r="H6" i="9" s="1"/>
  <c r="AK6" i="9" a="1"/>
  <c r="AK6" i="9" s="1"/>
  <c r="AP6" i="9" a="1"/>
  <c r="AP6" i="9" s="1"/>
  <c r="S6" i="9" a="1"/>
  <c r="S6" i="9" s="1"/>
  <c r="AB6" i="9" a="1"/>
  <c r="AB6" i="9" s="1"/>
  <c r="R6" i="9" a="1"/>
  <c r="R6" i="9" s="1"/>
  <c r="AO6" i="9" a="1"/>
  <c r="AO6" i="9" s="1"/>
  <c r="V6" i="9" a="1"/>
  <c r="V6" i="9" s="1"/>
  <c r="M6" i="9" a="1"/>
  <c r="M6" i="9" s="1"/>
  <c r="AI6" i="9" a="1"/>
  <c r="AI6" i="9" s="1"/>
  <c r="P6" i="9" a="1"/>
  <c r="P6" i="9" s="1"/>
  <c r="L6" i="9" a="1"/>
  <c r="L6" i="9" s="1"/>
  <c r="AC6" i="9" a="1"/>
  <c r="AC6" i="9" s="1"/>
  <c r="J6" i="9" a="1"/>
  <c r="J6" i="9" s="1"/>
  <c r="AL6" i="9" a="1"/>
  <c r="AL6" i="9" s="1"/>
  <c r="AQ6" i="9" a="1"/>
  <c r="AQ6" i="9" s="1"/>
  <c r="W6" i="9" a="1"/>
  <c r="W6" i="9" s="1"/>
  <c r="AF6" i="9" a="1"/>
  <c r="AF6" i="9" s="1"/>
  <c r="Q6" i="9" a="1"/>
  <c r="Q6" i="9" s="1"/>
  <c r="Z6" i="9" a="1"/>
  <c r="Z6" i="9" s="1"/>
  <c r="K6" i="9" a="1"/>
  <c r="K6" i="9" s="1"/>
  <c r="AM6" i="9" a="1"/>
  <c r="AM6" i="9" s="1"/>
  <c r="T6" i="9" a="1"/>
  <c r="T6" i="9" s="1"/>
  <c r="AJ6" i="9" a="1"/>
  <c r="AJ6" i="9" s="1"/>
  <c r="AA6" i="9" a="1"/>
  <c r="AA6" i="9" s="1"/>
  <c r="N6" i="9" a="1"/>
  <c r="N6" i="9" s="1"/>
  <c r="AE6" i="9" a="1"/>
  <c r="AE6" i="9" s="1"/>
  <c r="U6" i="9" a="1"/>
  <c r="U6" i="9" s="1"/>
  <c r="AD6" i="9" a="1"/>
  <c r="AD6" i="9" s="1"/>
  <c r="O6" i="9" a="1"/>
  <c r="O6" i="9" s="1"/>
  <c r="Y6" i="9" a="1"/>
  <c r="Y6" i="9" s="1"/>
  <c r="AN6" i="9" a="1"/>
  <c r="AN6" i="9" s="1"/>
  <c r="I6" i="9" a="1"/>
  <c r="I6" i="9" s="1"/>
  <c r="X6" i="9" a="1"/>
  <c r="X6" i="9" s="1"/>
  <c r="AH6" i="9" a="1"/>
  <c r="AH6" i="9" s="1"/>
  <c r="A4" i="12"/>
  <c r="A5" i="12" s="1"/>
  <c r="A6" i="12" s="1"/>
  <c r="A7" i="12" s="1"/>
  <c r="E22" i="7"/>
  <c r="E12" i="7"/>
  <c r="E25" i="7"/>
  <c r="E14" i="7"/>
  <c r="E23" i="7"/>
  <c r="E26" i="7"/>
  <c r="E24" i="7"/>
  <c r="E20" i="7"/>
  <c r="E29" i="7"/>
  <c r="E19" i="7"/>
  <c r="E10" i="9"/>
  <c r="E13" i="7"/>
  <c r="E30" i="7"/>
  <c r="E18" i="7"/>
  <c r="E17" i="7"/>
  <c r="E27" i="7"/>
  <c r="E15" i="7"/>
  <c r="E21" i="7"/>
  <c r="E28" i="7"/>
  <c r="E16" i="7"/>
  <c r="A5" i="11"/>
  <c r="A10" i="11"/>
  <c r="A9" i="11"/>
  <c r="E9" i="9"/>
  <c r="E14" i="9"/>
  <c r="E11" i="9"/>
  <c r="E12" i="9"/>
  <c r="E13" i="9"/>
  <c r="A13" i="12" l="1"/>
  <c r="A12" i="12"/>
  <c r="A11" i="12"/>
  <c r="A10" i="12"/>
  <c r="A11" i="11"/>
  <c r="A6" i="11"/>
  <c r="E8" i="9"/>
  <c r="F11" i="7"/>
  <c r="D11" i="7"/>
  <c r="C11" i="7"/>
  <c r="F10" i="7"/>
  <c r="D10" i="7"/>
  <c r="C10" i="7"/>
  <c r="F9" i="7"/>
  <c r="D9" i="7"/>
  <c r="C9" i="7"/>
  <c r="F8" i="7"/>
  <c r="D8" i="7"/>
  <c r="C8" i="7"/>
  <c r="F7" i="7"/>
  <c r="D7" i="7"/>
  <c r="C7" i="7"/>
  <c r="F5" i="7"/>
  <c r="D5" i="7"/>
  <c r="C5" i="7"/>
  <c r="B6" i="7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C6" i="7"/>
  <c r="D6" i="7"/>
  <c r="F6" i="7"/>
  <c r="A7" i="11" l="1"/>
  <c r="A12" i="11"/>
  <c r="E6" i="7"/>
  <c r="E7" i="7"/>
  <c r="E8" i="7"/>
  <c r="E11" i="7"/>
  <c r="E5" i="7"/>
  <c r="E9" i="7"/>
  <c r="E10" i="7"/>
  <c r="A6" i="7"/>
  <c r="G6" i="7" s="1"/>
  <c r="A13" i="11" l="1"/>
  <c r="A7" i="7"/>
  <c r="G7" i="7" s="1"/>
  <c r="A8" i="7" l="1"/>
  <c r="G8" i="7" s="1"/>
  <c r="A9" i="7" l="1"/>
  <c r="G9" i="7" s="1"/>
  <c r="A10" i="7" l="1"/>
  <c r="G10" i="7" s="1"/>
  <c r="A11" i="7" l="1"/>
  <c r="A12" i="7" l="1"/>
  <c r="G12" i="7" s="1"/>
  <c r="G11" i="7"/>
  <c r="A13" i="7"/>
  <c r="G13" i="7" s="1"/>
  <c r="A14" i="7" l="1"/>
  <c r="G14" i="7" s="1"/>
  <c r="U8" i="3"/>
  <c r="T8" i="3"/>
  <c r="S8" i="3"/>
  <c r="N8" i="3"/>
  <c r="M8" i="3"/>
  <c r="L8" i="3"/>
  <c r="A15" i="7" l="1"/>
  <c r="G15" i="7" s="1"/>
  <c r="A16" i="7" l="1"/>
  <c r="G16" i="7" s="1"/>
  <c r="A17" i="7" l="1"/>
  <c r="G17" i="7" s="1"/>
  <c r="A18" i="7" l="1"/>
  <c r="G18" i="7" s="1"/>
  <c r="A19" i="7" l="1"/>
  <c r="G19" i="7" s="1"/>
  <c r="A20" i="7" l="1"/>
  <c r="G20" i="7" s="1"/>
  <c r="A21" i="7" l="1"/>
  <c r="G21" i="7" s="1"/>
  <c r="A22" i="7" l="1"/>
  <c r="G22" i="7" s="1"/>
  <c r="A23" i="7" l="1"/>
  <c r="G23" i="7" s="1"/>
  <c r="A24" i="7" l="1"/>
  <c r="G24" i="7" s="1"/>
  <c r="A25" i="7" l="1"/>
  <c r="G25" i="7" s="1"/>
  <c r="A26" i="7" l="1"/>
  <c r="G26" i="7" s="1"/>
  <c r="A27" i="7" l="1"/>
  <c r="G27" i="7" s="1"/>
  <c r="A28" i="7" l="1"/>
  <c r="G28" i="7" s="1"/>
  <c r="A29" i="7" l="1"/>
  <c r="G29" i="7" s="1"/>
  <c r="A30" i="7" l="1"/>
  <c r="G30" i="7" s="1"/>
  <c r="E10" i="11" l="1"/>
  <c r="B14" i="9"/>
  <c r="E8" i="12"/>
  <c r="E11" i="11"/>
  <c r="E11" i="12"/>
  <c r="E8" i="11"/>
  <c r="E10" i="12"/>
  <c r="E9" i="11"/>
  <c r="E9" i="12"/>
  <c r="E13" i="12"/>
  <c r="E12" i="12"/>
  <c r="C10" i="12"/>
  <c r="C13" i="9"/>
  <c r="C5" i="12"/>
  <c r="C10" i="9"/>
  <c r="E5" i="11"/>
  <c r="C13" i="12"/>
  <c r="B3" i="12"/>
  <c r="B13" i="12"/>
  <c r="B9" i="11"/>
  <c r="B11" i="11"/>
  <c r="C10" i="11"/>
  <c r="B8" i="12"/>
  <c r="E7" i="12"/>
  <c r="B2" i="12"/>
  <c r="B10" i="12"/>
  <c r="C9" i="11"/>
  <c r="C2" i="11"/>
  <c r="C11" i="12"/>
  <c r="C3" i="12"/>
  <c r="C9" i="12"/>
  <c r="E2" i="12"/>
  <c r="B8" i="9"/>
  <c r="E3" i="12"/>
  <c r="B10" i="11"/>
  <c r="E3" i="11"/>
  <c r="C12" i="12"/>
  <c r="B9" i="12"/>
  <c r="C12" i="9"/>
  <c r="B8" i="11"/>
  <c r="C8" i="11"/>
  <c r="E5" i="12"/>
  <c r="E2" i="11"/>
  <c r="B3" i="11"/>
  <c r="E6" i="12"/>
  <c r="C8" i="12"/>
  <c r="B11" i="12"/>
  <c r="B12" i="12"/>
  <c r="E6" i="11"/>
  <c r="B7" i="12"/>
  <c r="E4" i="11"/>
  <c r="E4" i="12"/>
  <c r="C11" i="9"/>
  <c r="C4" i="12"/>
  <c r="C5" i="11"/>
  <c r="B13" i="9"/>
  <c r="C9" i="9"/>
  <c r="B11" i="9"/>
  <c r="C14" i="9"/>
  <c r="B9" i="9"/>
  <c r="C2" i="12"/>
  <c r="C3" i="11"/>
  <c r="B2" i="11"/>
  <c r="B6" i="12"/>
  <c r="B12" i="9"/>
  <c r="B6" i="11"/>
  <c r="B10" i="9"/>
  <c r="C7" i="12"/>
  <c r="B5" i="11"/>
  <c r="C7" i="11"/>
  <c r="C6" i="12"/>
  <c r="B5" i="12"/>
  <c r="B4" i="11"/>
  <c r="C6" i="11"/>
  <c r="C11" i="11"/>
  <c r="B4" i="12"/>
  <c r="B7" i="11"/>
  <c r="C8" i="9"/>
  <c r="C4" i="11"/>
  <c r="E7" i="11"/>
  <c r="B12" i="11"/>
  <c r="C12" i="11"/>
  <c r="E12" i="11"/>
  <c r="B13" i="11"/>
  <c r="E13" i="11"/>
  <c r="C13" i="11"/>
  <c r="AL12" i="12" l="1" a="1"/>
  <c r="AL12" i="12" s="1"/>
  <c r="AA12" i="12" a="1"/>
  <c r="AA12" i="12" s="1"/>
  <c r="Q12" i="12" a="1"/>
  <c r="Q12" i="12" s="1"/>
  <c r="AK12" i="12" a="1"/>
  <c r="AK12" i="12" s="1"/>
  <c r="P12" i="12" a="1"/>
  <c r="P12" i="12" s="1"/>
  <c r="AJ12" i="12" a="1"/>
  <c r="AJ12" i="12" s="1"/>
  <c r="Z12" i="12" a="1"/>
  <c r="Z12" i="12" s="1"/>
  <c r="O12" i="12" a="1"/>
  <c r="O12" i="12" s="1"/>
  <c r="AI12" i="12" a="1"/>
  <c r="AI12" i="12" s="1"/>
  <c r="Y12" i="12" a="1"/>
  <c r="Y12" i="12" s="1"/>
  <c r="S12" i="12" a="1"/>
  <c r="S12" i="12" s="1"/>
  <c r="AH12" i="12" a="1"/>
  <c r="AH12" i="12" s="1"/>
  <c r="X12" i="12" a="1"/>
  <c r="X12" i="12" s="1"/>
  <c r="N12" i="12" a="1"/>
  <c r="N12" i="12" s="1"/>
  <c r="AG12" i="12" a="1"/>
  <c r="AG12" i="12" s="1"/>
  <c r="W12" i="12" a="1"/>
  <c r="W12" i="12" s="1"/>
  <c r="M12" i="12" a="1"/>
  <c r="M12" i="12" s="1"/>
  <c r="AC12" i="12" a="1"/>
  <c r="AC12" i="12" s="1"/>
  <c r="AQ12" i="12" a="1"/>
  <c r="AQ12" i="12" s="1"/>
  <c r="V12" i="12" a="1"/>
  <c r="V12" i="12" s="1"/>
  <c r="L12" i="12" a="1"/>
  <c r="L12" i="12" s="1"/>
  <c r="AM12" i="12" a="1"/>
  <c r="AM12" i="12" s="1"/>
  <c r="AP12" i="12" a="1"/>
  <c r="AP12" i="12" s="1"/>
  <c r="AF12" i="12" a="1"/>
  <c r="AF12" i="12" s="1"/>
  <c r="U12" i="12" a="1"/>
  <c r="U12" i="12" s="1"/>
  <c r="K12" i="12" a="1"/>
  <c r="K12" i="12" s="1"/>
  <c r="AO12" i="12" a="1"/>
  <c r="AO12" i="12" s="1"/>
  <c r="AE12" i="12" a="1"/>
  <c r="AE12" i="12" s="1"/>
  <c r="J12" i="12" a="1"/>
  <c r="J12" i="12" s="1"/>
  <c r="AN12" i="12" a="1"/>
  <c r="AN12" i="12" s="1"/>
  <c r="AD12" i="12" a="1"/>
  <c r="AD12" i="12" s="1"/>
  <c r="T12" i="12" a="1"/>
  <c r="T12" i="12" s="1"/>
  <c r="I12" i="12" a="1"/>
  <c r="I12" i="12" s="1"/>
  <c r="AB12" i="12" a="1"/>
  <c r="AB12" i="12" s="1"/>
  <c r="R12" i="12" a="1"/>
  <c r="R12" i="12" s="1"/>
  <c r="H12" i="12" a="1"/>
  <c r="H12" i="12" s="1"/>
  <c r="AQ13" i="12" a="1"/>
  <c r="AQ13" i="12" s="1"/>
  <c r="V13" i="12" a="1"/>
  <c r="V13" i="12" s="1"/>
  <c r="L13" i="12" a="1"/>
  <c r="L13" i="12" s="1"/>
  <c r="AP13" i="12" a="1"/>
  <c r="AP13" i="12" s="1"/>
  <c r="AF13" i="12" a="1"/>
  <c r="AF13" i="12" s="1"/>
  <c r="U13" i="12" a="1"/>
  <c r="U13" i="12" s="1"/>
  <c r="K13" i="12" a="1"/>
  <c r="K13" i="12" s="1"/>
  <c r="AO13" i="12" a="1"/>
  <c r="AO13" i="12" s="1"/>
  <c r="AE13" i="12" a="1"/>
  <c r="AE13" i="12" s="1"/>
  <c r="J13" i="12" a="1"/>
  <c r="J13" i="12" s="1"/>
  <c r="AN13" i="12" a="1"/>
  <c r="AN13" i="12" s="1"/>
  <c r="AD13" i="12" a="1"/>
  <c r="AD13" i="12" s="1"/>
  <c r="T13" i="12" a="1"/>
  <c r="T13" i="12" s="1"/>
  <c r="I13" i="12" a="1"/>
  <c r="I13" i="12" s="1"/>
  <c r="AM13" i="12" a="1"/>
  <c r="AM13" i="12" s="1"/>
  <c r="AC13" i="12" a="1"/>
  <c r="AC13" i="12" s="1"/>
  <c r="S13" i="12" a="1"/>
  <c r="S13" i="12" s="1"/>
  <c r="AB13" i="12" a="1"/>
  <c r="AB13" i="12" s="1"/>
  <c r="R13" i="12" a="1"/>
  <c r="R13" i="12" s="1"/>
  <c r="H13" i="12" a="1"/>
  <c r="H13" i="12" s="1"/>
  <c r="AL13" i="12" a="1"/>
  <c r="AL13" i="12" s="1"/>
  <c r="AA13" i="12" a="1"/>
  <c r="AA13" i="12" s="1"/>
  <c r="Q13" i="12" a="1"/>
  <c r="Q13" i="12" s="1"/>
  <c r="AK13" i="12" a="1"/>
  <c r="AK13" i="12" s="1"/>
  <c r="P13" i="12" a="1"/>
  <c r="P13" i="12" s="1"/>
  <c r="N13" i="12" a="1"/>
  <c r="N13" i="12" s="1"/>
  <c r="AJ13" i="12" a="1"/>
  <c r="AJ13" i="12" s="1"/>
  <c r="Z13" i="12" a="1"/>
  <c r="Z13" i="12" s="1"/>
  <c r="O13" i="12" a="1"/>
  <c r="O13" i="12" s="1"/>
  <c r="X13" i="12" a="1"/>
  <c r="X13" i="12" s="1"/>
  <c r="AI13" i="12" a="1"/>
  <c r="AI13" i="12" s="1"/>
  <c r="Y13" i="12" a="1"/>
  <c r="Y13" i="12" s="1"/>
  <c r="AH13" i="12" a="1"/>
  <c r="AH13" i="12" s="1"/>
  <c r="AG13" i="12" a="1"/>
  <c r="AG13" i="12" s="1"/>
  <c r="W13" i="12" a="1"/>
  <c r="W13" i="12" s="1"/>
  <c r="M13" i="12" a="1"/>
  <c r="M13" i="12" s="1"/>
  <c r="AM3" i="12" a="1"/>
  <c r="AM3" i="12" s="1"/>
  <c r="AA3" i="12" a="1"/>
  <c r="AA3" i="12" s="1"/>
  <c r="O3" i="12" a="1"/>
  <c r="O3" i="12" s="1"/>
  <c r="AL3" i="12" a="1"/>
  <c r="AL3" i="12" s="1"/>
  <c r="Z3" i="12" a="1"/>
  <c r="Z3" i="12" s="1"/>
  <c r="N3" i="12" a="1"/>
  <c r="N3" i="12" s="1"/>
  <c r="AK3" i="12" a="1"/>
  <c r="AK3" i="12" s="1"/>
  <c r="Y3" i="12" a="1"/>
  <c r="Y3" i="12" s="1"/>
  <c r="M3" i="12" a="1"/>
  <c r="M3" i="12" s="1"/>
  <c r="AJ3" i="12" a="1"/>
  <c r="AJ3" i="12" s="1"/>
  <c r="X3" i="12" a="1"/>
  <c r="X3" i="12" s="1"/>
  <c r="L3" i="12" a="1"/>
  <c r="L3" i="12" s="1"/>
  <c r="AI3" i="12" a="1"/>
  <c r="AI3" i="12" s="1"/>
  <c r="W3" i="12" a="1"/>
  <c r="W3" i="12" s="1"/>
  <c r="K3" i="12" a="1"/>
  <c r="K3" i="12" s="1"/>
  <c r="AH3" i="12" a="1"/>
  <c r="AH3" i="12" s="1"/>
  <c r="V3" i="12" a="1"/>
  <c r="V3" i="12" s="1"/>
  <c r="J3" i="12" a="1"/>
  <c r="J3" i="12" s="1"/>
  <c r="AG3" i="12" a="1"/>
  <c r="AG3" i="12" s="1"/>
  <c r="U3" i="12" a="1"/>
  <c r="U3" i="12" s="1"/>
  <c r="I3" i="12" a="1"/>
  <c r="I3" i="12" s="1"/>
  <c r="Q3" i="12" a="1"/>
  <c r="Q3" i="12" s="1"/>
  <c r="AF3" i="12" a="1"/>
  <c r="AF3" i="12" s="1"/>
  <c r="T3" i="12" a="1"/>
  <c r="T3" i="12" s="1"/>
  <c r="H3" i="12" a="1"/>
  <c r="H3" i="12" s="1"/>
  <c r="AC3" i="12" a="1"/>
  <c r="AC3" i="12" s="1"/>
  <c r="AQ3" i="12" a="1"/>
  <c r="AQ3" i="12" s="1"/>
  <c r="AE3" i="12" a="1"/>
  <c r="AE3" i="12" s="1"/>
  <c r="S3" i="12" a="1"/>
  <c r="S3" i="12" s="1"/>
  <c r="AP3" i="12" a="1"/>
  <c r="AP3" i="12" s="1"/>
  <c r="AD3" i="12" a="1"/>
  <c r="AD3" i="12" s="1"/>
  <c r="R3" i="12" a="1"/>
  <c r="R3" i="12" s="1"/>
  <c r="AN3" i="12" a="1"/>
  <c r="AN3" i="12" s="1"/>
  <c r="AB3" i="12" a="1"/>
  <c r="AB3" i="12" s="1"/>
  <c r="P3" i="12" a="1"/>
  <c r="P3" i="12" s="1"/>
  <c r="AO3" i="12" a="1"/>
  <c r="AO3" i="12" s="1"/>
  <c r="AQ11" i="12" a="1"/>
  <c r="AQ11" i="12" s="1"/>
  <c r="V11" i="12" a="1"/>
  <c r="V11" i="12" s="1"/>
  <c r="L11" i="12" a="1"/>
  <c r="L11" i="12" s="1"/>
  <c r="AP11" i="12" a="1"/>
  <c r="AP11" i="12" s="1"/>
  <c r="AF11" i="12" a="1"/>
  <c r="AF11" i="12" s="1"/>
  <c r="U11" i="12" a="1"/>
  <c r="U11" i="12" s="1"/>
  <c r="K11" i="12" a="1"/>
  <c r="K11" i="12" s="1"/>
  <c r="N11" i="12" a="1"/>
  <c r="N11" i="12" s="1"/>
  <c r="AO11" i="12" a="1"/>
  <c r="AO11" i="12" s="1"/>
  <c r="AE11" i="12" a="1"/>
  <c r="AE11" i="12" s="1"/>
  <c r="J11" i="12" a="1"/>
  <c r="J11" i="12" s="1"/>
  <c r="X11" i="12" a="1"/>
  <c r="X11" i="12" s="1"/>
  <c r="AN11" i="12" a="1"/>
  <c r="AN11" i="12" s="1"/>
  <c r="AD11" i="12" a="1"/>
  <c r="AD11" i="12" s="1"/>
  <c r="T11" i="12" a="1"/>
  <c r="T11" i="12" s="1"/>
  <c r="I11" i="12" a="1"/>
  <c r="I11" i="12" s="1"/>
  <c r="AM11" i="12" a="1"/>
  <c r="AM11" i="12" s="1"/>
  <c r="AC11" i="12" a="1"/>
  <c r="AC11" i="12" s="1"/>
  <c r="S11" i="12" a="1"/>
  <c r="S11" i="12" s="1"/>
  <c r="AH11" i="12" a="1"/>
  <c r="AH11" i="12" s="1"/>
  <c r="AB11" i="12" a="1"/>
  <c r="AB11" i="12" s="1"/>
  <c r="R11" i="12" a="1"/>
  <c r="R11" i="12" s="1"/>
  <c r="H11" i="12" a="1"/>
  <c r="H11" i="12" s="1"/>
  <c r="AL11" i="12" a="1"/>
  <c r="AL11" i="12" s="1"/>
  <c r="AA11" i="12" a="1"/>
  <c r="AA11" i="12" s="1"/>
  <c r="Q11" i="12" a="1"/>
  <c r="Q11" i="12" s="1"/>
  <c r="AK11" i="12" a="1"/>
  <c r="AK11" i="12" s="1"/>
  <c r="P11" i="12" a="1"/>
  <c r="P11" i="12" s="1"/>
  <c r="AJ11" i="12" a="1"/>
  <c r="AJ11" i="12" s="1"/>
  <c r="Z11" i="12" a="1"/>
  <c r="Z11" i="12" s="1"/>
  <c r="O11" i="12" a="1"/>
  <c r="O11" i="12" s="1"/>
  <c r="AI11" i="12" a="1"/>
  <c r="AI11" i="12" s="1"/>
  <c r="Y11" i="12" a="1"/>
  <c r="Y11" i="12" s="1"/>
  <c r="AG11" i="12" a="1"/>
  <c r="AG11" i="12" s="1"/>
  <c r="W11" i="12" a="1"/>
  <c r="W11" i="12" s="1"/>
  <c r="M11" i="12" a="1"/>
  <c r="M11" i="12" s="1"/>
  <c r="AM4" i="12" a="1"/>
  <c r="AM4" i="12" s="1"/>
  <c r="AA4" i="12" a="1"/>
  <c r="AA4" i="12" s="1"/>
  <c r="O4" i="12" a="1"/>
  <c r="O4" i="12" s="1"/>
  <c r="AO4" i="12" a="1"/>
  <c r="AO4" i="12" s="1"/>
  <c r="AL4" i="12" a="1"/>
  <c r="AL4" i="12" s="1"/>
  <c r="Z4" i="12" a="1"/>
  <c r="Z4" i="12" s="1"/>
  <c r="N4" i="12" a="1"/>
  <c r="N4" i="12" s="1"/>
  <c r="AK4" i="12" a="1"/>
  <c r="AK4" i="12" s="1"/>
  <c r="Y4" i="12" a="1"/>
  <c r="Y4" i="12" s="1"/>
  <c r="M4" i="12" a="1"/>
  <c r="M4" i="12" s="1"/>
  <c r="AJ4" i="12" a="1"/>
  <c r="AJ4" i="12" s="1"/>
  <c r="X4" i="12" a="1"/>
  <c r="X4" i="12" s="1"/>
  <c r="L4" i="12" a="1"/>
  <c r="L4" i="12" s="1"/>
  <c r="AC4" i="12" a="1"/>
  <c r="AC4" i="12" s="1"/>
  <c r="AI4" i="12" a="1"/>
  <c r="AI4" i="12" s="1"/>
  <c r="W4" i="12" a="1"/>
  <c r="W4" i="12" s="1"/>
  <c r="K4" i="12" a="1"/>
  <c r="K4" i="12" s="1"/>
  <c r="AH4" i="12" a="1"/>
  <c r="AH4" i="12" s="1"/>
  <c r="V4" i="12" a="1"/>
  <c r="V4" i="12" s="1"/>
  <c r="J4" i="12" a="1"/>
  <c r="J4" i="12" s="1"/>
  <c r="Q4" i="12" a="1"/>
  <c r="Q4" i="12" s="1"/>
  <c r="AG4" i="12" a="1"/>
  <c r="AG4" i="12" s="1"/>
  <c r="U4" i="12" a="1"/>
  <c r="U4" i="12" s="1"/>
  <c r="I4" i="12" a="1"/>
  <c r="I4" i="12" s="1"/>
  <c r="AF4" i="12" a="1"/>
  <c r="AF4" i="12" s="1"/>
  <c r="T4" i="12" a="1"/>
  <c r="T4" i="12" s="1"/>
  <c r="H4" i="12" a="1"/>
  <c r="H4" i="12" s="1"/>
  <c r="AQ4" i="12" a="1"/>
  <c r="AQ4" i="12" s="1"/>
  <c r="AE4" i="12" a="1"/>
  <c r="AE4" i="12" s="1"/>
  <c r="S4" i="12" a="1"/>
  <c r="S4" i="12" s="1"/>
  <c r="AP4" i="12" a="1"/>
  <c r="AP4" i="12" s="1"/>
  <c r="AD4" i="12" a="1"/>
  <c r="AD4" i="12" s="1"/>
  <c r="R4" i="12" a="1"/>
  <c r="R4" i="12" s="1"/>
  <c r="AN4" i="12" a="1"/>
  <c r="AN4" i="12" s="1"/>
  <c r="AB4" i="12" a="1"/>
  <c r="AB4" i="12" s="1"/>
  <c r="P4" i="12" a="1"/>
  <c r="P4" i="12" s="1"/>
  <c r="AL8" i="12" a="1"/>
  <c r="AL8" i="12" s="1"/>
  <c r="AA8" i="12" a="1"/>
  <c r="AA8" i="12" s="1"/>
  <c r="O8" i="12" a="1"/>
  <c r="O8" i="12" s="1"/>
  <c r="AK8" i="12" a="1"/>
  <c r="AK8" i="12" s="1"/>
  <c r="Z8" i="12" a="1"/>
  <c r="Z8" i="12" s="1"/>
  <c r="N8" i="12" a="1"/>
  <c r="N8" i="12" s="1"/>
  <c r="AC8" i="12" a="1"/>
  <c r="AC8" i="12" s="1"/>
  <c r="AJ8" i="12" a="1"/>
  <c r="AJ8" i="12" s="1"/>
  <c r="Y8" i="12" a="1"/>
  <c r="Y8" i="12" s="1"/>
  <c r="M8" i="12" a="1"/>
  <c r="M8" i="12" s="1"/>
  <c r="AI8" i="12" a="1"/>
  <c r="AI8" i="12" s="1"/>
  <c r="X8" i="12" a="1"/>
  <c r="X8" i="12" s="1"/>
  <c r="L8" i="12" a="1"/>
  <c r="L8" i="12" s="1"/>
  <c r="AH8" i="12" a="1"/>
  <c r="AH8" i="12" s="1"/>
  <c r="W8" i="12" a="1"/>
  <c r="W8" i="12" s="1"/>
  <c r="K8" i="12" a="1"/>
  <c r="K8" i="12" s="1"/>
  <c r="AG8" i="12" a="1"/>
  <c r="AG8" i="12" s="1"/>
  <c r="V8" i="12" a="1"/>
  <c r="V8" i="12" s="1"/>
  <c r="J8" i="12" a="1"/>
  <c r="J8" i="12" s="1"/>
  <c r="AM8" i="12" a="1"/>
  <c r="AM8" i="12" s="1"/>
  <c r="AQ8" i="12" a="1"/>
  <c r="AQ8" i="12" s="1"/>
  <c r="U8" i="12" a="1"/>
  <c r="U8" i="12" s="1"/>
  <c r="I8" i="12" a="1"/>
  <c r="I8" i="12" s="1"/>
  <c r="Q8" i="12" a="1"/>
  <c r="Q8" i="12" s="1"/>
  <c r="AP8" i="12" a="1"/>
  <c r="AP8" i="12" s="1"/>
  <c r="AF8" i="12" a="1"/>
  <c r="AF8" i="12" s="1"/>
  <c r="T8" i="12" a="1"/>
  <c r="T8" i="12" s="1"/>
  <c r="H8" i="12" a="1"/>
  <c r="H8" i="12" s="1"/>
  <c r="AO8" i="12" a="1"/>
  <c r="AO8" i="12" s="1"/>
  <c r="AE8" i="12" a="1"/>
  <c r="AE8" i="12" s="1"/>
  <c r="S8" i="12" a="1"/>
  <c r="S8" i="12" s="1"/>
  <c r="AN8" i="12" a="1"/>
  <c r="AN8" i="12" s="1"/>
  <c r="AD8" i="12" a="1"/>
  <c r="AD8" i="12" s="1"/>
  <c r="R8" i="12" a="1"/>
  <c r="R8" i="12" s="1"/>
  <c r="AB8" i="12" a="1"/>
  <c r="AB8" i="12" s="1"/>
  <c r="P8" i="12" a="1"/>
  <c r="P8" i="12" s="1"/>
  <c r="AM6" i="12" a="1"/>
  <c r="AM6" i="12" s="1"/>
  <c r="AA6" i="12" a="1"/>
  <c r="AA6" i="12" s="1"/>
  <c r="O6" i="12" a="1"/>
  <c r="O6" i="12" s="1"/>
  <c r="AL6" i="12" a="1"/>
  <c r="AL6" i="12" s="1"/>
  <c r="Z6" i="12" a="1"/>
  <c r="Z6" i="12" s="1"/>
  <c r="N6" i="12" a="1"/>
  <c r="N6" i="12" s="1"/>
  <c r="AK6" i="12" a="1"/>
  <c r="AK6" i="12" s="1"/>
  <c r="Y6" i="12" a="1"/>
  <c r="Y6" i="12" s="1"/>
  <c r="M6" i="12" a="1"/>
  <c r="M6" i="12" s="1"/>
  <c r="AJ6" i="12" a="1"/>
  <c r="AJ6" i="12" s="1"/>
  <c r="X6" i="12" a="1"/>
  <c r="X6" i="12" s="1"/>
  <c r="L6" i="12" a="1"/>
  <c r="L6" i="12" s="1"/>
  <c r="AI6" i="12" a="1"/>
  <c r="AI6" i="12" s="1"/>
  <c r="W6" i="12" a="1"/>
  <c r="W6" i="12" s="1"/>
  <c r="K6" i="12" a="1"/>
  <c r="K6" i="12" s="1"/>
  <c r="Q6" i="12" a="1"/>
  <c r="Q6" i="12" s="1"/>
  <c r="AH6" i="12" a="1"/>
  <c r="AH6" i="12" s="1"/>
  <c r="V6" i="12" a="1"/>
  <c r="V6" i="12" s="1"/>
  <c r="J6" i="12" a="1"/>
  <c r="J6" i="12" s="1"/>
  <c r="AG6" i="12" a="1"/>
  <c r="AG6" i="12" s="1"/>
  <c r="U6" i="12" a="1"/>
  <c r="U6" i="12" s="1"/>
  <c r="I6" i="12" a="1"/>
  <c r="I6" i="12" s="1"/>
  <c r="AF6" i="12" a="1"/>
  <c r="AF6" i="12" s="1"/>
  <c r="T6" i="12" a="1"/>
  <c r="T6" i="12" s="1"/>
  <c r="H6" i="12" a="1"/>
  <c r="H6" i="12" s="1"/>
  <c r="AQ6" i="12" a="1"/>
  <c r="AQ6" i="12" s="1"/>
  <c r="AE6" i="12" a="1"/>
  <c r="AE6" i="12" s="1"/>
  <c r="S6" i="12" a="1"/>
  <c r="S6" i="12" s="1"/>
  <c r="AO6" i="12" a="1"/>
  <c r="AO6" i="12" s="1"/>
  <c r="AP6" i="12" a="1"/>
  <c r="AP6" i="12" s="1"/>
  <c r="AD6" i="12" a="1"/>
  <c r="AD6" i="12" s="1"/>
  <c r="R6" i="12" a="1"/>
  <c r="R6" i="12" s="1"/>
  <c r="AN6" i="12" a="1"/>
  <c r="AN6" i="12" s="1"/>
  <c r="AB6" i="12" a="1"/>
  <c r="AB6" i="12" s="1"/>
  <c r="P6" i="12" a="1"/>
  <c r="P6" i="12" s="1"/>
  <c r="AC6" i="12" a="1"/>
  <c r="AC6" i="12" s="1"/>
  <c r="AM7" i="12" a="1"/>
  <c r="AM7" i="12" s="1"/>
  <c r="AA7" i="12" a="1"/>
  <c r="AA7" i="12" s="1"/>
  <c r="O7" i="12" a="1"/>
  <c r="O7" i="12" s="1"/>
  <c r="AC7" i="12" a="1"/>
  <c r="AC7" i="12" s="1"/>
  <c r="AL7" i="12" a="1"/>
  <c r="AL7" i="12" s="1"/>
  <c r="Z7" i="12" a="1"/>
  <c r="Z7" i="12" s="1"/>
  <c r="N7" i="12" a="1"/>
  <c r="N7" i="12" s="1"/>
  <c r="AK7" i="12" a="1"/>
  <c r="AK7" i="12" s="1"/>
  <c r="Y7" i="12" a="1"/>
  <c r="Y7" i="12" s="1"/>
  <c r="M7" i="12" a="1"/>
  <c r="M7" i="12" s="1"/>
  <c r="AJ7" i="12" a="1"/>
  <c r="AJ7" i="12" s="1"/>
  <c r="X7" i="12" a="1"/>
  <c r="X7" i="12" s="1"/>
  <c r="L7" i="12" a="1"/>
  <c r="L7" i="12" s="1"/>
  <c r="AI7" i="12" a="1"/>
  <c r="AI7" i="12" s="1"/>
  <c r="W7" i="12" a="1"/>
  <c r="W7" i="12" s="1"/>
  <c r="K7" i="12" a="1"/>
  <c r="K7" i="12" s="1"/>
  <c r="AH7" i="12" a="1"/>
  <c r="AH7" i="12" s="1"/>
  <c r="V7" i="12" a="1"/>
  <c r="V7" i="12" s="1"/>
  <c r="J7" i="12" a="1"/>
  <c r="J7" i="12" s="1"/>
  <c r="AG7" i="12" a="1"/>
  <c r="AG7" i="12" s="1"/>
  <c r="U7" i="12" a="1"/>
  <c r="U7" i="12" s="1"/>
  <c r="I7" i="12" a="1"/>
  <c r="I7" i="12" s="1"/>
  <c r="AF7" i="12" a="1"/>
  <c r="AF7" i="12" s="1"/>
  <c r="T7" i="12" a="1"/>
  <c r="T7" i="12" s="1"/>
  <c r="H7" i="12" a="1"/>
  <c r="H7" i="12" s="1"/>
  <c r="AO7" i="12" a="1"/>
  <c r="AO7" i="12" s="1"/>
  <c r="AQ7" i="12" a="1"/>
  <c r="AQ7" i="12" s="1"/>
  <c r="AE7" i="12" a="1"/>
  <c r="AE7" i="12" s="1"/>
  <c r="S7" i="12" a="1"/>
  <c r="S7" i="12" s="1"/>
  <c r="AP7" i="12" a="1"/>
  <c r="AP7" i="12" s="1"/>
  <c r="AD7" i="12" a="1"/>
  <c r="AD7" i="12" s="1"/>
  <c r="R7" i="12" a="1"/>
  <c r="R7" i="12" s="1"/>
  <c r="Q7" i="12" a="1"/>
  <c r="Q7" i="12" s="1"/>
  <c r="AN7" i="12" a="1"/>
  <c r="AN7" i="12" s="1"/>
  <c r="AB7" i="12" a="1"/>
  <c r="AB7" i="12" s="1"/>
  <c r="P7" i="12" a="1"/>
  <c r="P7" i="12" s="1"/>
  <c r="AQ9" i="12" a="1"/>
  <c r="AQ9" i="12" s="1"/>
  <c r="V9" i="12" a="1"/>
  <c r="V9" i="12" s="1"/>
  <c r="L9" i="12" a="1"/>
  <c r="L9" i="12" s="1"/>
  <c r="AH9" i="12" a="1"/>
  <c r="AH9" i="12" s="1"/>
  <c r="AP9" i="12" a="1"/>
  <c r="AP9" i="12" s="1"/>
  <c r="AF9" i="12" a="1"/>
  <c r="AF9" i="12" s="1"/>
  <c r="U9" i="12" a="1"/>
  <c r="U9" i="12" s="1"/>
  <c r="K9" i="12" a="1"/>
  <c r="K9" i="12" s="1"/>
  <c r="AO9" i="12" a="1"/>
  <c r="AO9" i="12" s="1"/>
  <c r="AE9" i="12" a="1"/>
  <c r="AE9" i="12" s="1"/>
  <c r="J9" i="12" a="1"/>
  <c r="J9" i="12" s="1"/>
  <c r="X9" i="12" a="1"/>
  <c r="X9" i="12" s="1"/>
  <c r="AN9" i="12" a="1"/>
  <c r="AN9" i="12" s="1"/>
  <c r="AD9" i="12" a="1"/>
  <c r="AD9" i="12" s="1"/>
  <c r="T9" i="12" a="1"/>
  <c r="T9" i="12" s="1"/>
  <c r="I9" i="12" a="1"/>
  <c r="I9" i="12" s="1"/>
  <c r="N9" i="12" a="1"/>
  <c r="N9" i="12" s="1"/>
  <c r="AM9" i="12" a="1"/>
  <c r="AM9" i="12" s="1"/>
  <c r="AC9" i="12" a="1"/>
  <c r="AC9" i="12" s="1"/>
  <c r="S9" i="12" a="1"/>
  <c r="S9" i="12" s="1"/>
  <c r="AB9" i="12" a="1"/>
  <c r="AB9" i="12" s="1"/>
  <c r="R9" i="12" a="1"/>
  <c r="R9" i="12" s="1"/>
  <c r="H9" i="12" a="1"/>
  <c r="H9" i="12" s="1"/>
  <c r="AL9" i="12" a="1"/>
  <c r="AL9" i="12" s="1"/>
  <c r="AA9" i="12" a="1"/>
  <c r="AA9" i="12" s="1"/>
  <c r="Q9" i="12" a="1"/>
  <c r="Q9" i="12" s="1"/>
  <c r="AK9" i="12" a="1"/>
  <c r="AK9" i="12" s="1"/>
  <c r="P9" i="12" a="1"/>
  <c r="P9" i="12" s="1"/>
  <c r="AJ9" i="12" a="1"/>
  <c r="AJ9" i="12" s="1"/>
  <c r="Z9" i="12" a="1"/>
  <c r="Z9" i="12" s="1"/>
  <c r="O9" i="12" a="1"/>
  <c r="O9" i="12" s="1"/>
  <c r="AI9" i="12" a="1"/>
  <c r="AI9" i="12" s="1"/>
  <c r="Y9" i="12" a="1"/>
  <c r="Y9" i="12" s="1"/>
  <c r="AG9" i="12" a="1"/>
  <c r="AG9" i="12" s="1"/>
  <c r="W9" i="12" a="1"/>
  <c r="W9" i="12" s="1"/>
  <c r="M9" i="12" a="1"/>
  <c r="M9" i="12" s="1"/>
  <c r="AL10" i="12" a="1"/>
  <c r="AL10" i="12" s="1"/>
  <c r="AA10" i="12" a="1"/>
  <c r="AA10" i="12" s="1"/>
  <c r="Q10" i="12" a="1"/>
  <c r="Q10" i="12" s="1"/>
  <c r="AM10" i="12" a="1"/>
  <c r="AM10" i="12" s="1"/>
  <c r="AK10" i="12" a="1"/>
  <c r="AK10" i="12" s="1"/>
  <c r="P10" i="12" a="1"/>
  <c r="P10" i="12" s="1"/>
  <c r="S10" i="12" a="1"/>
  <c r="S10" i="12" s="1"/>
  <c r="AJ10" i="12" a="1"/>
  <c r="AJ10" i="12" s="1"/>
  <c r="Z10" i="12" a="1"/>
  <c r="Z10" i="12" s="1"/>
  <c r="O10" i="12" a="1"/>
  <c r="O10" i="12" s="1"/>
  <c r="AI10" i="12" a="1"/>
  <c r="AI10" i="12" s="1"/>
  <c r="Y10" i="12" a="1"/>
  <c r="Y10" i="12" s="1"/>
  <c r="AH10" i="12" a="1"/>
  <c r="AH10" i="12" s="1"/>
  <c r="X10" i="12" a="1"/>
  <c r="X10" i="12" s="1"/>
  <c r="N10" i="12" a="1"/>
  <c r="N10" i="12" s="1"/>
  <c r="AG10" i="12" a="1"/>
  <c r="AG10" i="12" s="1"/>
  <c r="W10" i="12" a="1"/>
  <c r="W10" i="12" s="1"/>
  <c r="M10" i="12" a="1"/>
  <c r="M10" i="12" s="1"/>
  <c r="AQ10" i="12" a="1"/>
  <c r="AQ10" i="12" s="1"/>
  <c r="V10" i="12" a="1"/>
  <c r="V10" i="12" s="1"/>
  <c r="L10" i="12" a="1"/>
  <c r="L10" i="12" s="1"/>
  <c r="AP10" i="12" a="1"/>
  <c r="AP10" i="12" s="1"/>
  <c r="AF10" i="12" a="1"/>
  <c r="AF10" i="12" s="1"/>
  <c r="U10" i="12" a="1"/>
  <c r="U10" i="12" s="1"/>
  <c r="K10" i="12" a="1"/>
  <c r="K10" i="12" s="1"/>
  <c r="AO10" i="12" a="1"/>
  <c r="AO10" i="12" s="1"/>
  <c r="AE10" i="12" a="1"/>
  <c r="AE10" i="12" s="1"/>
  <c r="J10" i="12" a="1"/>
  <c r="J10" i="12" s="1"/>
  <c r="AN10" i="12" a="1"/>
  <c r="AN10" i="12" s="1"/>
  <c r="AD10" i="12" a="1"/>
  <c r="AD10" i="12" s="1"/>
  <c r="T10" i="12" a="1"/>
  <c r="T10" i="12" s="1"/>
  <c r="I10" i="12" a="1"/>
  <c r="I10" i="12" s="1"/>
  <c r="AB10" i="12" a="1"/>
  <c r="AB10" i="12" s="1"/>
  <c r="R10" i="12" a="1"/>
  <c r="R10" i="12" s="1"/>
  <c r="H10" i="12" a="1"/>
  <c r="H10" i="12" s="1"/>
  <c r="AC10" i="12" a="1"/>
  <c r="AC10" i="12" s="1"/>
  <c r="AM5" i="12" a="1"/>
  <c r="AM5" i="12" s="1"/>
  <c r="AA5" i="12" a="1"/>
  <c r="AA5" i="12" s="1"/>
  <c r="O5" i="12" a="1"/>
  <c r="O5" i="12" s="1"/>
  <c r="AL5" i="12" a="1"/>
  <c r="AL5" i="12" s="1"/>
  <c r="Z5" i="12" a="1"/>
  <c r="Z5" i="12" s="1"/>
  <c r="N5" i="12" a="1"/>
  <c r="N5" i="12" s="1"/>
  <c r="AC5" i="12" a="1"/>
  <c r="AC5" i="12" s="1"/>
  <c r="AK5" i="12" a="1"/>
  <c r="AK5" i="12" s="1"/>
  <c r="Y5" i="12" a="1"/>
  <c r="Y5" i="12" s="1"/>
  <c r="M5" i="12" a="1"/>
  <c r="M5" i="12" s="1"/>
  <c r="AO5" i="12" a="1"/>
  <c r="AO5" i="12" s="1"/>
  <c r="AJ5" i="12" a="1"/>
  <c r="AJ5" i="12" s="1"/>
  <c r="X5" i="12" a="1"/>
  <c r="X5" i="12" s="1"/>
  <c r="L5" i="12" a="1"/>
  <c r="L5" i="12" s="1"/>
  <c r="AI5" i="12" a="1"/>
  <c r="AI5" i="12" s="1"/>
  <c r="W5" i="12" a="1"/>
  <c r="W5" i="12" s="1"/>
  <c r="K5" i="12" a="1"/>
  <c r="K5" i="12" s="1"/>
  <c r="AH5" i="12" a="1"/>
  <c r="AH5" i="12" s="1"/>
  <c r="V5" i="12" a="1"/>
  <c r="V5" i="12" s="1"/>
  <c r="J5" i="12" a="1"/>
  <c r="J5" i="12" s="1"/>
  <c r="AG5" i="12" a="1"/>
  <c r="AG5" i="12" s="1"/>
  <c r="U5" i="12" a="1"/>
  <c r="U5" i="12" s="1"/>
  <c r="I5" i="12" a="1"/>
  <c r="I5" i="12" s="1"/>
  <c r="Q5" i="12" a="1"/>
  <c r="Q5" i="12" s="1"/>
  <c r="AF5" i="12" a="1"/>
  <c r="AF5" i="12" s="1"/>
  <c r="T5" i="12" a="1"/>
  <c r="T5" i="12" s="1"/>
  <c r="H5" i="12" a="1"/>
  <c r="H5" i="12" s="1"/>
  <c r="AQ5" i="12" a="1"/>
  <c r="AQ5" i="12" s="1"/>
  <c r="AE5" i="12" a="1"/>
  <c r="AE5" i="12" s="1"/>
  <c r="S5" i="12" a="1"/>
  <c r="S5" i="12" s="1"/>
  <c r="AP5" i="12" a="1"/>
  <c r="AP5" i="12" s="1"/>
  <c r="AD5" i="12" a="1"/>
  <c r="AD5" i="12" s="1"/>
  <c r="R5" i="12" a="1"/>
  <c r="R5" i="12" s="1"/>
  <c r="AN5" i="12" a="1"/>
  <c r="AN5" i="12" s="1"/>
  <c r="AB5" i="12" a="1"/>
  <c r="AB5" i="12" s="1"/>
  <c r="P5" i="12" a="1"/>
  <c r="P5" i="12" s="1"/>
  <c r="AQ14" i="9" a="1"/>
  <c r="AQ14" i="9" s="1"/>
  <c r="V14" i="9" a="1"/>
  <c r="V14" i="9" s="1"/>
  <c r="L14" i="9" a="1"/>
  <c r="L14" i="9" s="1"/>
  <c r="AP14" i="9" a="1"/>
  <c r="AP14" i="9" s="1"/>
  <c r="AF14" i="9" a="1"/>
  <c r="AF14" i="9" s="1"/>
  <c r="U14" i="9" a="1"/>
  <c r="U14" i="9" s="1"/>
  <c r="K14" i="9" a="1"/>
  <c r="K14" i="9" s="1"/>
  <c r="AO14" i="9" a="1"/>
  <c r="AO14" i="9" s="1"/>
  <c r="J14" i="9" a="1"/>
  <c r="J14" i="9" s="1"/>
  <c r="AE14" i="9" a="1"/>
  <c r="AE14" i="9" s="1"/>
  <c r="AG14" i="9" a="1"/>
  <c r="AG14" i="9" s="1"/>
  <c r="AN14" i="9" a="1"/>
  <c r="AN14" i="9" s="1"/>
  <c r="AD14" i="9" a="1"/>
  <c r="AD14" i="9" s="1"/>
  <c r="T14" i="9" a="1"/>
  <c r="T14" i="9" s="1"/>
  <c r="I14" i="9" a="1"/>
  <c r="I14" i="9" s="1"/>
  <c r="AM14" i="9" a="1"/>
  <c r="AM14" i="9" s="1"/>
  <c r="AC14" i="9" a="1"/>
  <c r="AC14" i="9" s="1"/>
  <c r="S14" i="9" a="1"/>
  <c r="S14" i="9" s="1"/>
  <c r="AB14" i="9" a="1"/>
  <c r="AB14" i="9" s="1"/>
  <c r="R14" i="9" a="1"/>
  <c r="R14" i="9" s="1"/>
  <c r="H14" i="9" a="1"/>
  <c r="H14" i="9" s="1"/>
  <c r="M14" i="9" a="1"/>
  <c r="M14" i="9" s="1"/>
  <c r="AL14" i="9" a="1"/>
  <c r="AL14" i="9" s="1"/>
  <c r="AA14" i="9" a="1"/>
  <c r="AA14" i="9" s="1"/>
  <c r="Q14" i="9" a="1"/>
  <c r="Q14" i="9" s="1"/>
  <c r="W14" i="9" a="1"/>
  <c r="W14" i="9" s="1"/>
  <c r="AK14" i="9" a="1"/>
  <c r="AK14" i="9" s="1"/>
  <c r="P14" i="9" a="1"/>
  <c r="P14" i="9" s="1"/>
  <c r="AH14" i="9" a="1"/>
  <c r="AH14" i="9" s="1"/>
  <c r="N14" i="9" a="1"/>
  <c r="N14" i="9" s="1"/>
  <c r="AJ14" i="9" a="1"/>
  <c r="AJ14" i="9" s="1"/>
  <c r="Z14" i="9" a="1"/>
  <c r="Z14" i="9" s="1"/>
  <c r="O14" i="9" a="1"/>
  <c r="O14" i="9" s="1"/>
  <c r="AI14" i="9" a="1"/>
  <c r="AI14" i="9" s="1"/>
  <c r="Y14" i="9" a="1"/>
  <c r="Y14" i="9" s="1"/>
  <c r="X14" i="9" a="1"/>
  <c r="X14" i="9" s="1"/>
  <c r="AL13" i="9" a="1"/>
  <c r="AL13" i="9" s="1"/>
  <c r="Z13" i="9" a="1"/>
  <c r="Z13" i="9" s="1"/>
  <c r="N13" i="9" a="1"/>
  <c r="N13" i="9" s="1"/>
  <c r="AK13" i="9" a="1"/>
  <c r="AK13" i="9" s="1"/>
  <c r="Y13" i="9" a="1"/>
  <c r="Y13" i="9" s="1"/>
  <c r="M13" i="9" a="1"/>
  <c r="M13" i="9" s="1"/>
  <c r="AJ13" i="9" a="1"/>
  <c r="AJ13" i="9" s="1"/>
  <c r="L13" i="9" a="1"/>
  <c r="L13" i="9" s="1"/>
  <c r="X13" i="9" a="1"/>
  <c r="X13" i="9" s="1"/>
  <c r="AA13" i="9" a="1"/>
  <c r="AA13" i="9" s="1"/>
  <c r="AI13" i="9" a="1"/>
  <c r="AI13" i="9" s="1"/>
  <c r="W13" i="9" a="1"/>
  <c r="W13" i="9" s="1"/>
  <c r="K13" i="9" a="1"/>
  <c r="K13" i="9" s="1"/>
  <c r="AH13" i="9" a="1"/>
  <c r="AH13" i="9" s="1"/>
  <c r="V13" i="9" a="1"/>
  <c r="V13" i="9" s="1"/>
  <c r="J13" i="9" a="1"/>
  <c r="J13" i="9" s="1"/>
  <c r="AG13" i="9" a="1"/>
  <c r="AG13" i="9" s="1"/>
  <c r="U13" i="9" a="1"/>
  <c r="U13" i="9" s="1"/>
  <c r="I13" i="9" a="1"/>
  <c r="I13" i="9" s="1"/>
  <c r="AQ13" i="9" a="1"/>
  <c r="AQ13" i="9" s="1"/>
  <c r="AF13" i="9" a="1"/>
  <c r="AF13" i="9" s="1"/>
  <c r="T13" i="9" a="1"/>
  <c r="T13" i="9" s="1"/>
  <c r="H13" i="9" a="1"/>
  <c r="H13" i="9" s="1"/>
  <c r="AB13" i="9" a="1"/>
  <c r="AB13" i="9" s="1"/>
  <c r="O13" i="9" a="1"/>
  <c r="O13" i="9" s="1"/>
  <c r="AP13" i="9" a="1"/>
  <c r="AP13" i="9" s="1"/>
  <c r="AE13" i="9" a="1"/>
  <c r="AE13" i="9" s="1"/>
  <c r="S13" i="9" a="1"/>
  <c r="S13" i="9" s="1"/>
  <c r="P13" i="9" a="1"/>
  <c r="P13" i="9" s="1"/>
  <c r="AO13" i="9" a="1"/>
  <c r="AO13" i="9" s="1"/>
  <c r="AD13" i="9" a="1"/>
  <c r="AD13" i="9" s="1"/>
  <c r="R13" i="9" a="1"/>
  <c r="R13" i="9" s="1"/>
  <c r="AN13" i="9" a="1"/>
  <c r="AN13" i="9" s="1"/>
  <c r="AC13" i="9" a="1"/>
  <c r="AC13" i="9" s="1"/>
  <c r="Q13" i="9" a="1"/>
  <c r="Q13" i="9" s="1"/>
  <c r="AM13" i="9" a="1"/>
  <c r="AM13" i="9" s="1"/>
  <c r="AL11" i="9" a="1"/>
  <c r="AL11" i="9" s="1"/>
  <c r="Z11" i="9" a="1"/>
  <c r="Z11" i="9" s="1"/>
  <c r="N11" i="9" a="1"/>
  <c r="N11" i="9" s="1"/>
  <c r="AK11" i="9" a="1"/>
  <c r="AK11" i="9" s="1"/>
  <c r="Y11" i="9" a="1"/>
  <c r="Y11" i="9" s="1"/>
  <c r="M11" i="9" a="1"/>
  <c r="M11" i="9" s="1"/>
  <c r="AJ11" i="9" a="1"/>
  <c r="AJ11" i="9" s="1"/>
  <c r="L11" i="9" a="1"/>
  <c r="L11" i="9" s="1"/>
  <c r="AI11" i="9" a="1"/>
  <c r="AI11" i="9" s="1"/>
  <c r="X11" i="9" a="1"/>
  <c r="X11" i="9" s="1"/>
  <c r="W11" i="9" a="1"/>
  <c r="W11" i="9" s="1"/>
  <c r="K11" i="9" a="1"/>
  <c r="K11" i="9" s="1"/>
  <c r="AM11" i="9" a="1"/>
  <c r="AM11" i="9" s="1"/>
  <c r="AH11" i="9" a="1"/>
  <c r="AH11" i="9" s="1"/>
  <c r="V11" i="9" a="1"/>
  <c r="V11" i="9" s="1"/>
  <c r="J11" i="9" a="1"/>
  <c r="J11" i="9" s="1"/>
  <c r="AF11" i="9" a="1"/>
  <c r="AF11" i="9" s="1"/>
  <c r="O11" i="9" a="1"/>
  <c r="O11" i="9" s="1"/>
  <c r="AG11" i="9" a="1"/>
  <c r="AG11" i="9" s="1"/>
  <c r="U11" i="9" a="1"/>
  <c r="U11" i="9" s="1"/>
  <c r="I11" i="9" a="1"/>
  <c r="I11" i="9" s="1"/>
  <c r="H11" i="9" a="1"/>
  <c r="H11" i="9" s="1"/>
  <c r="T11" i="9" a="1"/>
  <c r="T11" i="9" s="1"/>
  <c r="P11" i="9" a="1"/>
  <c r="P11" i="9" s="1"/>
  <c r="AQ11" i="9" a="1"/>
  <c r="AQ11" i="9" s="1"/>
  <c r="AE11" i="9" a="1"/>
  <c r="AE11" i="9" s="1"/>
  <c r="S11" i="9" a="1"/>
  <c r="S11" i="9" s="1"/>
  <c r="AB11" i="9" a="1"/>
  <c r="AB11" i="9" s="1"/>
  <c r="AP11" i="9" a="1"/>
  <c r="AP11" i="9" s="1"/>
  <c r="AD11" i="9" a="1"/>
  <c r="AD11" i="9" s="1"/>
  <c r="R11" i="9" a="1"/>
  <c r="R11" i="9" s="1"/>
  <c r="AA11" i="9" a="1"/>
  <c r="AA11" i="9" s="1"/>
  <c r="AO11" i="9" a="1"/>
  <c r="AO11" i="9" s="1"/>
  <c r="AC11" i="9" a="1"/>
  <c r="AC11" i="9" s="1"/>
  <c r="Q11" i="9" a="1"/>
  <c r="Q11" i="9" s="1"/>
  <c r="AN11" i="9" a="1"/>
  <c r="AN11" i="9" s="1"/>
  <c r="AL10" i="9" a="1"/>
  <c r="AL10" i="9" s="1"/>
  <c r="Z10" i="9" a="1"/>
  <c r="Z10" i="9" s="1"/>
  <c r="N10" i="9" a="1"/>
  <c r="N10" i="9" s="1"/>
  <c r="AK10" i="9" a="1"/>
  <c r="AK10" i="9" s="1"/>
  <c r="Y10" i="9" a="1"/>
  <c r="Y10" i="9" s="1"/>
  <c r="M10" i="9" a="1"/>
  <c r="M10" i="9" s="1"/>
  <c r="AJ10" i="9" a="1"/>
  <c r="AJ10" i="9" s="1"/>
  <c r="L10" i="9" a="1"/>
  <c r="L10" i="9" s="1"/>
  <c r="AI10" i="9" a="1"/>
  <c r="AI10" i="9" s="1"/>
  <c r="K10" i="9" a="1"/>
  <c r="K10" i="9" s="1"/>
  <c r="X10" i="9" a="1"/>
  <c r="X10" i="9" s="1"/>
  <c r="W10" i="9" a="1"/>
  <c r="W10" i="9" s="1"/>
  <c r="O10" i="9" a="1"/>
  <c r="O10" i="9" s="1"/>
  <c r="AH10" i="9" a="1"/>
  <c r="AH10" i="9" s="1"/>
  <c r="V10" i="9" a="1"/>
  <c r="V10" i="9" s="1"/>
  <c r="J10" i="9" a="1"/>
  <c r="J10" i="9" s="1"/>
  <c r="T10" i="9" a="1"/>
  <c r="T10" i="9" s="1"/>
  <c r="AQ10" i="9" a="1"/>
  <c r="AQ10" i="9" s="1"/>
  <c r="AG10" i="9" a="1"/>
  <c r="AG10" i="9" s="1"/>
  <c r="U10" i="9" a="1"/>
  <c r="U10" i="9" s="1"/>
  <c r="I10" i="9" a="1"/>
  <c r="I10" i="9" s="1"/>
  <c r="H10" i="9" a="1"/>
  <c r="H10" i="9" s="1"/>
  <c r="AM10" i="9" a="1"/>
  <c r="AM10" i="9" s="1"/>
  <c r="AF10" i="9" a="1"/>
  <c r="AF10" i="9" s="1"/>
  <c r="AE10" i="9" a="1"/>
  <c r="AE10" i="9" s="1"/>
  <c r="Q10" i="9" a="1"/>
  <c r="Q10" i="9" s="1"/>
  <c r="AA10" i="9" a="1"/>
  <c r="AA10" i="9" s="1"/>
  <c r="S10" i="9" a="1"/>
  <c r="S10" i="9" s="1"/>
  <c r="P10" i="9" a="1"/>
  <c r="P10" i="9" s="1"/>
  <c r="AP10" i="9" a="1"/>
  <c r="AP10" i="9" s="1"/>
  <c r="AD10" i="9" a="1"/>
  <c r="AD10" i="9" s="1"/>
  <c r="R10" i="9" a="1"/>
  <c r="R10" i="9" s="1"/>
  <c r="AB10" i="9" a="1"/>
  <c r="AB10" i="9" s="1"/>
  <c r="AO10" i="9" a="1"/>
  <c r="AO10" i="9" s="1"/>
  <c r="AC10" i="9" a="1"/>
  <c r="AC10" i="9" s="1"/>
  <c r="AN10" i="9" a="1"/>
  <c r="AN10" i="9" s="1"/>
  <c r="AL12" i="9" a="1"/>
  <c r="AL12" i="9" s="1"/>
  <c r="Z12" i="9" a="1"/>
  <c r="Z12" i="9" s="1"/>
  <c r="N12" i="9" a="1"/>
  <c r="N12" i="9" s="1"/>
  <c r="AK12" i="9" a="1"/>
  <c r="AK12" i="9" s="1"/>
  <c r="Y12" i="9" a="1"/>
  <c r="Y12" i="9" s="1"/>
  <c r="M12" i="9" a="1"/>
  <c r="M12" i="9" s="1"/>
  <c r="AJ12" i="9" a="1"/>
  <c r="AJ12" i="9" s="1"/>
  <c r="L12" i="9" a="1"/>
  <c r="L12" i="9" s="1"/>
  <c r="X12" i="9" a="1"/>
  <c r="X12" i="9" s="1"/>
  <c r="AA12" i="9" a="1"/>
  <c r="AA12" i="9" s="1"/>
  <c r="AI12" i="9" a="1"/>
  <c r="AI12" i="9" s="1"/>
  <c r="W12" i="9" a="1"/>
  <c r="W12" i="9" s="1"/>
  <c r="K12" i="9" a="1"/>
  <c r="K12" i="9" s="1"/>
  <c r="AH12" i="9" a="1"/>
  <c r="AH12" i="9" s="1"/>
  <c r="V12" i="9" a="1"/>
  <c r="V12" i="9" s="1"/>
  <c r="J12" i="9" a="1"/>
  <c r="J12" i="9" s="1"/>
  <c r="AM12" i="9" a="1"/>
  <c r="AM12" i="9" s="1"/>
  <c r="AG12" i="9" a="1"/>
  <c r="AG12" i="9" s="1"/>
  <c r="U12" i="9" a="1"/>
  <c r="U12" i="9" s="1"/>
  <c r="I12" i="9" a="1"/>
  <c r="I12" i="9" s="1"/>
  <c r="H12" i="9" a="1"/>
  <c r="H12" i="9" s="1"/>
  <c r="AF12" i="9" a="1"/>
  <c r="AF12" i="9" s="1"/>
  <c r="T12" i="9" a="1"/>
  <c r="T12" i="9" s="1"/>
  <c r="P12" i="9" a="1"/>
  <c r="P12" i="9" s="1"/>
  <c r="O12" i="9" a="1"/>
  <c r="O12" i="9" s="1"/>
  <c r="AQ12" i="9" a="1"/>
  <c r="AQ12" i="9" s="1"/>
  <c r="AE12" i="9" a="1"/>
  <c r="AE12" i="9" s="1"/>
  <c r="S12" i="9" a="1"/>
  <c r="S12" i="9" s="1"/>
  <c r="AB12" i="9" a="1"/>
  <c r="AB12" i="9" s="1"/>
  <c r="AP12" i="9" a="1"/>
  <c r="AP12" i="9" s="1"/>
  <c r="AD12" i="9" a="1"/>
  <c r="AD12" i="9" s="1"/>
  <c r="R12" i="9" a="1"/>
  <c r="R12" i="9" s="1"/>
  <c r="AO12" i="9" a="1"/>
  <c r="AO12" i="9" s="1"/>
  <c r="AC12" i="9" a="1"/>
  <c r="AC12" i="9" s="1"/>
  <c r="Q12" i="9" a="1"/>
  <c r="Q12" i="9" s="1"/>
  <c r="AN12" i="9" a="1"/>
  <c r="AN12" i="9" s="1"/>
  <c r="Q2" i="12" a="1"/>
  <c r="Q2" i="12" s="1"/>
  <c r="N4" i="11" a="1"/>
  <c r="N4" i="11" s="1"/>
  <c r="AG4" i="11" a="1"/>
  <c r="AG4" i="11" s="1"/>
  <c r="R4" i="11" a="1"/>
  <c r="R4" i="11" s="1"/>
  <c r="AN4" i="11" a="1"/>
  <c r="AN4" i="11" s="1"/>
  <c r="AJ4" i="11" a="1"/>
  <c r="AJ4" i="11" s="1"/>
  <c r="U4" i="11" a="1"/>
  <c r="U4" i="11" s="1"/>
  <c r="AC4" i="11" a="1"/>
  <c r="AC4" i="11" s="1"/>
  <c r="Y4" i="11" a="1"/>
  <c r="Y4" i="11" s="1"/>
  <c r="I4" i="11" a="1"/>
  <c r="I4" i="11" s="1"/>
  <c r="Q4" i="11" a="1"/>
  <c r="Q4" i="11" s="1"/>
  <c r="M4" i="11" a="1"/>
  <c r="M4" i="11" s="1"/>
  <c r="AQ4" i="11" a="1"/>
  <c r="AQ4" i="11" s="1"/>
  <c r="AM4" i="11" a="1"/>
  <c r="AM4" i="11" s="1"/>
  <c r="AI4" i="11" a="1"/>
  <c r="AI4" i="11" s="1"/>
  <c r="AF4" i="11" a="1"/>
  <c r="AF4" i="11" s="1"/>
  <c r="AB4" i="11" a="1"/>
  <c r="AB4" i="11" s="1"/>
  <c r="X4" i="11" a="1"/>
  <c r="X4" i="11" s="1"/>
  <c r="T4" i="11" a="1"/>
  <c r="T4" i="11" s="1"/>
  <c r="P4" i="11" a="1"/>
  <c r="P4" i="11" s="1"/>
  <c r="L4" i="11" a="1"/>
  <c r="L4" i="11" s="1"/>
  <c r="H4" i="11" a="1"/>
  <c r="H4" i="11" s="1"/>
  <c r="AH4" i="11" a="1"/>
  <c r="AH4" i="11" s="1"/>
  <c r="AL4" i="11" a="1"/>
  <c r="AL4" i="11" s="1"/>
  <c r="W4" i="11" a="1"/>
  <c r="W4" i="11" s="1"/>
  <c r="AP4" i="11" a="1"/>
  <c r="AP4" i="11" s="1"/>
  <c r="S4" i="11" a="1"/>
  <c r="S4" i="11" s="1"/>
  <c r="AA4" i="11" a="1"/>
  <c r="AA4" i="11" s="1"/>
  <c r="K4" i="11" a="1"/>
  <c r="K4" i="11" s="1"/>
  <c r="AE4" i="11" a="1"/>
  <c r="AE4" i="11" s="1"/>
  <c r="O4" i="11" a="1"/>
  <c r="O4" i="11" s="1"/>
  <c r="Z4" i="11" a="1"/>
  <c r="Z4" i="11" s="1"/>
  <c r="J4" i="11" a="1"/>
  <c r="J4" i="11" s="1"/>
  <c r="AD4" i="11" a="1"/>
  <c r="AD4" i="11" s="1"/>
  <c r="AO4" i="11" a="1"/>
  <c r="AO4" i="11" s="1"/>
  <c r="V4" i="11" a="1"/>
  <c r="V4" i="11" s="1"/>
  <c r="AK4" i="11" a="1"/>
  <c r="AK4" i="11" s="1"/>
  <c r="AG2" i="11" a="1"/>
  <c r="AG2" i="11" s="1"/>
  <c r="O2" i="11" a="1"/>
  <c r="O2" i="11" s="1"/>
  <c r="J2" i="11" a="1"/>
  <c r="J2" i="11" s="1"/>
  <c r="Q2" i="11" a="1"/>
  <c r="Q2" i="11" s="1"/>
  <c r="U2" i="11" a="1"/>
  <c r="U2" i="11" s="1"/>
  <c r="S2" i="11" a="1"/>
  <c r="S2" i="11" s="1"/>
  <c r="AQ2" i="11" a="1"/>
  <c r="AQ2" i="11" s="1"/>
  <c r="Y2" i="11" a="1"/>
  <c r="Y2" i="11" s="1"/>
  <c r="AM2" i="11" a="1"/>
  <c r="AM2" i="11" s="1"/>
  <c r="AI2" i="11" a="1"/>
  <c r="AI2" i="11" s="1"/>
  <c r="AO2" i="11" a="1"/>
  <c r="AO2" i="11" s="1"/>
  <c r="T2" i="11" a="1"/>
  <c r="T2" i="11" s="1"/>
  <c r="R2" i="11" a="1"/>
  <c r="R2" i="11" s="1"/>
  <c r="X2" i="11" a="1"/>
  <c r="X2" i="11" s="1"/>
  <c r="M2" i="11" a="1"/>
  <c r="M2" i="11" s="1"/>
  <c r="I2" i="11" a="1"/>
  <c r="I2" i="11" s="1"/>
  <c r="P2" i="11" a="1"/>
  <c r="P2" i="11" s="1"/>
  <c r="AL2" i="11" a="1"/>
  <c r="AL2" i="11" s="1"/>
  <c r="AH2" i="11" a="1"/>
  <c r="AH2" i="11" s="1"/>
  <c r="AE2" i="11" a="1"/>
  <c r="AE2" i="11" s="1"/>
  <c r="AC2" i="11" a="1"/>
  <c r="AC2" i="11" s="1"/>
  <c r="AP2" i="11" a="1"/>
  <c r="AP2" i="11" s="1"/>
  <c r="V2" i="11" a="1"/>
  <c r="V2" i="11" s="1"/>
  <c r="AB2" i="11" a="1"/>
  <c r="AB2" i="11" s="1"/>
  <c r="K2" i="11" a="1"/>
  <c r="K2" i="11" s="1"/>
  <c r="AD2" i="11" a="1"/>
  <c r="AD2" i="11" s="1"/>
  <c r="L2" i="11" a="1"/>
  <c r="L2" i="11" s="1"/>
  <c r="AA2" i="11" a="1"/>
  <c r="AA2" i="11" s="1"/>
  <c r="Z2" i="11" a="1"/>
  <c r="Z2" i="11" s="1"/>
  <c r="AF2" i="11" a="1"/>
  <c r="AF2" i="11" s="1"/>
  <c r="H2" i="11" a="1"/>
  <c r="H2" i="11" s="1"/>
  <c r="AJ2" i="11" a="1"/>
  <c r="AJ2" i="11" s="1"/>
  <c r="AK2" i="11" a="1"/>
  <c r="AK2" i="11" s="1"/>
  <c r="N2" i="11" a="1"/>
  <c r="N2" i="11" s="1"/>
  <c r="W2" i="11" a="1"/>
  <c r="W2" i="11" s="1"/>
  <c r="AN2" i="11" a="1"/>
  <c r="AN2" i="11" s="1"/>
  <c r="T9" i="9" a="1"/>
  <c r="T9" i="9" s="1"/>
  <c r="AE9" i="9" a="1"/>
  <c r="AE9" i="9" s="1"/>
  <c r="H9" i="9" a="1"/>
  <c r="H9" i="9" s="1"/>
  <c r="AP9" i="9" a="1"/>
  <c r="AP9" i="9" s="1"/>
  <c r="J9" i="9" a="1"/>
  <c r="J9" i="9" s="1"/>
  <c r="AC9" i="9" a="1"/>
  <c r="AC9" i="9" s="1"/>
  <c r="AG9" i="9" a="1"/>
  <c r="AG9" i="9" s="1"/>
  <c r="AK9" i="9" a="1"/>
  <c r="AK9" i="9" s="1"/>
  <c r="AI9" i="9" a="1"/>
  <c r="AI9" i="9" s="1"/>
  <c r="Z9" i="9" a="1"/>
  <c r="Z9" i="9" s="1"/>
  <c r="Q9" i="9" a="1"/>
  <c r="Q9" i="9" s="1"/>
  <c r="AJ9" i="9" a="1"/>
  <c r="AJ9" i="9" s="1"/>
  <c r="AB9" i="9" a="1"/>
  <c r="AB9" i="9" s="1"/>
  <c r="S9" i="9" a="1"/>
  <c r="S9" i="9" s="1"/>
  <c r="I9" i="9" a="1"/>
  <c r="I9" i="9" s="1"/>
  <c r="U9" i="9" a="1"/>
  <c r="U9" i="9" s="1"/>
  <c r="L9" i="9" a="1"/>
  <c r="L9" i="9" s="1"/>
  <c r="AQ9" i="9" a="1"/>
  <c r="AQ9" i="9" s="1"/>
  <c r="N9" i="9" a="1"/>
  <c r="N9" i="9" s="1"/>
  <c r="AF9" i="9" a="1"/>
  <c r="AF9" i="9" s="1"/>
  <c r="AD9" i="9" a="1"/>
  <c r="AD9" i="9" s="1"/>
  <c r="AH9" i="9" a="1"/>
  <c r="AH9" i="9" s="1"/>
  <c r="AO9" i="9" a="1"/>
  <c r="AO9" i="9" s="1"/>
  <c r="AL9" i="9" a="1"/>
  <c r="AL9" i="9" s="1"/>
  <c r="P9" i="9" a="1"/>
  <c r="P9" i="9" s="1"/>
  <c r="Y9" i="9" a="1"/>
  <c r="Y9" i="9" s="1"/>
  <c r="AA9" i="9" a="1"/>
  <c r="AA9" i="9" s="1"/>
  <c r="K9" i="9" a="1"/>
  <c r="K9" i="9" s="1"/>
  <c r="O9" i="9" a="1"/>
  <c r="O9" i="9" s="1"/>
  <c r="M9" i="9" a="1"/>
  <c r="M9" i="9" s="1"/>
  <c r="W9" i="9" a="1"/>
  <c r="W9" i="9" s="1"/>
  <c r="AM9" i="9" a="1"/>
  <c r="AM9" i="9" s="1"/>
  <c r="R9" i="9" a="1"/>
  <c r="R9" i="9" s="1"/>
  <c r="V9" i="9" a="1"/>
  <c r="V9" i="9" s="1"/>
  <c r="AN9" i="9" a="1"/>
  <c r="AN9" i="9" s="1"/>
  <c r="X9" i="9" a="1"/>
  <c r="X9" i="9" s="1"/>
  <c r="AL8" i="9" a="1"/>
  <c r="AL8" i="9" s="1"/>
  <c r="Y8" i="9" a="1"/>
  <c r="Y8" i="9" s="1"/>
  <c r="R8" i="9" a="1"/>
  <c r="R8" i="9" s="1"/>
  <c r="AQ8" i="9" a="1"/>
  <c r="AQ8" i="9" s="1"/>
  <c r="AE8" i="9" a="1"/>
  <c r="AE8" i="9" s="1"/>
  <c r="AK8" i="9" a="1"/>
  <c r="AK8" i="9" s="1"/>
  <c r="X8" i="9" a="1"/>
  <c r="X8" i="9" s="1"/>
  <c r="U8" i="9" a="1"/>
  <c r="U8" i="9" s="1"/>
  <c r="K8" i="9" a="1"/>
  <c r="K8" i="9" s="1"/>
  <c r="AA8" i="9" a="1"/>
  <c r="AA8" i="9" s="1"/>
  <c r="AP8" i="9" a="1"/>
  <c r="AP8" i="9" s="1"/>
  <c r="AM8" i="9" a="1"/>
  <c r="AM8" i="9" s="1"/>
  <c r="Q8" i="9" a="1"/>
  <c r="Q8" i="9" s="1"/>
  <c r="AG8" i="9" a="1"/>
  <c r="AG8" i="9" s="1"/>
  <c r="AD8" i="9" a="1"/>
  <c r="AD8" i="9" s="1"/>
  <c r="H8" i="9" a="1"/>
  <c r="H8" i="9" s="1"/>
  <c r="N8" i="9" a="1"/>
  <c r="N8" i="9" s="1"/>
  <c r="T8" i="9" a="1"/>
  <c r="T8" i="9" s="1"/>
  <c r="AJ8" i="9" a="1"/>
  <c r="AJ8" i="9" s="1"/>
  <c r="W8" i="9" a="1"/>
  <c r="W8" i="9" s="1"/>
  <c r="S8" i="9" a="1"/>
  <c r="S8" i="9" s="1"/>
  <c r="AI8" i="9" a="1"/>
  <c r="AI8" i="9" s="1"/>
  <c r="AF8" i="9" a="1"/>
  <c r="AF8" i="9" s="1"/>
  <c r="V8" i="9" a="1"/>
  <c r="V8" i="9" s="1"/>
  <c r="AH8" i="9" a="1"/>
  <c r="AH8" i="9" s="1"/>
  <c r="P8" i="9" a="1"/>
  <c r="P8" i="9" s="1"/>
  <c r="M8" i="9" a="1"/>
  <c r="M8" i="9" s="1"/>
  <c r="AB8" i="9" a="1"/>
  <c r="AB8" i="9" s="1"/>
  <c r="AO8" i="9" a="1"/>
  <c r="AO8" i="9" s="1"/>
  <c r="AN8" i="9" a="1"/>
  <c r="AN8" i="9" s="1"/>
  <c r="L8" i="9" a="1"/>
  <c r="L8" i="9" s="1"/>
  <c r="J8" i="9" a="1"/>
  <c r="J8" i="9" s="1"/>
  <c r="I8" i="9" a="1"/>
  <c r="I8" i="9" s="1"/>
  <c r="Z8" i="9" a="1"/>
  <c r="Z8" i="9" s="1"/>
  <c r="AC8" i="9" a="1"/>
  <c r="AC8" i="9" s="1"/>
  <c r="O8" i="9" a="1"/>
  <c r="O8" i="9" s="1"/>
  <c r="P9" i="11" a="1"/>
  <c r="P9" i="11" s="1"/>
  <c r="AM9" i="11" a="1"/>
  <c r="AM9" i="11" s="1"/>
  <c r="O9" i="11" a="1"/>
  <c r="O9" i="11" s="1"/>
  <c r="S9" i="11" a="1"/>
  <c r="S9" i="11" s="1"/>
  <c r="AG9" i="11" a="1"/>
  <c r="AG9" i="11" s="1"/>
  <c r="AC9" i="11" a="1"/>
  <c r="AC9" i="11" s="1"/>
  <c r="K9" i="11" a="1"/>
  <c r="K9" i="11" s="1"/>
  <c r="AN9" i="11" a="1"/>
  <c r="AN9" i="11" s="1"/>
  <c r="X9" i="11" a="1"/>
  <c r="X9" i="11" s="1"/>
  <c r="T9" i="11" a="1"/>
  <c r="T9" i="11" s="1"/>
  <c r="AQ9" i="11" a="1"/>
  <c r="AQ9" i="11" s="1"/>
  <c r="Y9" i="11" a="1"/>
  <c r="Y9" i="11" s="1"/>
  <c r="AD9" i="11" a="1"/>
  <c r="AD9" i="11" s="1"/>
  <c r="U9" i="11" a="1"/>
  <c r="U9" i="11" s="1"/>
  <c r="AP9" i="11" a="1"/>
  <c r="AP9" i="11" s="1"/>
  <c r="AL9" i="11" a="1"/>
  <c r="AL9" i="11" s="1"/>
  <c r="AK9" i="11" a="1"/>
  <c r="AK9" i="11" s="1"/>
  <c r="AJ9" i="11" a="1"/>
  <c r="AJ9" i="11" s="1"/>
  <c r="N9" i="11" a="1"/>
  <c r="N9" i="11" s="1"/>
  <c r="AB9" i="11" a="1"/>
  <c r="AB9" i="11" s="1"/>
  <c r="AA9" i="11" a="1"/>
  <c r="AA9" i="11" s="1"/>
  <c r="R9" i="11" a="1"/>
  <c r="R9" i="11" s="1"/>
  <c r="AO9" i="11" a="1"/>
  <c r="AO9" i="11" s="1"/>
  <c r="L9" i="11" a="1"/>
  <c r="L9" i="11" s="1"/>
  <c r="Q9" i="11" a="1"/>
  <c r="Q9" i="11" s="1"/>
  <c r="W9" i="11" a="1"/>
  <c r="W9" i="11" s="1"/>
  <c r="AH9" i="11" a="1"/>
  <c r="AH9" i="11" s="1"/>
  <c r="I9" i="11" a="1"/>
  <c r="I9" i="11" s="1"/>
  <c r="AE9" i="11" a="1"/>
  <c r="AE9" i="11" s="1"/>
  <c r="Z9" i="11" a="1"/>
  <c r="Z9" i="11" s="1"/>
  <c r="AI9" i="11" a="1"/>
  <c r="AI9" i="11" s="1"/>
  <c r="V9" i="11" a="1"/>
  <c r="V9" i="11" s="1"/>
  <c r="J9" i="11" a="1"/>
  <c r="J9" i="11" s="1"/>
  <c r="AF9" i="11" a="1"/>
  <c r="AF9" i="11" s="1"/>
  <c r="H9" i="11" a="1"/>
  <c r="H9" i="11" s="1"/>
  <c r="M9" i="11" a="1"/>
  <c r="M9" i="11" s="1"/>
  <c r="J11" i="11" a="1"/>
  <c r="J11" i="11" s="1"/>
  <c r="AQ11" i="11" a="1"/>
  <c r="AQ11" i="11" s="1"/>
  <c r="M11" i="11" a="1"/>
  <c r="M11" i="11" s="1"/>
  <c r="AJ11" i="11" a="1"/>
  <c r="AJ11" i="11" s="1"/>
  <c r="AF11" i="11" a="1"/>
  <c r="AF11" i="11" s="1"/>
  <c r="AM11" i="11" a="1"/>
  <c r="AM11" i="11" s="1"/>
  <c r="AA11" i="11" a="1"/>
  <c r="AA11" i="11" s="1"/>
  <c r="R11" i="11" a="1"/>
  <c r="R11" i="11" s="1"/>
  <c r="W11" i="11" a="1"/>
  <c r="W11" i="11" s="1"/>
  <c r="AC11" i="11" a="1"/>
  <c r="AC11" i="11" s="1"/>
  <c r="V11" i="11" a="1"/>
  <c r="V11" i="11" s="1"/>
  <c r="AD11" i="11" a="1"/>
  <c r="AD11" i="11" s="1"/>
  <c r="I11" i="11" a="1"/>
  <c r="I11" i="11" s="1"/>
  <c r="O11" i="11" a="1"/>
  <c r="O11" i="11" s="1"/>
  <c r="AL11" i="11" a="1"/>
  <c r="AL11" i="11" s="1"/>
  <c r="AI11" i="11" a="1"/>
  <c r="AI11" i="11" s="1"/>
  <c r="AP11" i="11" a="1"/>
  <c r="AP11" i="11" s="1"/>
  <c r="AB11" i="11" a="1"/>
  <c r="AB11" i="11" s="1"/>
  <c r="P11" i="11" a="1"/>
  <c r="P11" i="11" s="1"/>
  <c r="K11" i="11" a="1"/>
  <c r="K11" i="11" s="1"/>
  <c r="Y11" i="11" a="1"/>
  <c r="Y11" i="11" s="1"/>
  <c r="N11" i="11" a="1"/>
  <c r="N11" i="11" s="1"/>
  <c r="L11" i="11" a="1"/>
  <c r="L11" i="11" s="1"/>
  <c r="Q11" i="11" a="1"/>
  <c r="Q11" i="11" s="1"/>
  <c r="AO11" i="11" a="1"/>
  <c r="AO11" i="11" s="1"/>
  <c r="T11" i="11" a="1"/>
  <c r="T11" i="11" s="1"/>
  <c r="S11" i="11" a="1"/>
  <c r="S11" i="11" s="1"/>
  <c r="AK11" i="11" a="1"/>
  <c r="AK11" i="11" s="1"/>
  <c r="H11" i="11" a="1"/>
  <c r="H11" i="11" s="1"/>
  <c r="AE11" i="11" a="1"/>
  <c r="AE11" i="11" s="1"/>
  <c r="AH11" i="11" a="1"/>
  <c r="AH11" i="11" s="1"/>
  <c r="AN11" i="11" a="1"/>
  <c r="AN11" i="11" s="1"/>
  <c r="AG11" i="11" a="1"/>
  <c r="AG11" i="11" s="1"/>
  <c r="Z11" i="11" a="1"/>
  <c r="Z11" i="11" s="1"/>
  <c r="X11" i="11" a="1"/>
  <c r="X11" i="11" s="1"/>
  <c r="U11" i="11" a="1"/>
  <c r="U11" i="11" s="1"/>
  <c r="P13" i="11" a="1"/>
  <c r="P13" i="11" s="1"/>
  <c r="AP13" i="11" a="1"/>
  <c r="AP13" i="11" s="1"/>
  <c r="Y13" i="11" a="1"/>
  <c r="Y13" i="11" s="1"/>
  <c r="U13" i="11" a="1"/>
  <c r="U13" i="11" s="1"/>
  <c r="V13" i="11" a="1"/>
  <c r="V13" i="11" s="1"/>
  <c r="J13" i="11" a="1"/>
  <c r="J13" i="11" s="1"/>
  <c r="L13" i="11" a="1"/>
  <c r="L13" i="11" s="1"/>
  <c r="S13" i="11" a="1"/>
  <c r="S13" i="11" s="1"/>
  <c r="AC13" i="11" a="1"/>
  <c r="AC13" i="11" s="1"/>
  <c r="AM13" i="11" a="1"/>
  <c r="AM13" i="11" s="1"/>
  <c r="AK13" i="11" a="1"/>
  <c r="AK13" i="11" s="1"/>
  <c r="R13" i="11" a="1"/>
  <c r="R13" i="11" s="1"/>
  <c r="X13" i="11" a="1"/>
  <c r="X13" i="11" s="1"/>
  <c r="AF13" i="11" a="1"/>
  <c r="AF13" i="11" s="1"/>
  <c r="AQ13" i="11" a="1"/>
  <c r="AQ13" i="11" s="1"/>
  <c r="AI13" i="11" a="1"/>
  <c r="AI13" i="11" s="1"/>
  <c r="AH13" i="11" a="1"/>
  <c r="AH13" i="11" s="1"/>
  <c r="AG13" i="11" a="1"/>
  <c r="AG13" i="11" s="1"/>
  <c r="M13" i="11" a="1"/>
  <c r="M13" i="11" s="1"/>
  <c r="Z13" i="11" a="1"/>
  <c r="Z13" i="11" s="1"/>
  <c r="AL13" i="11" a="1"/>
  <c r="AL13" i="11" s="1"/>
  <c r="W13" i="11" a="1"/>
  <c r="W13" i="11" s="1"/>
  <c r="Q13" i="11" a="1"/>
  <c r="Q13" i="11" s="1"/>
  <c r="AD13" i="11" a="1"/>
  <c r="AD13" i="11" s="1"/>
  <c r="AB13" i="11" a="1"/>
  <c r="AB13" i="11" s="1"/>
  <c r="AA13" i="11" a="1"/>
  <c r="AA13" i="11" s="1"/>
  <c r="N13" i="11" a="1"/>
  <c r="N13" i="11" s="1"/>
  <c r="AN13" i="11" a="1"/>
  <c r="AN13" i="11" s="1"/>
  <c r="K13" i="11" a="1"/>
  <c r="K13" i="11" s="1"/>
  <c r="T13" i="11" a="1"/>
  <c r="T13" i="11" s="1"/>
  <c r="AE13" i="11" a="1"/>
  <c r="AE13" i="11" s="1"/>
  <c r="O13" i="11" a="1"/>
  <c r="O13" i="11" s="1"/>
  <c r="H13" i="11" a="1"/>
  <c r="H13" i="11" s="1"/>
  <c r="AJ13" i="11" a="1"/>
  <c r="AJ13" i="11" s="1"/>
  <c r="I13" i="11" a="1"/>
  <c r="I13" i="11" s="1"/>
  <c r="AO13" i="11" a="1"/>
  <c r="AO13" i="11" s="1"/>
  <c r="S2" i="12" a="1"/>
  <c r="S2" i="12" s="1"/>
  <c r="X2" i="12" a="1"/>
  <c r="X2" i="12" s="1"/>
  <c r="AL2" i="12" a="1"/>
  <c r="AL2" i="12" s="1"/>
  <c r="R2" i="12" a="1"/>
  <c r="R2" i="12" s="1"/>
  <c r="J2" i="12" a="1"/>
  <c r="J2" i="12" s="1"/>
  <c r="AP2" i="12" a="1"/>
  <c r="AP2" i="12" s="1"/>
  <c r="AO2" i="12" a="1"/>
  <c r="AO2" i="12" s="1"/>
  <c r="AK2" i="12" a="1"/>
  <c r="AK2" i="12" s="1"/>
  <c r="W2" i="12" a="1"/>
  <c r="W2" i="12" s="1"/>
  <c r="T2" i="12" a="1"/>
  <c r="T2" i="12" s="1"/>
  <c r="AC2" i="12" a="1"/>
  <c r="AC2" i="12" s="1"/>
  <c r="I2" i="12" a="1"/>
  <c r="I2" i="12" s="1"/>
  <c r="AJ2" i="12" a="1"/>
  <c r="AJ2" i="12" s="1"/>
  <c r="AN2" i="12" a="1"/>
  <c r="AN2" i="12" s="1"/>
  <c r="P2" i="12" a="1"/>
  <c r="P2" i="12" s="1"/>
  <c r="Y2" i="12" a="1"/>
  <c r="Y2" i="12" s="1"/>
  <c r="AH2" i="12" a="1"/>
  <c r="AH2" i="12" s="1"/>
  <c r="N2" i="12" a="1"/>
  <c r="N2" i="12" s="1"/>
  <c r="O2" i="12" a="1"/>
  <c r="O2" i="12" s="1"/>
  <c r="AI2" i="12" a="1"/>
  <c r="AI2" i="12" s="1"/>
  <c r="AE2" i="12" a="1"/>
  <c r="AE2" i="12" s="1"/>
  <c r="AG2" i="12" a="1"/>
  <c r="AG2" i="12" s="1"/>
  <c r="AB2" i="12" a="1"/>
  <c r="AB2" i="12" s="1"/>
  <c r="AM2" i="12" a="1"/>
  <c r="AM2" i="12" s="1"/>
  <c r="M2" i="12" a="1"/>
  <c r="M2" i="12" s="1"/>
  <c r="H2" i="12" a="1"/>
  <c r="H2" i="12" s="1"/>
  <c r="AD2" i="12" a="1"/>
  <c r="AD2" i="12" s="1"/>
  <c r="Z2" i="12" a="1"/>
  <c r="Z2" i="12" s="1"/>
  <c r="V2" i="12" a="1"/>
  <c r="V2" i="12" s="1"/>
  <c r="AQ2" i="12" a="1"/>
  <c r="AQ2" i="12" s="1"/>
  <c r="AF2" i="12" a="1"/>
  <c r="AF2" i="12" s="1"/>
  <c r="AA2" i="12" a="1"/>
  <c r="AA2" i="12" s="1"/>
  <c r="L2" i="12" a="1"/>
  <c r="L2" i="12" s="1"/>
  <c r="U2" i="12" a="1"/>
  <c r="U2" i="12" s="1"/>
  <c r="K2" i="12" a="1"/>
  <c r="K2" i="12" s="1"/>
  <c r="AH5" i="11" a="1"/>
  <c r="AH5" i="11" s="1"/>
  <c r="I5" i="11" a="1"/>
  <c r="I5" i="11" s="1"/>
  <c r="P5" i="11" a="1"/>
  <c r="P5" i="11" s="1"/>
  <c r="AL5" i="11" a="1"/>
  <c r="AL5" i="11" s="1"/>
  <c r="AO5" i="11" a="1"/>
  <c r="AO5" i="11" s="1"/>
  <c r="Z5" i="11" a="1"/>
  <c r="Z5" i="11" s="1"/>
  <c r="AG5" i="11" a="1"/>
  <c r="AG5" i="11" s="1"/>
  <c r="AD5" i="11" a="1"/>
  <c r="AD5" i="11" s="1"/>
  <c r="AK5" i="11" a="1"/>
  <c r="AK5" i="11" s="1"/>
  <c r="K5" i="11" a="1"/>
  <c r="K5" i="11" s="1"/>
  <c r="H5" i="11" a="1"/>
  <c r="H5" i="11" s="1"/>
  <c r="Y5" i="11" a="1"/>
  <c r="Y5" i="11" s="1"/>
  <c r="AQ5" i="11" a="1"/>
  <c r="AQ5" i="11" s="1"/>
  <c r="AN5" i="11" a="1"/>
  <c r="AN5" i="11" s="1"/>
  <c r="AJ5" i="11" a="1"/>
  <c r="AJ5" i="11" s="1"/>
  <c r="AF5" i="11" a="1"/>
  <c r="AF5" i="11" s="1"/>
  <c r="AC5" i="11" a="1"/>
  <c r="AC5" i="11" s="1"/>
  <c r="X5" i="11" a="1"/>
  <c r="X5" i="11" s="1"/>
  <c r="U5" i="11" a="1"/>
  <c r="U5" i="11" s="1"/>
  <c r="R5" i="11" a="1"/>
  <c r="R5" i="11" s="1"/>
  <c r="N5" i="11" a="1"/>
  <c r="N5" i="11" s="1"/>
  <c r="J5" i="11" a="1"/>
  <c r="J5" i="11" s="1"/>
  <c r="AM5" i="11" a="1"/>
  <c r="AM5" i="11" s="1"/>
  <c r="M5" i="11" a="1"/>
  <c r="M5" i="11" s="1"/>
  <c r="T5" i="11" a="1"/>
  <c r="T5" i="11" s="1"/>
  <c r="AA5" i="11" a="1"/>
  <c r="AA5" i="11" s="1"/>
  <c r="L5" i="11" a="1"/>
  <c r="L5" i="11" s="1"/>
  <c r="W5" i="11" a="1"/>
  <c r="W5" i="11" s="1"/>
  <c r="V5" i="11" a="1"/>
  <c r="V5" i="11" s="1"/>
  <c r="AE5" i="11" a="1"/>
  <c r="AE5" i="11" s="1"/>
  <c r="AP5" i="11" a="1"/>
  <c r="AP5" i="11" s="1"/>
  <c r="S5" i="11" a="1"/>
  <c r="S5" i="11" s="1"/>
  <c r="AB5" i="11" a="1"/>
  <c r="AB5" i="11" s="1"/>
  <c r="Q5" i="11" a="1"/>
  <c r="Q5" i="11" s="1"/>
  <c r="O5" i="11" a="1"/>
  <c r="O5" i="11" s="1"/>
  <c r="AI5" i="11" a="1"/>
  <c r="AI5" i="11" s="1"/>
  <c r="N3" i="11" a="1"/>
  <c r="N3" i="11" s="1"/>
  <c r="J3" i="11" a="1"/>
  <c r="J3" i="11" s="1"/>
  <c r="R3" i="11" a="1"/>
  <c r="R3" i="11" s="1"/>
  <c r="AO3" i="11" a="1"/>
  <c r="AO3" i="11" s="1"/>
  <c r="AG3" i="11" a="1"/>
  <c r="AG3" i="11" s="1"/>
  <c r="AC3" i="11" a="1"/>
  <c r="AC3" i="11" s="1"/>
  <c r="Y3" i="11" a="1"/>
  <c r="Y3" i="11" s="1"/>
  <c r="U3" i="11" a="1"/>
  <c r="U3" i="11" s="1"/>
  <c r="AN3" i="11" a="1"/>
  <c r="AN3" i="11" s="1"/>
  <c r="AJ3" i="11" a="1"/>
  <c r="AJ3" i="11" s="1"/>
  <c r="AF3" i="11" a="1"/>
  <c r="AF3" i="11" s="1"/>
  <c r="K3" i="11" a="1"/>
  <c r="K3" i="11" s="1"/>
  <c r="AB3" i="11" a="1"/>
  <c r="AB3" i="11" s="1"/>
  <c r="X3" i="11" a="1"/>
  <c r="X3" i="11" s="1"/>
  <c r="T3" i="11" a="1"/>
  <c r="T3" i="11" s="1"/>
  <c r="S3" i="11" a="1"/>
  <c r="S3" i="11" s="1"/>
  <c r="P3" i="11" a="1"/>
  <c r="P3" i="11" s="1"/>
  <c r="L3" i="11" a="1"/>
  <c r="L3" i="11" s="1"/>
  <c r="H3" i="11" a="1"/>
  <c r="H3" i="11" s="1"/>
  <c r="AM3" i="11" a="1"/>
  <c r="AM3" i="11" s="1"/>
  <c r="AI3" i="11" a="1"/>
  <c r="AI3" i="11" s="1"/>
  <c r="AQ3" i="11" a="1"/>
  <c r="AQ3" i="11" s="1"/>
  <c r="O3" i="11" a="1"/>
  <c r="O3" i="11" s="1"/>
  <c r="AA3" i="11" a="1"/>
  <c r="AA3" i="11" s="1"/>
  <c r="W3" i="11" a="1"/>
  <c r="W3" i="11" s="1"/>
  <c r="AE3" i="11" a="1"/>
  <c r="AE3" i="11" s="1"/>
  <c r="Z3" i="11" a="1"/>
  <c r="Z3" i="11" s="1"/>
  <c r="V3" i="11" a="1"/>
  <c r="V3" i="11" s="1"/>
  <c r="AD3" i="11" a="1"/>
  <c r="AD3" i="11" s="1"/>
  <c r="AK3" i="11" a="1"/>
  <c r="AK3" i="11" s="1"/>
  <c r="AP3" i="11" a="1"/>
  <c r="AP3" i="11" s="1"/>
  <c r="M3" i="11" a="1"/>
  <c r="M3" i="11" s="1"/>
  <c r="Q3" i="11" a="1"/>
  <c r="Q3" i="11" s="1"/>
  <c r="AL3" i="11" a="1"/>
  <c r="AL3" i="11" s="1"/>
  <c r="AH3" i="11" a="1"/>
  <c r="AH3" i="11" s="1"/>
  <c r="I3" i="11" a="1"/>
  <c r="I3" i="11" s="1"/>
  <c r="H7" i="11" a="1"/>
  <c r="H7" i="11" s="1"/>
  <c r="AK7" i="11" a="1"/>
  <c r="AK7" i="11" s="1"/>
  <c r="K7" i="11" a="1"/>
  <c r="K7" i="11" s="1"/>
  <c r="AQ7" i="11" a="1"/>
  <c r="AQ7" i="11" s="1"/>
  <c r="AN7" i="11" a="1"/>
  <c r="AN7" i="11" s="1"/>
  <c r="Y7" i="11" a="1"/>
  <c r="Y7" i="11" s="1"/>
  <c r="AF7" i="11" a="1"/>
  <c r="AF7" i="11" s="1"/>
  <c r="AC7" i="11" a="1"/>
  <c r="AC7" i="11" s="1"/>
  <c r="AJ7" i="11" a="1"/>
  <c r="AJ7" i="11" s="1"/>
  <c r="U7" i="11" a="1"/>
  <c r="U7" i="11" s="1"/>
  <c r="R7" i="11" a="1"/>
  <c r="R7" i="11" s="1"/>
  <c r="X7" i="11" a="1"/>
  <c r="X7" i="11" s="1"/>
  <c r="J7" i="11" a="1"/>
  <c r="J7" i="11" s="1"/>
  <c r="AM7" i="11" a="1"/>
  <c r="AM7" i="11" s="1"/>
  <c r="N7" i="11" a="1"/>
  <c r="N7" i="11" s="1"/>
  <c r="AO7" i="11" a="1"/>
  <c r="AO7" i="11" s="1"/>
  <c r="L7" i="11" a="1"/>
  <c r="L7" i="11" s="1"/>
  <c r="AP7" i="11" a="1"/>
  <c r="AP7" i="11" s="1"/>
  <c r="AB7" i="11" a="1"/>
  <c r="AB7" i="11" s="1"/>
  <c r="AI7" i="11" a="1"/>
  <c r="AI7" i="11" s="1"/>
  <c r="AE7" i="11" a="1"/>
  <c r="AE7" i="11" s="1"/>
  <c r="Q7" i="11" a="1"/>
  <c r="Q7" i="11" s="1"/>
  <c r="W7" i="11" a="1"/>
  <c r="W7" i="11" s="1"/>
  <c r="T7" i="11" a="1"/>
  <c r="T7" i="11" s="1"/>
  <c r="AA7" i="11" a="1"/>
  <c r="AA7" i="11" s="1"/>
  <c r="M7" i="11" a="1"/>
  <c r="M7" i="11" s="1"/>
  <c r="I7" i="11" a="1"/>
  <c r="I7" i="11" s="1"/>
  <c r="P7" i="11" a="1"/>
  <c r="P7" i="11" s="1"/>
  <c r="AH7" i="11" a="1"/>
  <c r="AH7" i="11" s="1"/>
  <c r="AL7" i="11" a="1"/>
  <c r="AL7" i="11" s="1"/>
  <c r="S7" i="11" a="1"/>
  <c r="S7" i="11" s="1"/>
  <c r="O7" i="11" a="1"/>
  <c r="O7" i="11" s="1"/>
  <c r="V7" i="11" a="1"/>
  <c r="V7" i="11" s="1"/>
  <c r="AD7" i="11" a="1"/>
  <c r="AD7" i="11" s="1"/>
  <c r="Z7" i="11" a="1"/>
  <c r="Z7" i="11" s="1"/>
  <c r="AG7" i="11" a="1"/>
  <c r="AG7" i="11" s="1"/>
  <c r="Q8" i="11" a="1"/>
  <c r="Q8" i="11" s="1"/>
  <c r="AN8" i="11" a="1"/>
  <c r="AN8" i="11" s="1"/>
  <c r="O8" i="11" a="1"/>
  <c r="O8" i="11" s="1"/>
  <c r="R8" i="11" a="1"/>
  <c r="R8" i="11" s="1"/>
  <c r="I8" i="11" a="1"/>
  <c r="I8" i="11" s="1"/>
  <c r="AI8" i="11" a="1"/>
  <c r="AI8" i="11" s="1"/>
  <c r="H8" i="11" a="1"/>
  <c r="H8" i="11" s="1"/>
  <c r="AD8" i="11" a="1"/>
  <c r="AD8" i="11" s="1"/>
  <c r="K8" i="11" a="1"/>
  <c r="K8" i="11" s="1"/>
  <c r="AH8" i="11" a="1"/>
  <c r="AH8" i="11" s="1"/>
  <c r="U8" i="11" a="1"/>
  <c r="U8" i="11" s="1"/>
  <c r="AK8" i="11" a="1"/>
  <c r="AK8" i="11" s="1"/>
  <c r="AO8" i="11" a="1"/>
  <c r="AO8" i="11" s="1"/>
  <c r="P8" i="11" a="1"/>
  <c r="P8" i="11" s="1"/>
  <c r="M8" i="11" a="1"/>
  <c r="M8" i="11" s="1"/>
  <c r="AF8" i="11" a="1"/>
  <c r="AF8" i="11" s="1"/>
  <c r="AQ8" i="11" a="1"/>
  <c r="AQ8" i="11" s="1"/>
  <c r="AM8" i="11" a="1"/>
  <c r="AM8" i="11" s="1"/>
  <c r="AA8" i="11" a="1"/>
  <c r="AA8" i="11" s="1"/>
  <c r="AB8" i="11" a="1"/>
  <c r="AB8" i="11" s="1"/>
  <c r="AG8" i="11" a="1"/>
  <c r="AG8" i="11" s="1"/>
  <c r="AC8" i="11" a="1"/>
  <c r="AC8" i="11" s="1"/>
  <c r="W8" i="11" a="1"/>
  <c r="W8" i="11" s="1"/>
  <c r="L8" i="11" a="1"/>
  <c r="L8" i="11" s="1"/>
  <c r="Z8" i="11" a="1"/>
  <c r="Z8" i="11" s="1"/>
  <c r="X8" i="11" a="1"/>
  <c r="X8" i="11" s="1"/>
  <c r="T8" i="11" a="1"/>
  <c r="T8" i="11" s="1"/>
  <c r="S8" i="11" a="1"/>
  <c r="S8" i="11" s="1"/>
  <c r="N8" i="11" a="1"/>
  <c r="N8" i="11" s="1"/>
  <c r="AE8" i="11" a="1"/>
  <c r="AE8" i="11" s="1"/>
  <c r="AJ8" i="11" a="1"/>
  <c r="AJ8" i="11" s="1"/>
  <c r="AP8" i="11" a="1"/>
  <c r="AP8" i="11" s="1"/>
  <c r="AL8" i="11" a="1"/>
  <c r="AL8" i="11" s="1"/>
  <c r="Y8" i="11" a="1"/>
  <c r="Y8" i="11" s="1"/>
  <c r="V8" i="11" a="1"/>
  <c r="V8" i="11" s="1"/>
  <c r="J8" i="11" a="1"/>
  <c r="J8" i="11" s="1"/>
  <c r="AP6" i="11" a="1"/>
  <c r="AP6" i="11" s="1"/>
  <c r="AB6" i="11" a="1"/>
  <c r="AB6" i="11" s="1"/>
  <c r="M6" i="11" a="1"/>
  <c r="M6" i="11" s="1"/>
  <c r="AE6" i="11" a="1"/>
  <c r="AE6" i="11" s="1"/>
  <c r="L6" i="11" a="1"/>
  <c r="L6" i="11" s="1"/>
  <c r="T6" i="11" a="1"/>
  <c r="T6" i="11" s="1"/>
  <c r="AL6" i="11" a="1"/>
  <c r="AL6" i="11" s="1"/>
  <c r="W6" i="11" a="1"/>
  <c r="W6" i="11" s="1"/>
  <c r="AO6" i="11" a="1"/>
  <c r="AO6" i="11" s="1"/>
  <c r="P6" i="11" a="1"/>
  <c r="P6" i="11" s="1"/>
  <c r="K6" i="11" a="1"/>
  <c r="K6" i="11" s="1"/>
  <c r="AD6" i="11" a="1"/>
  <c r="AD6" i="11" s="1"/>
  <c r="AK6" i="11" a="1"/>
  <c r="AK6" i="11" s="1"/>
  <c r="AG6" i="11" a="1"/>
  <c r="AG6" i="11" s="1"/>
  <c r="S6" i="11" a="1"/>
  <c r="S6" i="11" s="1"/>
  <c r="O6" i="11" a="1"/>
  <c r="O6" i="11" s="1"/>
  <c r="V6" i="11" a="1"/>
  <c r="V6" i="11" s="1"/>
  <c r="H6" i="11" a="1"/>
  <c r="H6" i="11" s="1"/>
  <c r="AJ6" i="11" a="1"/>
  <c r="AJ6" i="11" s="1"/>
  <c r="AQ6" i="11" a="1"/>
  <c r="AQ6" i="11" s="1"/>
  <c r="AN6" i="11" a="1"/>
  <c r="AN6" i="11" s="1"/>
  <c r="Z6" i="11" a="1"/>
  <c r="Z6" i="11" s="1"/>
  <c r="J6" i="11" a="1"/>
  <c r="J6" i="11" s="1"/>
  <c r="AM6" i="11" a="1"/>
  <c r="AM6" i="11" s="1"/>
  <c r="Y6" i="11" a="1"/>
  <c r="Y6" i="11" s="1"/>
  <c r="X6" i="11" a="1"/>
  <c r="X6" i="11" s="1"/>
  <c r="Q6" i="11" a="1"/>
  <c r="Q6" i="11" s="1"/>
  <c r="R6" i="11" a="1"/>
  <c r="R6" i="11" s="1"/>
  <c r="U6" i="11" a="1"/>
  <c r="U6" i="11" s="1"/>
  <c r="AA6" i="11" a="1"/>
  <c r="AA6" i="11" s="1"/>
  <c r="N6" i="11" a="1"/>
  <c r="N6" i="11" s="1"/>
  <c r="AI6" i="11" a="1"/>
  <c r="AI6" i="11" s="1"/>
  <c r="I6" i="11" a="1"/>
  <c r="I6" i="11" s="1"/>
  <c r="AF6" i="11" a="1"/>
  <c r="AF6" i="11" s="1"/>
  <c r="AH6" i="11" a="1"/>
  <c r="AH6" i="11" s="1"/>
  <c r="AC6" i="11" a="1"/>
  <c r="AC6" i="11" s="1"/>
  <c r="Y10" i="11" a="1"/>
  <c r="Y10" i="11" s="1"/>
  <c r="AE10" i="11" a="1"/>
  <c r="AE10" i="11" s="1"/>
  <c r="K10" i="11" a="1"/>
  <c r="K10" i="11" s="1"/>
  <c r="Q10" i="11" a="1"/>
  <c r="Q10" i="11" s="1"/>
  <c r="V10" i="11" a="1"/>
  <c r="V10" i="11" s="1"/>
  <c r="AL10" i="11" a="1"/>
  <c r="AL10" i="11" s="1"/>
  <c r="AJ10" i="11" a="1"/>
  <c r="AJ10" i="11" s="1"/>
  <c r="H10" i="11" a="1"/>
  <c r="H10" i="11" s="1"/>
  <c r="AN10" i="11" a="1"/>
  <c r="AN10" i="11" s="1"/>
  <c r="AG10" i="11" a="1"/>
  <c r="AG10" i="11" s="1"/>
  <c r="T10" i="11" a="1"/>
  <c r="T10" i="11" s="1"/>
  <c r="AP10" i="11" a="1"/>
  <c r="AP10" i="11" s="1"/>
  <c r="AA10" i="11" a="1"/>
  <c r="AA10" i="11" s="1"/>
  <c r="AH10" i="11" a="1"/>
  <c r="AH10" i="11" s="1"/>
  <c r="AD10" i="11" a="1"/>
  <c r="AD10" i="11" s="1"/>
  <c r="AB10" i="11" a="1"/>
  <c r="AB10" i="11" s="1"/>
  <c r="AK10" i="11" a="1"/>
  <c r="AK10" i="11" s="1"/>
  <c r="I10" i="11" a="1"/>
  <c r="I10" i="11" s="1"/>
  <c r="P10" i="11" a="1"/>
  <c r="P10" i="11" s="1"/>
  <c r="U10" i="11" a="1"/>
  <c r="U10" i="11" s="1"/>
  <c r="X10" i="11" a="1"/>
  <c r="X10" i="11" s="1"/>
  <c r="AQ10" i="11" a="1"/>
  <c r="AQ10" i="11" s="1"/>
  <c r="M10" i="11" a="1"/>
  <c r="M10" i="11" s="1"/>
  <c r="L10" i="11" a="1"/>
  <c r="L10" i="11" s="1"/>
  <c r="R10" i="11" a="1"/>
  <c r="R10" i="11" s="1"/>
  <c r="Z10" i="11" a="1"/>
  <c r="Z10" i="11" s="1"/>
  <c r="AF10" i="11" a="1"/>
  <c r="AF10" i="11" s="1"/>
  <c r="AM10" i="11" a="1"/>
  <c r="AM10" i="11" s="1"/>
  <c r="N10" i="11" a="1"/>
  <c r="N10" i="11" s="1"/>
  <c r="J10" i="11" a="1"/>
  <c r="J10" i="11" s="1"/>
  <c r="W10" i="11" a="1"/>
  <c r="W10" i="11" s="1"/>
  <c r="AC10" i="11" a="1"/>
  <c r="AC10" i="11" s="1"/>
  <c r="O10" i="11" a="1"/>
  <c r="O10" i="11" s="1"/>
  <c r="AI10" i="11" a="1"/>
  <c r="AI10" i="11" s="1"/>
  <c r="AO10" i="11" a="1"/>
  <c r="AO10" i="11" s="1"/>
  <c r="S10" i="11" a="1"/>
  <c r="S10" i="11" s="1"/>
  <c r="S12" i="11" a="1"/>
  <c r="S12" i="11" s="1"/>
  <c r="R12" i="11" a="1"/>
  <c r="R12" i="11" s="1"/>
  <c r="AH12" i="11" a="1"/>
  <c r="AH12" i="11" s="1"/>
  <c r="AP12" i="11" a="1"/>
  <c r="AP12" i="11" s="1"/>
  <c r="AG12" i="11" a="1"/>
  <c r="AG12" i="11" s="1"/>
  <c r="Q12" i="11" a="1"/>
  <c r="Q12" i="11" s="1"/>
  <c r="AK12" i="11" a="1"/>
  <c r="AK12" i="11" s="1"/>
  <c r="U12" i="11" a="1"/>
  <c r="U12" i="11" s="1"/>
  <c r="I12" i="11" a="1"/>
  <c r="I12" i="11" s="1"/>
  <c r="T12" i="11" a="1"/>
  <c r="T12" i="11" s="1"/>
  <c r="AO12" i="11" a="1"/>
  <c r="AO12" i="11" s="1"/>
  <c r="V12" i="11" a="1"/>
  <c r="V12" i="11" s="1"/>
  <c r="AN12" i="11" a="1"/>
  <c r="AN12" i="11" s="1"/>
  <c r="AI12" i="11" a="1"/>
  <c r="AI12" i="11" s="1"/>
  <c r="L12" i="11" a="1"/>
  <c r="L12" i="11" s="1"/>
  <c r="H12" i="11" a="1"/>
  <c r="H12" i="11" s="1"/>
  <c r="J12" i="11" a="1"/>
  <c r="J12" i="11" s="1"/>
  <c r="AF12" i="11" a="1"/>
  <c r="AF12" i="11" s="1"/>
  <c r="Z12" i="11" a="1"/>
  <c r="Z12" i="11" s="1"/>
  <c r="W12" i="11" a="1"/>
  <c r="W12" i="11" s="1"/>
  <c r="O12" i="11" a="1"/>
  <c r="O12" i="11" s="1"/>
  <c r="AQ12" i="11" a="1"/>
  <c r="AQ12" i="11" s="1"/>
  <c r="P12" i="11" a="1"/>
  <c r="P12" i="11" s="1"/>
  <c r="AE12" i="11" a="1"/>
  <c r="AE12" i="11" s="1"/>
  <c r="AC12" i="11" a="1"/>
  <c r="AC12" i="11" s="1"/>
  <c r="M12" i="11" a="1"/>
  <c r="M12" i="11" s="1"/>
  <c r="AJ12" i="11" a="1"/>
  <c r="AJ12" i="11" s="1"/>
  <c r="Y12" i="11" a="1"/>
  <c r="Y12" i="11" s="1"/>
  <c r="K12" i="11" a="1"/>
  <c r="K12" i="11" s="1"/>
  <c r="AA12" i="11" a="1"/>
  <c r="AA12" i="11" s="1"/>
  <c r="AL12" i="11" a="1"/>
  <c r="AL12" i="11" s="1"/>
  <c r="X12" i="11" a="1"/>
  <c r="X12" i="11" s="1"/>
  <c r="AB12" i="11" a="1"/>
  <c r="AB12" i="11" s="1"/>
  <c r="AD12" i="11" a="1"/>
  <c r="AD12" i="11" s="1"/>
  <c r="AM12" i="11" a="1"/>
  <c r="AM12" i="11" s="1"/>
  <c r="N12" i="11" a="1"/>
  <c r="N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KilHo Choi</author>
  </authors>
  <commentList>
    <comment ref="C1" authorId="0" shapeId="0" xr:uid="{44A1376E-4231-4641-85E9-EE0092617F4F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Recta: straight
Spiral: straight to curve
Spiral2: curve to spiral</t>
        </r>
      </text>
    </comment>
    <comment ref="F1" authorId="0" shapeId="0" xr:uid="{15C01749-97D3-4080-9967-16277063C715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+1: clockwise 
-1: counter-clockwise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KilHo Choi</author>
  </authors>
  <commentList>
    <comment ref="Q1" authorId="0" shapeId="0" xr:uid="{75840DE6-E11B-4902-A8A6-39BF8B4FCA3F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오른쪽 교각까지의 거리</t>
        </r>
      </text>
    </comment>
    <comment ref="R1" authorId="0" shapeId="0" xr:uid="{683F0907-5D35-4BF2-9B13-BED4B32301D1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왼쪽 교각까지의 거리</t>
        </r>
      </text>
    </comment>
    <comment ref="S1" authorId="0" shapeId="0" xr:uid="{F2C539C7-83F5-49B0-A06B-6DC3E9D2B713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축방향과 문형교각 코핑이 이루는 각도 
ve+:반시계방향
직교할경우:90도</t>
        </r>
      </text>
    </comment>
    <comment ref="T1" authorId="0" shapeId="0" xr:uid="{8E2B7DF5-D69B-4C0A-A9A8-0487A0DBE6BE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오른쪽 trackbeam 중심선까지의 거리</t>
        </r>
      </text>
    </comment>
    <comment ref="U1" authorId="0" shapeId="0" xr:uid="{D3D531C1-0EF5-4630-A7B8-1B3425EBCEB8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D형교각(문형교각) 관련 input
trackbeam 중심선에서 진행방향 기준 왼쪽 trackbeam 중심선까지의 거리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KilHo Choi</author>
  </authors>
  <commentList>
    <comment ref="J1" authorId="0" shapeId="0" xr:uid="{D8EBC8AE-DA74-4220-9A76-F8BFE147181C}">
      <text>
        <r>
          <rPr>
            <b/>
            <sz val="9"/>
            <color indexed="81"/>
            <rFont val="Tahoma"/>
            <family val="2"/>
          </rPr>
          <t>KilHo Choi:</t>
        </r>
        <r>
          <rPr>
            <sz val="9"/>
            <color indexed="81"/>
            <rFont val="Tahoma"/>
            <family val="2"/>
          </rPr>
          <t xml:space="preserve">
BD: Bridge to design
BB: Boundary bridge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<sst xmlns="http://schemas.openxmlformats.org/spreadsheetml/2006/main" count="694" uniqueCount="203">
  <si>
    <t>Pier ID</t>
  </si>
  <si>
    <t>Station PK</t>
  </si>
  <si>
    <t>Pile tip EL [m]</t>
  </si>
  <si>
    <t>Pile top EL [m]</t>
  </si>
  <si>
    <t>Piercap bottom EL [m]</t>
  </si>
  <si>
    <t>Piercap top EL [m]</t>
  </si>
  <si>
    <t>Pier column Height H [m]</t>
  </si>
  <si>
    <t>No</t>
  </si>
  <si>
    <t>section</t>
  </si>
  <si>
    <t>Material</t>
  </si>
  <si>
    <t>C50</t>
  </si>
  <si>
    <t>C40</t>
  </si>
  <si>
    <t>C30</t>
  </si>
  <si>
    <t>Tendon</t>
  </si>
  <si>
    <t>Trackbeam_Solid</t>
  </si>
  <si>
    <t>Trackbeam_Hollow</t>
  </si>
  <si>
    <t>Trackbeam_Tapered_1</t>
  </si>
  <si>
    <t>Trackbeam_Tapered_2</t>
  </si>
  <si>
    <t>Trackbeam_Tapered_3</t>
  </si>
  <si>
    <t>Trackbeam_Tapered_4</t>
  </si>
  <si>
    <t>FIN</t>
  </si>
  <si>
    <t>CB</t>
  </si>
  <si>
    <t>Pier(D1.8)</t>
  </si>
  <si>
    <t>Pier(D2.3)</t>
  </si>
  <si>
    <t>Pier(D2.0)</t>
  </si>
  <si>
    <t>Pier cap_1.5x2.5</t>
  </si>
  <si>
    <t>Pier cap_1_A1</t>
  </si>
  <si>
    <t>Pier cap_2_A1</t>
  </si>
  <si>
    <t>Pier 2.0x2.0</t>
  </si>
  <si>
    <t>Pier cap_2.0x2.5</t>
  </si>
  <si>
    <t>Pier cap_1_C1</t>
  </si>
  <si>
    <t>Pier cap_2_C1</t>
  </si>
  <si>
    <t>Pile(D1.2)</t>
  </si>
  <si>
    <t>Pile(D2.5)</t>
  </si>
  <si>
    <t>Mat_pier</t>
  </si>
  <si>
    <t>Mat_pile</t>
  </si>
  <si>
    <t>Sec_pier</t>
  </si>
  <si>
    <t>Sec_pile</t>
  </si>
  <si>
    <t>Type1</t>
  </si>
  <si>
    <t>L/M</t>
  </si>
  <si>
    <t>L</t>
  </si>
  <si>
    <t>M</t>
  </si>
  <si>
    <t>Seg id</t>
  </si>
  <si>
    <t>Pier start</t>
  </si>
  <si>
    <t>Pier end</t>
  </si>
  <si>
    <t>Type</t>
  </si>
  <si>
    <t>Length</t>
  </si>
  <si>
    <t>pier type start</t>
  </si>
  <si>
    <t>pier type end</t>
  </si>
  <si>
    <t>track beam top</t>
  </si>
  <si>
    <t>type</t>
  </si>
  <si>
    <t>Lc/Ls</t>
  </si>
  <si>
    <t>R</t>
  </si>
  <si>
    <t>S</t>
  </si>
  <si>
    <t>ID</t>
  </si>
  <si>
    <t>Spiral</t>
  </si>
  <si>
    <t>Curve</t>
  </si>
  <si>
    <t>direction</t>
  </si>
  <si>
    <t>Spiral2</t>
  </si>
  <si>
    <t>Mat</t>
  </si>
  <si>
    <t>Pile_length</t>
  </si>
  <si>
    <t>kh</t>
  </si>
  <si>
    <t>Depth</t>
  </si>
  <si>
    <t>GL2</t>
  </si>
  <si>
    <t>GL1</t>
  </si>
  <si>
    <t>Pile_dia</t>
  </si>
  <si>
    <t>교량명</t>
    <phoneticPr fontId="1" type="noConversion"/>
  </si>
  <si>
    <t>Pier No.</t>
    <phoneticPr fontId="1" type="noConversion"/>
  </si>
  <si>
    <t>말뚝제원</t>
    <phoneticPr fontId="1" type="noConversion"/>
  </si>
  <si>
    <t>시추 주상도 분석</t>
    <phoneticPr fontId="1" type="noConversion"/>
  </si>
  <si>
    <t>지반조건</t>
    <phoneticPr fontId="1" type="noConversion"/>
  </si>
  <si>
    <t>말뚝
직경
(m)</t>
    <phoneticPr fontId="1" type="noConversion"/>
  </si>
  <si>
    <t>Depth(m)</t>
    <phoneticPr fontId="1" type="noConversion"/>
  </si>
  <si>
    <t>층후
(m)</t>
    <phoneticPr fontId="1" type="noConversion"/>
  </si>
  <si>
    <t>흙 분류</t>
    <phoneticPr fontId="1" type="noConversion"/>
  </si>
  <si>
    <t>Poisson's
Ratio</t>
    <phoneticPr fontId="1" type="noConversion"/>
  </si>
  <si>
    <t>EL. (m)</t>
    <phoneticPr fontId="1" type="noConversion"/>
  </si>
  <si>
    <t>GL(-). (m)</t>
    <phoneticPr fontId="1" type="noConversion"/>
  </si>
  <si>
    <r>
      <t>수평지반반력계수
(k</t>
    </r>
    <r>
      <rPr>
        <b/>
        <vertAlign val="subscript"/>
        <sz val="10"/>
        <color theme="1"/>
        <rFont val="Verdana"/>
        <family val="3"/>
        <charset val="129"/>
        <scheme val="minor"/>
      </rPr>
      <t>h</t>
    </r>
    <r>
      <rPr>
        <b/>
        <sz val="10"/>
        <color theme="1"/>
        <rFont val="Verdana"/>
        <family val="3"/>
        <charset val="129"/>
        <scheme val="minor"/>
      </rPr>
      <t xml:space="preserve"> , kN/m</t>
    </r>
    <r>
      <rPr>
        <b/>
        <vertAlign val="superscript"/>
        <sz val="10"/>
        <color theme="1"/>
        <rFont val="Verdana"/>
        <family val="3"/>
        <charset val="129"/>
        <scheme val="minor"/>
      </rPr>
      <t>3</t>
    </r>
    <r>
      <rPr>
        <b/>
        <sz val="10"/>
        <color theme="1"/>
        <rFont val="Verdana"/>
        <family val="3"/>
        <charset val="129"/>
        <scheme val="minor"/>
      </rPr>
      <t>)</t>
    </r>
  </si>
  <si>
    <r>
      <t>말뚝의
탄성계수
(E</t>
    </r>
    <r>
      <rPr>
        <vertAlign val="subscript"/>
        <sz val="10"/>
        <color theme="1"/>
        <rFont val="Verdana"/>
        <family val="3"/>
        <charset val="129"/>
        <scheme val="minor"/>
      </rPr>
      <t>P</t>
    </r>
    <r>
      <rPr>
        <sz val="10"/>
        <color theme="1"/>
        <rFont val="Verdana"/>
        <family val="2"/>
      </rPr>
      <t>, kN/m</t>
    </r>
    <r>
      <rPr>
        <vertAlign val="superscript"/>
        <sz val="10"/>
        <color theme="1"/>
        <rFont val="Verdana"/>
        <family val="3"/>
        <charset val="129"/>
        <scheme val="minor"/>
      </rPr>
      <t>2</t>
    </r>
    <r>
      <rPr>
        <sz val="10"/>
        <color theme="1"/>
        <rFont val="Verdana"/>
        <family val="2"/>
      </rPr>
      <t>)</t>
    </r>
  </si>
  <si>
    <r>
      <t>단면2차
모멘트
(I</t>
    </r>
    <r>
      <rPr>
        <vertAlign val="subscript"/>
        <sz val="10"/>
        <color theme="1"/>
        <rFont val="Verdana"/>
        <family val="3"/>
        <charset val="129"/>
        <scheme val="minor"/>
      </rPr>
      <t>P</t>
    </r>
    <r>
      <rPr>
        <sz val="10"/>
        <color theme="1"/>
        <rFont val="Verdana"/>
        <family val="2"/>
      </rPr>
      <t>, m</t>
    </r>
    <r>
      <rPr>
        <vertAlign val="superscript"/>
        <sz val="10"/>
        <color theme="1"/>
        <rFont val="Verdana"/>
        <family val="3"/>
        <charset val="129"/>
        <scheme val="minor"/>
      </rPr>
      <t>4</t>
    </r>
    <r>
      <rPr>
        <sz val="10"/>
        <color theme="1"/>
        <rFont val="Verdana"/>
        <family val="2"/>
      </rPr>
      <t>)</t>
    </r>
  </si>
  <si>
    <r>
      <t>탄성계수
(E</t>
    </r>
    <r>
      <rPr>
        <vertAlign val="subscript"/>
        <sz val="10"/>
        <color theme="1"/>
        <rFont val="맑은 고딕"/>
        <family val="3"/>
        <charset val="129"/>
      </rPr>
      <t>S</t>
    </r>
    <r>
      <rPr>
        <sz val="10"/>
        <color theme="1"/>
        <rFont val="맑은 고딕"/>
        <family val="3"/>
        <charset val="129"/>
      </rPr>
      <t xml:space="preserve"> , kN/m</t>
    </r>
    <r>
      <rPr>
        <vertAlign val="superscript"/>
        <sz val="10"/>
        <color theme="1"/>
        <rFont val="맑은 고딕"/>
        <family val="3"/>
        <charset val="129"/>
      </rPr>
      <t>2</t>
    </r>
    <r>
      <rPr>
        <sz val="10"/>
        <color theme="1"/>
        <rFont val="맑은 고딕"/>
        <family val="3"/>
        <charset val="129"/>
      </rPr>
      <t>)</t>
    </r>
  </si>
  <si>
    <t>tendon_prop_A</t>
  </si>
  <si>
    <t>1st_15.2mm_16EA</t>
  </si>
  <si>
    <t>2nd_15.2mm_14EA</t>
  </si>
  <si>
    <t>3rd_15.2mm_14EA</t>
  </si>
  <si>
    <t>ez1</t>
  </si>
  <si>
    <t>ez2</t>
  </si>
  <si>
    <t>ez3</t>
  </si>
  <si>
    <t>ez4</t>
  </si>
  <si>
    <t>ez5</t>
  </si>
  <si>
    <t>ez6</t>
  </si>
  <si>
    <t>ez7</t>
  </si>
  <si>
    <t>ez8</t>
  </si>
  <si>
    <t>ez9</t>
  </si>
  <si>
    <t>ez10</t>
  </si>
  <si>
    <t>ey1</t>
  </si>
  <si>
    <t>ey2</t>
  </si>
  <si>
    <t>ey3</t>
  </si>
  <si>
    <t>ey4</t>
  </si>
  <si>
    <t>dLez1</t>
  </si>
  <si>
    <t>dLez2</t>
  </si>
  <si>
    <t>dLez3</t>
  </si>
  <si>
    <t>dLez4</t>
  </si>
  <si>
    <t>dLez5</t>
  </si>
  <si>
    <t>dLez6</t>
  </si>
  <si>
    <t>dLez7</t>
  </si>
  <si>
    <t>dLez8</t>
  </si>
  <si>
    <t>dLez9</t>
  </si>
  <si>
    <t>dLez10</t>
  </si>
  <si>
    <t>Ptyp_s</t>
  </si>
  <si>
    <t>Ptyp_e</t>
  </si>
  <si>
    <t>ey5</t>
  </si>
  <si>
    <t>ey6</t>
  </si>
  <si>
    <t>ey7</t>
  </si>
  <si>
    <t>ey8</t>
  </si>
  <si>
    <t>ey9</t>
  </si>
  <si>
    <t>ey10</t>
  </si>
  <si>
    <t>dLez11</t>
  </si>
  <si>
    <t>dLez12</t>
  </si>
  <si>
    <t>ey11</t>
  </si>
  <si>
    <t>ey12</t>
  </si>
  <si>
    <t>ez11</t>
  </si>
  <si>
    <t>ez12</t>
  </si>
  <si>
    <t>PT id</t>
  </si>
  <si>
    <t>seg id</t>
  </si>
  <si>
    <t>PT type</t>
  </si>
  <si>
    <t>PS</t>
  </si>
  <si>
    <t>PS1</t>
  </si>
  <si>
    <t>PS2</t>
  </si>
  <si>
    <t>PS3</t>
  </si>
  <si>
    <t>Tendon A profile</t>
  </si>
  <si>
    <t>Tendon B profile</t>
  </si>
  <si>
    <t>Tendon C profile</t>
  </si>
  <si>
    <t>Module id</t>
  </si>
  <si>
    <t>Pile id</t>
  </si>
  <si>
    <t>BD/ BB</t>
  </si>
  <si>
    <t>BD</t>
  </si>
  <si>
    <t>pier_Dia</t>
  </si>
  <si>
    <t>CE_id</t>
  </si>
  <si>
    <t>D_R</t>
  </si>
  <si>
    <t>D_L</t>
  </si>
  <si>
    <t>D_RelAng</t>
  </si>
  <si>
    <t>D_R2</t>
  </si>
  <si>
    <t>D_L2</t>
  </si>
  <si>
    <t>Pier(D1.5)</t>
  </si>
  <si>
    <t>Pile(D2.0)</t>
  </si>
  <si>
    <t>Pier cap_1.7x2.5</t>
  </si>
  <si>
    <t>Pier cap_2_C1_2</t>
  </si>
  <si>
    <t>Pier cap_1_C1_2</t>
  </si>
  <si>
    <t>(x)sup type</t>
  </si>
  <si>
    <t>~</t>
  </si>
  <si>
    <t>Qs2</t>
  </si>
  <si>
    <t>A</t>
  </si>
  <si>
    <t>L11</t>
  </si>
  <si>
    <t>L12</t>
  </si>
  <si>
    <t>ST1</t>
  </si>
  <si>
    <t>CS1</t>
  </si>
  <si>
    <t>SC1</t>
  </si>
  <si>
    <t>TS1</t>
  </si>
  <si>
    <t>D1</t>
  </si>
  <si>
    <t>Vd</t>
  </si>
  <si>
    <t>Pile</t>
  </si>
  <si>
    <t>TbB-w</t>
  </si>
  <si>
    <t>TbB-s</t>
  </si>
  <si>
    <t>SD-6+412</t>
  </si>
  <si>
    <t>V03-P73</t>
  </si>
  <si>
    <t>SD-6+440</t>
  </si>
  <si>
    <t>V03-P74</t>
  </si>
  <si>
    <t>SD-6+487</t>
  </si>
  <si>
    <t>V03-P75</t>
  </si>
  <si>
    <t>SD-6+500-2</t>
  </si>
  <si>
    <t>V03-P76</t>
  </si>
  <si>
    <t>SD-6+543</t>
  </si>
  <si>
    <t>V03-P77</t>
  </si>
  <si>
    <t>SD-6+568</t>
  </si>
  <si>
    <t>V03-P78</t>
  </si>
  <si>
    <t>SD-6+590</t>
  </si>
  <si>
    <t>V03-P79</t>
  </si>
  <si>
    <t>SD-6+609</t>
  </si>
  <si>
    <t>V03-P80</t>
  </si>
  <si>
    <t>SD-6+617</t>
  </si>
  <si>
    <t>V03-P81</t>
  </si>
  <si>
    <t>L22</t>
  </si>
  <si>
    <t>station</t>
  </si>
  <si>
    <t>L21</t>
  </si>
  <si>
    <t>dx</t>
  </si>
  <si>
    <t>dy</t>
  </si>
  <si>
    <t>dL</t>
  </si>
  <si>
    <t>-&gt;</t>
  </si>
  <si>
    <t>Recta</t>
  </si>
  <si>
    <t>TS2</t>
  </si>
  <si>
    <t>SC2</t>
  </si>
  <si>
    <t>CS2</t>
  </si>
  <si>
    <t>ST2</t>
  </si>
  <si>
    <t>TS3</t>
  </si>
  <si>
    <t>SC3</t>
  </si>
  <si>
    <t>CS3</t>
  </si>
  <si>
    <t>ST3</t>
  </si>
  <si>
    <t>TS4</t>
  </si>
  <si>
    <t>SC4</t>
  </si>
  <si>
    <t>CS4</t>
  </si>
  <si>
    <t>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</si>
</sst>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\+000.000"/>
    <numFmt numFmtId="165" formatCode="0.000"/>
    <numFmt numFmtId="166" formatCode="0.0"/>
    <numFmt numFmtId="167" formatCode="0.0000"/>
  </numFmts>
  <fonts count="21">
    <font>
      <sz val="9"/>
      <color theme="1"/>
      <name val="Verdana"/>
      <family val="2"/>
    </font>
    <font>
      <sz val="8"/>
      <name val="Verdana"/>
      <family val="2"/>
    </font>
    <font>
      <b/>
      <sz val="9"/>
      <color theme="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Verdana"/>
      <family val="2"/>
      <charset val="129"/>
      <scheme val="minor"/>
    </font>
    <font>
      <sz val="10"/>
      <color theme="1"/>
      <name val="Verdana"/>
      <family val="2"/>
      <charset val="129"/>
      <scheme val="minor"/>
    </font>
    <font>
      <b/>
      <sz val="10"/>
      <color theme="1"/>
      <name val="Verdana"/>
      <family val="3"/>
      <charset val="129"/>
      <scheme val="minor"/>
    </font>
    <font>
      <b/>
      <vertAlign val="subscript"/>
      <sz val="10"/>
      <color theme="1"/>
      <name val="Verdana"/>
      <family val="3"/>
      <charset val="129"/>
      <scheme val="minor"/>
    </font>
    <font>
      <b/>
      <vertAlign val="superscript"/>
      <sz val="10"/>
      <color theme="1"/>
      <name val="Verdana"/>
      <family val="3"/>
      <charset val="129"/>
      <scheme val="minor"/>
    </font>
    <font>
      <vertAlign val="subscript"/>
      <sz val="10"/>
      <color theme="1"/>
      <name val="Verdana"/>
      <family val="3"/>
      <charset val="129"/>
      <scheme val="minor"/>
    </font>
    <font>
      <sz val="10"/>
      <color theme="1"/>
      <name val="Verdana"/>
      <family val="2"/>
    </font>
    <font>
      <vertAlign val="superscript"/>
      <sz val="10"/>
      <color theme="1"/>
      <name val="Verdana"/>
      <family val="3"/>
      <charset val="129"/>
      <scheme val="minor"/>
    </font>
    <font>
      <sz val="10"/>
      <color theme="1"/>
      <name val="맑은 고딕"/>
      <family val="3"/>
      <charset val="129"/>
    </font>
    <font>
      <vertAlign val="subscript"/>
      <sz val="10"/>
      <color theme="1"/>
      <name val="맑은 고딕"/>
      <family val="3"/>
      <charset val="129"/>
    </font>
    <font>
      <vertAlign val="superscript"/>
      <sz val="10"/>
      <color theme="1"/>
      <name val="맑은 고딕"/>
      <family val="3"/>
      <charset val="129"/>
    </font>
    <font>
      <sz val="10"/>
      <color theme="1"/>
      <name val="Verdana"/>
      <family val="3"/>
      <charset val="129"/>
      <scheme val="minor"/>
    </font>
    <font>
      <sz val="9"/>
      <name val="Verdana"/>
      <family val="2"/>
    </font>
    <font>
      <sz val="9"/>
      <color theme="0"/>
      <name val="Verdana"/>
      <family val="2"/>
    </font>
    <font>
      <sz val="9"/>
      <color rgb="FFFF0000"/>
      <name val="Verdana"/>
      <family val="2"/>
    </font>
    <font>
      <b/>
      <sz val="11"/>
      <color theme="1"/>
      <name val="Verdana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6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0" fillId="0" borderId="1" xfId="0" applyFont="1" applyBorder="1"/>
    <xf numFmtId="165" fontId="0" fillId="0" borderId="0" xfId="0" applyNumberFormat="1"/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  <xf numFmtId="0" fontId="6" fillId="6" borderId="2" xfId="1" applyFont="1" applyFill="1" applyBorder="1" applyAlignment="1">
      <alignment horizontal="center" vertical="center"/>
    </xf>
    <xf numFmtId="0" fontId="0" fillId="0" borderId="0" xfId="0" applyFont="1"/>
    <xf numFmtId="0" fontId="2" fillId="2" borderId="0" xfId="0" applyFont="1" applyFill="1"/>
    <xf numFmtId="0" fontId="2" fillId="2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165" fontId="0" fillId="0" borderId="0" xfId="0" applyNumberFormat="1" applyFont="1" applyFill="1" applyBorder="1"/>
    <xf numFmtId="0" fontId="17" fillId="0" borderId="0" xfId="0" applyFont="1" applyFill="1" applyBorder="1"/>
    <xf numFmtId="165" fontId="17" fillId="0" borderId="0" xfId="0" applyNumberFormat="1" applyFont="1" applyFill="1" applyBorder="1"/>
    <xf numFmtId="165" fontId="17" fillId="0" borderId="0" xfId="0" applyNumberFormat="1" applyFont="1" applyFill="1"/>
    <xf numFmtId="0" fontId="18" fillId="0" borderId="0" xfId="0" applyFont="1" applyFill="1" applyBorder="1"/>
    <xf numFmtId="0" fontId="0" fillId="0" borderId="0" xfId="0" applyNumberFormat="1" applyFont="1"/>
    <xf numFmtId="0" fontId="0" fillId="0" borderId="0" xfId="0" applyNumberFormat="1" applyFont="1" applyFill="1" applyBorder="1"/>
    <xf numFmtId="0" fontId="17" fillId="0" borderId="0" xfId="0" applyFont="1"/>
    <xf numFmtId="165" fontId="17" fillId="0" borderId="0" xfId="0" applyNumberFormat="1" applyFont="1"/>
    <xf numFmtId="165" fontId="19" fillId="0" borderId="0" xfId="0" applyNumberFormat="1" applyFont="1"/>
    <xf numFmtId="0" fontId="0" fillId="3" borderId="1" xfId="0" applyFill="1" applyBorder="1"/>
    <xf numFmtId="164" fontId="0" fillId="3" borderId="1" xfId="0" applyNumberFormat="1" applyFill="1" applyBorder="1"/>
    <xf numFmtId="14" fontId="6" fillId="0" borderId="0" xfId="1" applyNumberFormat="1" applyFont="1">
      <alignment vertical="center"/>
    </xf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166" fontId="0" fillId="0" borderId="0" xfId="0" applyNumberFormat="1" applyBorder="1" applyAlignment="1">
      <alignment vertical="center"/>
    </xf>
    <xf numFmtId="167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 wrapText="1"/>
    </xf>
    <xf numFmtId="167" fontId="0" fillId="0" borderId="0" xfId="0" applyNumberFormat="1" applyBorder="1" applyAlignment="1">
      <alignment vertical="center" wrapText="1"/>
    </xf>
    <xf numFmtId="166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1" fontId="20" fillId="0" borderId="0" xfId="0" applyNumberFormat="1" applyFont="1" applyBorder="1" applyAlignment="1">
      <alignment vertical="center"/>
    </xf>
    <xf numFmtId="0" fontId="19" fillId="9" borderId="0" xfId="0" applyNumberFormat="1" applyFont="1" applyFill="1"/>
    <xf numFmtId="0" fontId="0" fillId="0" borderId="0" xfId="0" quotePrefix="1"/>
    <xf numFmtId="0" fontId="6" fillId="7" borderId="3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7" fillId="8" borderId="2" xfId="1" applyFont="1" applyFill="1" applyBorder="1" applyAlignment="1">
      <alignment horizontal="center" vertical="center" wrapText="1"/>
    </xf>
    <xf numFmtId="0" fontId="7" fillId="8" borderId="8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 wrapText="1"/>
    </xf>
    <xf numFmtId="0" fontId="6" fillId="5" borderId="8" xfId="1" applyFont="1" applyFill="1" applyBorder="1" applyAlignment="1">
      <alignment horizontal="center" vertical="center" wrapText="1"/>
    </xf>
    <xf numFmtId="0" fontId="6" fillId="6" borderId="9" xfId="1" applyFont="1" applyFill="1" applyBorder="1" applyAlignment="1">
      <alignment horizontal="center" vertical="center"/>
    </xf>
    <xf numFmtId="0" fontId="6" fillId="6" borderId="9" xfId="1" applyFont="1" applyFill="1" applyBorder="1" applyAlignment="1">
      <alignment horizontal="center" vertical="center" wrapText="1"/>
    </xf>
    <xf numFmtId="0" fontId="6" fillId="6" borderId="2" xfId="1" applyFont="1" applyFill="1" applyBorder="1" applyAlignment="1">
      <alignment horizontal="center" vertical="center"/>
    </xf>
    <xf numFmtId="0" fontId="13" fillId="7" borderId="9" xfId="1" applyFont="1" applyFill="1" applyBorder="1" applyAlignment="1">
      <alignment horizontal="center" vertical="center" wrapText="1"/>
    </xf>
    <xf numFmtId="0" fontId="16" fillId="7" borderId="2" xfId="1" applyFont="1" applyFill="1" applyBorder="1" applyAlignment="1">
      <alignment horizontal="center" vertical="center"/>
    </xf>
    <xf numFmtId="0" fontId="16" fillId="7" borderId="9" xfId="1" applyFont="1" applyFill="1" applyBorder="1" applyAlignment="1">
      <alignment horizontal="center" vertical="center" wrapText="1"/>
    </xf>
    <xf numFmtId="0" fontId="6" fillId="5" borderId="3" xfId="1" applyFont="1" applyFill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center" vertical="center"/>
    </xf>
    <xf numFmtId="0" fontId="6" fillId="6" borderId="7" xfId="1" applyFont="1" applyFill="1" applyBorder="1" applyAlignment="1">
      <alignment horizontal="center" vertical="center"/>
    </xf>
    <xf numFmtId="164" fontId="0" fillId="0" borderId="0" xfId="0" applyNumberFormat="1"/>
    <xf numFmtId="0" fontId="0" fillId="3" borderId="10" xfId="0" applyFill="1" applyBorder="1"/>
    <xf numFmtId="164" fontId="0" fillId="3" borderId="10" xfId="0" applyNumberFormat="1" applyFill="1" applyBorder="1"/>
  </cellXfs>
  <cellStyles count="2">
    <cellStyle name="Normal" xfId="0" builtinId="0"/>
    <cellStyle name="Normal 2" xfId="1" xr:uid="{222C670F-C747-497D-AFA1-C62FE7EFCCB0}"/>
  </cellStyles>
  <dxfs count="273">
    <dxf>
      <numFmt numFmtId="165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164" formatCode="00\+000.0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65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numFmt numFmtId="0" formatCode="General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matlab/A232138/Area8/Analysis%20model/Matlab_input_12_Area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ignment"/>
      <sheetName val="DBsub"/>
      <sheetName val="DBsup"/>
      <sheetName val="DBsoil"/>
      <sheetName val="DBtendonA"/>
      <sheetName val="DBtendonB"/>
      <sheetName val="DBtendonC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188C6F-F670-47A8-BC6B-D62474C3AA1F}" name="alignment" displayName="alignment" ref="A1:H19" totalsRowShown="0" tableBorderDxfId="3">
  <autoFilter ref="A1:H19" xr:uid="{E024F5FC-A93C-4D1F-BEAC-0117DCF3A65E}"/>
  <tableColumns count="8">
    <tableColumn id="1" xr3:uid="{2B257F85-578D-4C88-948F-C592FE07C259}" name="ID" dataDxfId="2"/>
    <tableColumn id="2" xr3:uid="{6F5F163D-165E-4566-A9A1-ACFAA252626C}" name="Station PK" dataDxfId="1"/>
    <tableColumn id="4" xr3:uid="{C0C5F32C-70EC-44C7-86D7-90211C46D474}" name="type"/>
    <tableColumn id="5" xr3:uid="{5C2615EC-9CDA-4743-AC74-3C09A25B798C}" name="Lc/Ls" dataDxfId="0"/>
    <tableColumn id="6" xr3:uid="{6DCFC3E8-4773-42AF-B984-F6CD87E1284F}" name="R"/>
    <tableColumn id="3" xr3:uid="{B2294638-3AEE-46E1-B0A7-EB9B5A577A4B}" name="direction"/>
    <tableColumn id="7" xr3:uid="{6D595DB9-CED4-448D-9815-AFE1CAFEDDB1}" name="CE_id"/>
    <tableColumn id="8" xr3:uid="{63D657FD-A484-41DC-B3CB-F68FAF391BA3}" name="V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AAD7AB-CBEC-48F4-BB50-D3D28E9E840C}" name="DBsub" displayName="DBsub" ref="A1:U10" totalsRowShown="0">
  <autoFilter ref="A1:U10" xr:uid="{95E75AE4-0E74-4D08-BD2D-E45E9E2D40EF}"/>
  <tableColumns count="21">
    <tableColumn id="1" xr3:uid="{4DFE2A6A-28EF-4B7D-9D6B-8C7126C474DC}" name="Pier ID"/>
    <tableColumn id="2" xr3:uid="{E166320C-7F4A-4745-AAD2-3F834A936461}" name="Pile tip EL [m]" dataDxfId="272">
      <calculatedColumnFormula>DBsub[[#This Row],[Pile top EL '[m']]]-#REF!</calculatedColumnFormula>
    </tableColumn>
    <tableColumn id="3" xr3:uid="{70542207-5AE2-4AE5-871F-64A065E63660}" name="Pile top EL [m]"/>
    <tableColumn id="4" xr3:uid="{FCF6E428-BBCE-4F7D-903F-604422CEE017}" name="Piercap bottom EL [m]"/>
    <tableColumn id="5" xr3:uid="{DAE1B51C-601F-4A64-9CDF-10D31638D645}" name="Piercap top EL [m]" dataDxfId="271">
      <calculatedColumnFormula>DBsub[[#This Row],[Piercap bottom EL '[m']]]+IF(LEFT(DBsub[[#This Row],[Type1]],1)="A",1.5,IF(LEFT(DBsub[[#This Row],[Type1]],1)="C",2,IF(LEFT(DBsub[[#This Row],[Type1]],1)="D",2.5,"check pier type")))</calculatedColumnFormula>
    </tableColumn>
    <tableColumn id="6" xr3:uid="{AE3967D5-10CC-43C3-9B15-5FFA856407A7}" name="Pier column Height H [m]" dataDxfId="270">
      <calculatedColumnFormula>DBsub[[#This Row],[Piercap bottom EL '[m']]]-DBsub[[#This Row],[Pile top EL '[m']]]</calculatedColumnFormula>
    </tableColumn>
    <tableColumn id="7" xr3:uid="{FD7EA8A4-A730-40C7-8C84-E410AC0DEF8B}" name="Mat_pier"/>
    <tableColumn id="8" xr3:uid="{FD56B385-755B-4C44-AD3F-07DC8818C3F5}" name="Mat_pile"/>
    <tableColumn id="11" xr3:uid="{B621D5D1-4C55-49CD-B0D2-33EF37813376}" name="Sec_pier"/>
    <tableColumn id="13" xr3:uid="{EE1A062E-DD00-4171-8919-DBC94009C266}" name="Sec_pile"/>
    <tableColumn id="15" xr3:uid="{FD4C429D-5B1F-4961-939B-F77EA31BE083}" name="Type1" dataDxfId="269"/>
    <tableColumn id="16" xr3:uid="{28DB86F1-E9B3-49D7-B76D-CECF4507A73D}" name="L/M" dataDxfId="268"/>
    <tableColumn id="10" xr3:uid="{B78EC06B-51EF-48AC-B9C1-F1A2B0C3E6DA}" name="(x)sup type" dataDxfId="267"/>
    <tableColumn id="9" xr3:uid="{11B601B2-732A-406D-92AB-C0364821AE48}" name="track beam top" dataDxfId="266">
      <calculatedColumnFormula>IF(DBsub[[#This Row],[(x)sup type]]=1,DBsub[[#This Row],[Piercap top EL '[m']]]+2.6,DBsub[[#This Row],[Piercap top EL '[m']]]+2.9)</calculatedColumnFormula>
    </tableColumn>
    <tableColumn id="12" xr3:uid="{7C5548A5-13FD-4855-98F6-B5014DE4B0E5}" name="pier_Dia" dataDxfId="265"/>
    <tableColumn id="14" xr3:uid="{E8ECF7E9-D495-4A4C-8C68-55D066038CCC}" name="Module id" dataDxfId="264">
      <calculatedColumnFormula>DBsup[[#This Row],[Module id]]</calculatedColumnFormula>
    </tableColumn>
    <tableColumn id="17" xr3:uid="{F0C1C14A-B64A-4145-B852-FDC4C780230C}" name="D_R" dataDxfId="263"/>
    <tableColumn id="18" xr3:uid="{5B9A37C3-E57D-445B-A657-CCE4082EC8AB}" name="D_L" dataDxfId="262"/>
    <tableColumn id="19" xr3:uid="{7CC09E29-15F1-47FD-A575-28B73AA7E64D}" name="D_RelAng" dataDxfId="261"/>
    <tableColumn id="20" xr3:uid="{0200CE47-AFC1-41A7-B7B9-4398F0048C67}" name="D_R2" dataDxfId="260"/>
    <tableColumn id="21" xr3:uid="{2EBAB4DF-A07B-4A6A-AF4F-3600F803F3C4}" name="D_L2" dataDxfId="25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B45EAE-6B39-4443-8A1D-5CE06F3C741B}" name="DBsup" displayName="DBsup" ref="A1:J11" totalsRowShown="0">
  <autoFilter ref="A1:J11" xr:uid="{C5B97D85-4294-49AF-A736-B18A4965E9A5}"/>
  <tableColumns count="10">
    <tableColumn id="1" xr3:uid="{9DA96F04-C261-4575-8943-5E54CD9E8278}" name="Seg id"/>
    <tableColumn id="2" xr3:uid="{791859E0-48F0-4955-B4EF-076CE440EF63}" name="Pier start"/>
    <tableColumn id="3" xr3:uid="{2B28E159-F838-4DF6-B5FF-69737EE9A677}" name="Pier end">
      <calculatedColumnFormula>DBsup[[#This Row],[Pier start]]+1</calculatedColumnFormula>
    </tableColumn>
    <tableColumn id="4" xr3:uid="{7D60A0C7-4556-45D9-99AD-05F1EFDD46B8}" name="Type"/>
    <tableColumn id="5" xr3:uid="{7C983AC7-4DF9-4708-8AA7-683402152AD1}" name="Length"/>
    <tableColumn id="6" xr3:uid="{C959445B-0233-4C23-8DF9-8FE669AB8BE3}" name="pier type start">
      <calculatedColumnFormula>VLOOKUP(B2,DBsub[],12,0)</calculatedColumnFormula>
    </tableColumn>
    <tableColumn id="7" xr3:uid="{6B2F628D-C062-45A1-A41C-EAC36F50739F}" name="pier type end">
      <calculatedColumnFormula>VLOOKUP(C2,DBsub[],12,0)</calculatedColumnFormula>
    </tableColumn>
    <tableColumn id="8" xr3:uid="{E2D10F08-C752-4B08-88E5-20DF78852A15}" name="Mat"/>
    <tableColumn id="41" xr3:uid="{9A891F61-2B15-46FC-B239-B95B4F7AE2CB}" name="Module id"/>
    <tableColumn id="9" xr3:uid="{566CB742-D36F-40DB-8F7F-7D1C46808F8F}" name="BD/ BB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7BB2B8-CAD3-4E80-A52D-EF1749DB8D8B}" name="DBsoil" displayName="DBsoil" ref="A4:G30" totalsRowShown="0">
  <autoFilter ref="A4:G30" xr:uid="{A8D0EF2B-347E-483B-98C0-0981362035FA}"/>
  <tableColumns count="7">
    <tableColumn id="1" xr3:uid="{6448E67B-B784-4BD1-90CB-8BF5CC9D2628}" name="Pile id">
      <calculatedColumnFormula>IF(N5="",A4,A4+1)</calculatedColumnFormula>
    </tableColumn>
    <tableColumn id="2" xr3:uid="{7E15612A-08AC-4DC2-AA23-D5B82E4EE271}" name="Pile_dia">
      <calculatedColumnFormula>IF(N5="",B4,L5)</calculatedColumnFormula>
    </tableColumn>
    <tableColumn id="3" xr3:uid="{C2D1030B-47C7-445B-89EE-E5CF70A7190B}" name="GL1">
      <calculatedColumnFormula>O5</calculatedColumnFormula>
    </tableColumn>
    <tableColumn id="4" xr3:uid="{634DAFC7-6E0D-41DD-BD0C-17161A231514}" name="GL2">
      <calculatedColumnFormula>Q5</calculatedColumnFormula>
    </tableColumn>
    <tableColumn id="5" xr3:uid="{6A1B99FB-C093-49B2-BABB-7B77BFA65E1E}" name="Depth">
      <calculatedColumnFormula>D5-C5</calculatedColumnFormula>
    </tableColumn>
    <tableColumn id="6" xr3:uid="{82DA9565-3FBA-4490-B1A4-2860668FF4B9}" name="kh">
      <calculatedColumnFormula>V5</calculatedColumnFormula>
    </tableColumn>
    <tableColumn id="7" xr3:uid="{122E9988-DE0C-4EAC-9EAA-93FB06A5638D}" name="Pile_length" dataDxfId="258">
      <calculatedColumnFormula>VLOOKUP(DBsoil[[#This Row],[Pile id]],$X$5:$Y$20,2)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BA4E00-CEB4-4DAB-8A91-5FAADABAB13A}" name="DBtendonA" displayName="DBtendonA" ref="A1:AQ16" totalsRowShown="0" headerRowDxfId="257" dataDxfId="256" tableBorderDxfId="255">
  <autoFilter ref="A1:AQ16" xr:uid="{1A0B75A0-2768-4BBA-BFEC-060DE896EFA7}"/>
  <tableColumns count="43">
    <tableColumn id="15" xr3:uid="{811FA365-41C6-4509-BE4F-E36CB71C70A6}" name="seg id"/>
    <tableColumn id="17" xr3:uid="{38DAA9C9-06FF-499E-9FFB-71B770A610B8}" name="pier type start" dataDxfId="254">
      <calculatedColumnFormula>VLOOKUP(DBtendonA[[#This Row],[seg id]],DBsup[],6,0)</calculatedColumnFormula>
    </tableColumn>
    <tableColumn id="18" xr3:uid="{34920153-5FE0-45EF-A8F1-4AF0CCBF3C56}" name="pier type end" dataDxfId="253">
      <calculatedColumnFormula>VLOOKUP(DBtendonA[[#This Row],[seg id]],DBsup[],7,0)</calculatedColumnFormula>
    </tableColumn>
    <tableColumn id="16" xr3:uid="{9501789E-B933-498C-A686-270F6BBCC183}" name="PT type"/>
    <tableColumn id="1" xr3:uid="{56635030-100B-41D4-945E-3A46D6AC2D10}" name="PT id">
      <calculatedColumnFormula>"A"&amp;DBtendonA[[#This Row],[seg id]]&amp;"-"&amp;DBtendonA[[#This Row],[PT type]]</calculatedColumnFormula>
    </tableColumn>
    <tableColumn id="2" xr3:uid="{8221A0F6-37F7-42D3-9966-955EA4B80FDB}" name="tendon_prop_A" dataDxfId="252"/>
    <tableColumn id="45" xr3:uid="{D77542C7-C5C4-46AA-BA88-D26FB5A26B90}" name="PS" dataDxfId="251"/>
    <tableColumn id="5" xr3:uid="{A56A2439-CEF3-4B7B-B6F9-40F6C4E5C36F}" name="dLez1" dataDxfId="250">
      <calculatedColumnFormula array="1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calculatedColumnFormula>
    </tableColumn>
    <tableColumn id="6" xr3:uid="{9DD9D9A4-5EB3-4C2D-967E-8C396F444F4B}" name="dLez2" dataDxfId="24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type]),0),MATCH(DBtendonA[[#Headers],[dLez2]],PTprofA[#Headers],0))</calculatedColumnFormula>
    </tableColumn>
    <tableColumn id="7" xr3:uid="{B3721BE2-8FDF-4308-A2B0-CF024B465F34}" name="dLez3" dataDxfId="24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type]),0),MATCH(DBtendonA[[#Headers],[dLez3]],PTprofA[#Headers],0))</calculatedColumnFormula>
    </tableColumn>
    <tableColumn id="8" xr3:uid="{B18A078E-08B3-4629-A5CB-EE541614FEE8}" name="dLez4" dataDxfId="24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type]),0),MATCH(DBtendonA[[#Headers],[dLez4]],PTprofA[#Headers],0))</calculatedColumnFormula>
    </tableColumn>
    <tableColumn id="9" xr3:uid="{A9139C04-AD4A-4555-9F27-7A21983216BB}" name="dLez5" dataDxfId="24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type]),0),MATCH(DBtendonA[[#Headers],[dLez5]],PTprofA[#Headers],0))</calculatedColumnFormula>
    </tableColumn>
    <tableColumn id="10" xr3:uid="{4D1E631C-9D36-40BF-A09F-B9411E20192D}" name="dLez6" dataDxfId="24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type]),0),MATCH(DBtendonA[[#Headers],[dLez6]],PTprofA[#Headers],0))</calculatedColumnFormula>
    </tableColumn>
    <tableColumn id="11" xr3:uid="{785DD70D-D76A-4346-BDA2-2C26B20815C1}" name="dLez7" dataDxfId="24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type]),0),MATCH(DBtendonA[[#Headers],[dLez7]],PTprofA[#Headers],0))</calculatedColumnFormula>
    </tableColumn>
    <tableColumn id="12" xr3:uid="{8E25A657-C0BD-4DAA-AF26-18310661493F}" name="dLez8" dataDxfId="24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type]),0),MATCH(DBtendonA[[#Headers],[dLez8]],PTprofA[#Headers],0))</calculatedColumnFormula>
    </tableColumn>
    <tableColumn id="13" xr3:uid="{4DA8D1F3-9C85-47F4-BE79-455BD7E31743}" name="dLez9" dataDxfId="24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type]),0),MATCH(DBtendonA[[#Headers],[dLez9]],PTprofA[#Headers],0))</calculatedColumnFormula>
    </tableColumn>
    <tableColumn id="14" xr3:uid="{0BD4C576-FF09-48B4-9647-A9B2709E93E8}" name="dLez10" dataDxfId="24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type]),0),MATCH(DBtendonA[[#Headers],[dLez10]],PTprofA[#Headers],0))</calculatedColumnFormula>
    </tableColumn>
    <tableColumn id="19" xr3:uid="{D8F2208D-0DA2-43D1-BA83-C13BF9AECCFA}" name="dLez11" dataDxfId="240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type]),0),MATCH(DBtendonA[[#Headers],[dLez11]],PTprofA[#Headers],0))</calculatedColumnFormula>
    </tableColumn>
    <tableColumn id="20" xr3:uid="{B86820FB-FBB9-4688-B859-4C83220C026F}" name="dLez12" dataDxfId="23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type]),0),MATCH(DBtendonA[[#Headers],[dLez12]],PTprofA[#Headers],0))</calculatedColumnFormula>
    </tableColumn>
    <tableColumn id="21" xr3:uid="{16BD8BAD-D7A0-4302-9BBF-F1353E2FE8DF}" name="ey1" dataDxfId="23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type]),0),MATCH(DBtendonA[[#Headers],[ey1]],PTprofA[#Headers],0))</calculatedColumnFormula>
    </tableColumn>
    <tableColumn id="22" xr3:uid="{814ACB84-093B-4E3A-90E7-3D7EE2D67E5F}" name="ey2" dataDxfId="23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type]),0),MATCH(DBtendonA[[#Headers],[ey2]],PTprofA[#Headers],0))</calculatedColumnFormula>
    </tableColumn>
    <tableColumn id="23" xr3:uid="{92AB5FB7-D194-4AE6-A92D-E2B21EE4D87C}" name="ey3" dataDxfId="23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type]),0),MATCH(DBtendonA[[#Headers],[ey3]],PTprofA[#Headers],0))</calculatedColumnFormula>
    </tableColumn>
    <tableColumn id="24" xr3:uid="{2C7588A7-92FF-45D7-8910-67B1C2558207}" name="ey4" dataDxfId="23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type]),0),MATCH(DBtendonA[[#Headers],[ey4]],PTprofA[#Headers],0))</calculatedColumnFormula>
    </tableColumn>
    <tableColumn id="25" xr3:uid="{9F89B6ED-BCE8-4087-BDA6-43C5CEA65903}" name="ey5" dataDxfId="23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type]),0),MATCH(DBtendonA[[#Headers],[ey5]],PTprofA[#Headers],0))</calculatedColumnFormula>
    </tableColumn>
    <tableColumn id="26" xr3:uid="{F0CD750D-CFFF-4037-A9D4-1C90D69067E1}" name="ey6" dataDxfId="23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type]),0),MATCH(DBtendonA[[#Headers],[ey6]],PTprofA[#Headers],0))</calculatedColumnFormula>
    </tableColumn>
    <tableColumn id="27" xr3:uid="{A49C24F3-7D12-423C-A69D-7B98032D4B95}" name="ey7" dataDxfId="23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type]),0),MATCH(DBtendonA[[#Headers],[ey7]],PTprofA[#Headers],0))</calculatedColumnFormula>
    </tableColumn>
    <tableColumn id="28" xr3:uid="{B9D91571-DEDD-4A74-A126-492C00EE4006}" name="ey8" dataDxfId="23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type]),0),MATCH(DBtendonA[[#Headers],[ey8]],PTprofA[#Headers],0))</calculatedColumnFormula>
    </tableColumn>
    <tableColumn id="29" xr3:uid="{CB815FE1-3353-4EAA-B961-504A3D7E8763}" name="ey9" dataDxfId="230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type]),0),MATCH(DBtendonA[[#Headers],[ey9]],PTprofA[#Headers],0))</calculatedColumnFormula>
    </tableColumn>
    <tableColumn id="30" xr3:uid="{848A40CA-7C96-45D8-8149-0DDC4F9932FC}" name="ey10" dataDxfId="22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type]),0),MATCH(DBtendonA[[#Headers],[ey10]],PTprofA[#Headers],0))</calculatedColumnFormula>
    </tableColumn>
    <tableColumn id="31" xr3:uid="{1A1F5636-9675-44E4-AE07-5261DD5CFA55}" name="ey11" dataDxfId="22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type]),0),MATCH(DBtendonA[[#Headers],[ey11]],PTprofA[#Headers],0))</calculatedColumnFormula>
    </tableColumn>
    <tableColumn id="32" xr3:uid="{A53AA3BE-550B-4652-91E7-DF14667F5B7C}" name="ey12" dataDxfId="22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type]),0),MATCH(DBtendonA[[#Headers],[ey12]],PTprofA[#Headers],0))</calculatedColumnFormula>
    </tableColumn>
    <tableColumn id="33" xr3:uid="{D236A36C-A97C-4A1A-8334-A7515EEA9C7C}" name="ez1" dataDxfId="22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type]),0),MATCH(DBtendonA[[#Headers],[ez1]],PTprofA[#Headers],0))</calculatedColumnFormula>
    </tableColumn>
    <tableColumn id="34" xr3:uid="{AE2B7364-956B-4610-827F-FB2F8F4AFEB9}" name="ez2" dataDxfId="22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type]),0),MATCH(DBtendonA[[#Headers],[ez2]],PTprofA[#Headers],0))</calculatedColumnFormula>
    </tableColumn>
    <tableColumn id="35" xr3:uid="{3E3B832B-2A25-4752-B3E1-5E2EAA6ABC6B}" name="ez3" dataDxfId="224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type]),0),MATCH(DBtendonA[[#Headers],[ez3]],PTprofA[#Headers],0))</calculatedColumnFormula>
    </tableColumn>
    <tableColumn id="36" xr3:uid="{000189AD-8595-44AE-AC3A-FB8903F42C9C}" name="ez4" dataDxfId="223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type]),0),MATCH(DBtendonA[[#Headers],[ez4]],PTprofA[#Headers],0))</calculatedColumnFormula>
    </tableColumn>
    <tableColumn id="37" xr3:uid="{D52370BB-7A69-42A1-BC11-2CB24341F784}" name="ez5" dataDxfId="222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type]),0),MATCH(DBtendonA[[#Headers],[ez5]],PTprofA[#Headers],0))</calculatedColumnFormula>
    </tableColumn>
    <tableColumn id="38" xr3:uid="{F22D5E80-09FA-4F0E-A8CE-05C099CD2F76}" name="ez6" dataDxfId="221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type]),0),MATCH(DBtendonA[[#Headers],[ez6]],PTprofA[#Headers],0))</calculatedColumnFormula>
    </tableColumn>
    <tableColumn id="39" xr3:uid="{116A6B86-DFE2-400B-947A-AC68645E93BA}" name="ez7" dataDxfId="220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type]),0),MATCH(DBtendonA[[#Headers],[ez7]],PTprofA[#Headers],0))</calculatedColumnFormula>
    </tableColumn>
    <tableColumn id="40" xr3:uid="{40565957-C3A9-458D-BD70-FCC7436277BC}" name="ez8" dataDxfId="219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type]),0),MATCH(DBtendonA[[#Headers],[ez8]],PTprofA[#Headers],0))</calculatedColumnFormula>
    </tableColumn>
    <tableColumn id="41" xr3:uid="{58E2C60A-CF18-44BA-8496-00ECC0824BCD}" name="ez9" dataDxfId="218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type]),0),MATCH(DBtendonA[[#Headers],[ez9]],PTprofA[#Headers],0))</calculatedColumnFormula>
    </tableColumn>
    <tableColumn id="42" xr3:uid="{9B8A41D3-1A57-4612-9673-519022ABF724}" name="ez10" dataDxfId="217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type]),0),MATCH(DBtendonA[[#Headers],[ez10]],PTprofA[#Headers],0))</calculatedColumnFormula>
    </tableColumn>
    <tableColumn id="43" xr3:uid="{F9EDE67F-C829-4D08-9376-7419AD100D19}" name="ez11" dataDxfId="216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type]),0),MATCH(DBtendonA[[#Headers],[ez11]],PTprofA[#Headers],0))</calculatedColumnFormula>
    </tableColumn>
    <tableColumn id="44" xr3:uid="{932744A7-EA15-48A5-981D-D926BC15B1AD}" name="ez12" dataDxfId="215">
      <calculatedColumnFormula array="1">INDEX(PTprofA[],MATCH(1,(LEFT(DBtendonA[[#This Row],[pier type start]],1)=PTprofA[Ptyp_s])*(LEFT(DBtendonA[[#This Row],[pier type end]],1)=PTprofA[Ptyp_e])*(DBtendonA[[#This Row],[PT type]]=PTprofA[PT type]),0),MATCH(DBtendonA[[#Headers],[ez12]],PTprofA[#Headers],0))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E119EFF-40C2-4F17-AA1E-BE07C21F49F8}" name="DBtendonB" displayName="DBtendonB" ref="A1:AQ13" totalsRowShown="0" headerRowDxfId="214" dataDxfId="213" tableBorderDxfId="212">
  <autoFilter ref="A1:AQ13" xr:uid="{77BC963B-16A4-4B58-90D5-DFB19A55ACCB}"/>
  <tableColumns count="43">
    <tableColumn id="15" xr3:uid="{640322C3-5AA3-411A-9A47-C68ED9C8C921}" name="seg id"/>
    <tableColumn id="17" xr3:uid="{93265D44-B3FC-4EC5-B495-D4105C03C095}" name="pier type start" dataDxfId="211">
      <calculatedColumnFormula>VLOOKUP(DBtendonB[[#This Row],[seg id]],DBsup[],6,0)</calculatedColumnFormula>
    </tableColumn>
    <tableColumn id="18" xr3:uid="{36CD8E8C-90E7-431F-AC0F-5F2E570DAF67}" name="pier type end" dataDxfId="210">
      <calculatedColumnFormula>VLOOKUP(DBtendonB[[#This Row],[seg id]],DBsup[],7,0)</calculatedColumnFormula>
    </tableColumn>
    <tableColumn id="16" xr3:uid="{28EAEDB5-02B5-4C52-A464-4D54280437E7}" name="PT type"/>
    <tableColumn id="1" xr3:uid="{883695B5-517F-4FF2-BA17-803686EA9F5F}" name="PT id" dataDxfId="209">
      <calculatedColumnFormula>"B"&amp;VLOOKUP(DBtendonB[[#This Row],[seg id]],DBsup[],9,0)&amp;"-"&amp;DBtendonB[[#This Row],[PT type]]</calculatedColumnFormula>
    </tableColumn>
    <tableColumn id="2" xr3:uid="{A158255D-81A7-40AA-91FC-312BF7DBCAAB}" name="tendon_prop_A" dataDxfId="208"/>
    <tableColumn id="45" xr3:uid="{07A05C2E-800F-4C2A-ADA4-4555717637C2}" name="PS" dataDxfId="207"/>
    <tableColumn id="5" xr3:uid="{E46BD126-629D-4358-A7EB-F5D2BE7168C1}" name="dLez1" dataDxfId="20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type]),0),MATCH(DBtendonB[[#Headers],[dLez1]],PTprofB[#Headers],0))</calculatedColumnFormula>
    </tableColumn>
    <tableColumn id="6" xr3:uid="{605F1880-249F-4A38-AF6D-FE635B271357}" name="dLez2" dataDxfId="20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type]),0),MATCH(DBtendonB[[#Headers],[dLez2]],PTprofB[#Headers],0))</calculatedColumnFormula>
    </tableColumn>
    <tableColumn id="7" xr3:uid="{3135D95F-E988-4768-AC9C-B50DCCD0D2AC}" name="dLez3" dataDxfId="20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type]),0),MATCH(DBtendonB[[#Headers],[dLez3]],PTprofB[#Headers],0))</calculatedColumnFormula>
    </tableColumn>
    <tableColumn id="8" xr3:uid="{E74FE8CC-9673-442C-B6C8-961F7EB7654E}" name="dLez4" dataDxfId="20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type]),0),MATCH(DBtendonB[[#Headers],[dLez4]],PTprofB[#Headers],0))</calculatedColumnFormula>
    </tableColumn>
    <tableColumn id="9" xr3:uid="{5770F02F-23E8-46F0-B3C2-BF471C6D203B}" name="dLez5" dataDxfId="20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type]),0),MATCH(DBtendonB[[#Headers],[dLez5]],PTprofB[#Headers],0))</calculatedColumnFormula>
    </tableColumn>
    <tableColumn id="10" xr3:uid="{0FF22714-E3CD-4800-A722-52D3DA61675B}" name="dLez6" dataDxfId="20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type]),0),MATCH(DBtendonB[[#Headers],[dLez6]],PTprofB[#Headers],0))</calculatedColumnFormula>
    </tableColumn>
    <tableColumn id="11" xr3:uid="{E9011EE1-6F01-4480-83B1-0984A0DC8D15}" name="dLez7" dataDxfId="20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type]),0),MATCH(DBtendonB[[#Headers],[dLez7]],PTprofB[#Headers],0))</calculatedColumnFormula>
    </tableColumn>
    <tableColumn id="12" xr3:uid="{F8DFDBD8-51C8-4695-8A38-1C9B0BD10F0E}" name="dLez8" dataDxfId="19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type]),0),MATCH(DBtendonB[[#Headers],[dLez8]],PTprofB[#Headers],0))</calculatedColumnFormula>
    </tableColumn>
    <tableColumn id="13" xr3:uid="{C2C4F202-F0B9-43C9-8E24-D18296596278}" name="dLez9" dataDxfId="19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type]),0),MATCH(DBtendonB[[#Headers],[dLez9]],PTprofB[#Headers],0))</calculatedColumnFormula>
    </tableColumn>
    <tableColumn id="14" xr3:uid="{78AFF8F8-3B96-4D10-AB2D-AD8155299563}" name="dLez10" dataDxfId="19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type]),0),MATCH(DBtendonB[[#Headers],[dLez10]],PTprofB[#Headers],0))</calculatedColumnFormula>
    </tableColumn>
    <tableColumn id="19" xr3:uid="{1EE490AB-FFB2-4808-826C-BD566A54B7D9}" name="dLez11" dataDxfId="19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type]),0),MATCH(DBtendonB[[#Headers],[dLez11]],PTprofB[#Headers],0))</calculatedColumnFormula>
    </tableColumn>
    <tableColumn id="20" xr3:uid="{C8D947A1-93FE-4C04-820D-7D2B11EDBFC3}" name="dLez12" dataDxfId="19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type]),0),MATCH(DBtendonB[[#Headers],[dLez12]],PTprofB[#Headers],0))</calculatedColumnFormula>
    </tableColumn>
    <tableColumn id="21" xr3:uid="{B9A9F102-C659-4535-89F9-E61C61BE1C5E}" name="ey1" dataDxfId="19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type]),0),MATCH(DBtendonB[[#Headers],[ey1]],PTprofB[#Headers],0))</calculatedColumnFormula>
    </tableColumn>
    <tableColumn id="22" xr3:uid="{6AB87AA6-4ABD-4CEF-B315-49E60B5341B7}" name="ey2" dataDxfId="19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type]),0),MATCH(DBtendonB[[#Headers],[ey2]],PTprofB[#Headers],0))</calculatedColumnFormula>
    </tableColumn>
    <tableColumn id="23" xr3:uid="{ABC43CD1-D857-44F1-A7A9-07CEE137EA00}" name="ey3" dataDxfId="19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type]),0),MATCH(DBtendonB[[#Headers],[ey3]],PTprofB[#Headers],0))</calculatedColumnFormula>
    </tableColumn>
    <tableColumn id="24" xr3:uid="{35BC41D3-B5A7-45CB-83D7-B7377B4A7004}" name="ey4" dataDxfId="19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type]),0),MATCH(DBtendonB[[#Headers],[ey4]],PTprofB[#Headers],0))</calculatedColumnFormula>
    </tableColumn>
    <tableColumn id="25" xr3:uid="{CE105E0B-255D-43F9-BC55-108DFD0DD1FE}" name="ey5" dataDxfId="19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type]),0),MATCH(DBtendonB[[#Headers],[ey5]],PTprofB[#Headers],0))</calculatedColumnFormula>
    </tableColumn>
    <tableColumn id="26" xr3:uid="{E8DA4B76-DCCB-438D-AC1C-5CA6C03A2626}" name="ey6" dataDxfId="18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type]),0),MATCH(DBtendonB[[#Headers],[ey6]],PTprofB[#Headers],0))</calculatedColumnFormula>
    </tableColumn>
    <tableColumn id="27" xr3:uid="{C177A002-D483-4E50-B79E-808DC104E4BC}" name="ey7" dataDxfId="18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type]),0),MATCH(DBtendonB[[#Headers],[ey7]],PTprofB[#Headers],0))</calculatedColumnFormula>
    </tableColumn>
    <tableColumn id="28" xr3:uid="{E64F9FC4-5863-4DAD-9273-3AD10BEC6E52}" name="ey8" dataDxfId="18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type]),0),MATCH(DBtendonB[[#Headers],[ey8]],PTprofB[#Headers],0))</calculatedColumnFormula>
    </tableColumn>
    <tableColumn id="29" xr3:uid="{C825C75C-DA77-4891-8B62-3710B817BF42}" name="ey9" dataDxfId="18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type]),0),MATCH(DBtendonB[[#Headers],[ey9]],PTprofB[#Headers],0))</calculatedColumnFormula>
    </tableColumn>
    <tableColumn id="30" xr3:uid="{8B584F5C-3FBD-4562-A3D3-B7BB21000369}" name="ey10" dataDxfId="18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type]),0),MATCH(DBtendonB[[#Headers],[ey10]],PTprofB[#Headers],0))</calculatedColumnFormula>
    </tableColumn>
    <tableColumn id="31" xr3:uid="{EA5CBF64-8240-45B0-8A96-4F683FAAE995}" name="ey11" dataDxfId="18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type]),0),MATCH(DBtendonB[[#Headers],[ey11]],PTprofB[#Headers],0))</calculatedColumnFormula>
    </tableColumn>
    <tableColumn id="32" xr3:uid="{006FF932-F32C-41B7-B984-76C128DDAC87}" name="ey12" dataDxfId="18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type]),0),MATCH(DBtendonB[[#Headers],[ey12]],PTprofB[#Headers],0))</calculatedColumnFormula>
    </tableColumn>
    <tableColumn id="33" xr3:uid="{9AAB57AD-2BC5-47D2-950B-86A0291902E6}" name="ez1" dataDxfId="18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type]),0),MATCH(DBtendonB[[#Headers],[ez1]],PTprofB[#Headers],0))</calculatedColumnFormula>
    </tableColumn>
    <tableColumn id="34" xr3:uid="{0D39C60B-8E83-4B73-BFA9-FC0F1CB0B528}" name="ez2" dataDxfId="18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type]),0),MATCH(DBtendonB[[#Headers],[ez2]],PTprofB[#Headers],0))</calculatedColumnFormula>
    </tableColumn>
    <tableColumn id="35" xr3:uid="{3D92B16F-E556-462F-92F9-F9FA8A9CCC3D}" name="ez3" dataDxfId="180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type]),0),MATCH(DBtendonB[[#Headers],[ez3]],PTprofB[#Headers],0))</calculatedColumnFormula>
    </tableColumn>
    <tableColumn id="36" xr3:uid="{6F53449F-FE1A-43B6-A48C-E9D8BB22F059}" name="ez4" dataDxfId="179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type]),0),MATCH(DBtendonB[[#Headers],[ez4]],PTprofB[#Headers],0))</calculatedColumnFormula>
    </tableColumn>
    <tableColumn id="37" xr3:uid="{0A32099C-046E-4261-A95B-DEBB7D37D8FB}" name="ez5" dataDxfId="178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type]),0),MATCH(DBtendonB[[#Headers],[ez5]],PTprofB[#Headers],0))</calculatedColumnFormula>
    </tableColumn>
    <tableColumn id="38" xr3:uid="{A0600EA4-0343-4862-B138-3114745B9792}" name="ez6" dataDxfId="177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type]),0),MATCH(DBtendonB[[#Headers],[ez6]],PTprofB[#Headers],0))</calculatedColumnFormula>
    </tableColumn>
    <tableColumn id="39" xr3:uid="{E5479E58-E989-4FC1-848D-B2683BB2FF39}" name="ez7" dataDxfId="176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type]),0),MATCH(DBtendonB[[#Headers],[ez7]],PTprofB[#Headers],0))</calculatedColumnFormula>
    </tableColumn>
    <tableColumn id="40" xr3:uid="{3BFABD98-304B-492A-BF70-7AFBF13F16EE}" name="ez8" dataDxfId="175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type]),0),MATCH(DBtendonB[[#Headers],[ez8]],PTprofB[#Headers],0))</calculatedColumnFormula>
    </tableColumn>
    <tableColumn id="41" xr3:uid="{30463E36-26EA-4DBE-AD82-58C4CEA8337B}" name="ez9" dataDxfId="174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type]),0),MATCH(DBtendonB[[#Headers],[ez9]],PTprofB[#Headers],0))</calculatedColumnFormula>
    </tableColumn>
    <tableColumn id="42" xr3:uid="{6482A14B-E441-420B-858F-1E700CEC6032}" name="ez10" dataDxfId="173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type]),0),MATCH(DBtendonB[[#Headers],[ez10]],PTprofB[#Headers],0))</calculatedColumnFormula>
    </tableColumn>
    <tableColumn id="43" xr3:uid="{36459A3C-6BB2-4837-B434-D6577F29BF42}" name="ez11" dataDxfId="172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type]),0),MATCH(DBtendonB[[#Headers],[ez11]],PTprofB[#Headers],0))</calculatedColumnFormula>
    </tableColumn>
    <tableColumn id="44" xr3:uid="{89277C02-DF27-4E52-914C-23F55169CBD6}" name="ez12" dataDxfId="171">
      <calculatedColumnFormula array="1">INDEX(PTprofB[],MATCH(1,(LEFT(DBtendonB[[#This Row],[pier type start]],1)=PTprofB[Ptyp_s])*(LEFT(DBtendonB[[#This Row],[pier type end]],1)=PTprofB[Ptyp_e])*(DBtendonB[[#This Row],[PT type]]=PTprofB[PT type]),0),MATCH(DBtendonB[[#Headers],[ez12]],PTprofB[#Headers],0))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2023D16-8CB7-4C2F-AAD1-8469A3D932C0}" name="DBtendonC" displayName="DBtendonC" ref="A1:AQ13" totalsRowShown="0" headerRowDxfId="170" dataDxfId="169" tableBorderDxfId="168">
  <autoFilter ref="A1:AQ13" xr:uid="{77EDBAEF-E545-4B94-868C-7A80C440A067}"/>
  <tableColumns count="43">
    <tableColumn id="15" xr3:uid="{0B5A9AA2-39B1-498C-AB21-78E0D9087C41}" name="seg id"/>
    <tableColumn id="17" xr3:uid="{71CA6B67-72BB-431D-83EA-4F3C0D896513}" name="pier type start" dataDxfId="167">
      <calculatedColumnFormula>VLOOKUP(DBtendonC[[#This Row],[seg id]],DBsup[],6,0)</calculatedColumnFormula>
    </tableColumn>
    <tableColumn id="18" xr3:uid="{D2C1FD21-665E-4A47-9C18-EB41D95E660E}" name="pier type end" dataDxfId="166">
      <calculatedColumnFormula>VLOOKUP(DBtendonC[[#This Row],[seg id]],DBsup[],7,0)</calculatedColumnFormula>
    </tableColumn>
    <tableColumn id="16" xr3:uid="{A958F2D8-69E8-4CB4-A6A3-7E5D1A4E4A68}" name="PT type"/>
    <tableColumn id="1" xr3:uid="{1F4640E2-2A32-412F-953B-B1022025C3CD}" name="PT id" dataDxfId="165">
      <calculatedColumnFormula>"C"&amp;VLOOKUP(DBtendonC[[#This Row],[seg id]],DBsup[],9,0)&amp;"-"&amp;DBtendonC[[#This Row],[PT type]]</calculatedColumnFormula>
    </tableColumn>
    <tableColumn id="2" xr3:uid="{FD84794D-E5FD-4E82-9329-B76035C908F5}" name="tendon_prop_A" dataDxfId="164"/>
    <tableColumn id="45" xr3:uid="{548134F3-DF0E-4CE2-B351-89EC9E2185C1}" name="PS" dataDxfId="163"/>
    <tableColumn id="5" xr3:uid="{4CF8E61B-A26A-48CC-8790-08386D63A060}" name="dLez1" dataDxfId="16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type]),0),MATCH(DBtendonC[[#Headers],[dLez1]],PTprofC[#Headers],0))</calculatedColumnFormula>
    </tableColumn>
    <tableColumn id="6" xr3:uid="{94353EFA-98DD-421E-A262-11236D36C21B}" name="dLez2" dataDxfId="16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type]),0),MATCH(DBtendonC[[#Headers],[dLez2]],PTprofC[#Headers],0))</calculatedColumnFormula>
    </tableColumn>
    <tableColumn id="7" xr3:uid="{793D9D24-1ED0-40B0-A3CF-17B1ACD671C1}" name="dLez3" dataDxfId="16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type]),0),MATCH(DBtendonC[[#Headers],[dLez3]],PTprofC[#Headers],0))</calculatedColumnFormula>
    </tableColumn>
    <tableColumn id="8" xr3:uid="{34D1C664-88E3-4BE5-B3FA-D5BD2E098E68}" name="dLez4" dataDxfId="15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type]),0),MATCH(DBtendonC[[#Headers],[dLez4]],PTprofC[#Headers],0))</calculatedColumnFormula>
    </tableColumn>
    <tableColumn id="9" xr3:uid="{33201880-79EF-4DF0-9B8F-F1063C0281FE}" name="dLez5" dataDxfId="15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type]),0),MATCH(DBtendonC[[#Headers],[dLez5]],PTprofC[#Headers],0))</calculatedColumnFormula>
    </tableColumn>
    <tableColumn id="10" xr3:uid="{889C762D-5495-4FE6-99D0-57298655277D}" name="dLez6" dataDxfId="15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type]),0),MATCH(DBtendonC[[#Headers],[dLez6]],PTprofC[#Headers],0))</calculatedColumnFormula>
    </tableColumn>
    <tableColumn id="11" xr3:uid="{6B032C32-C5FE-40F7-9C79-0E432AE48AFE}" name="dLez7" dataDxfId="15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type]),0),MATCH(DBtendonC[[#Headers],[dLez7]],PTprofC[#Headers],0))</calculatedColumnFormula>
    </tableColumn>
    <tableColumn id="12" xr3:uid="{B832CB40-7A35-4DC8-A53D-4071DC0F1237}" name="dLez8" dataDxfId="15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type]),0),MATCH(DBtendonC[[#Headers],[dLez8]],PTprofC[#Headers],0))</calculatedColumnFormula>
    </tableColumn>
    <tableColumn id="13" xr3:uid="{BF8274F4-630A-41A7-A6AD-4544C7CA29CF}" name="dLez9" dataDxfId="15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type]),0),MATCH(DBtendonC[[#Headers],[dLez9]],PTprofC[#Headers],0))</calculatedColumnFormula>
    </tableColumn>
    <tableColumn id="14" xr3:uid="{9FB4C196-411E-4974-BEAA-AA98C95F7FAB}" name="dLez10" dataDxfId="15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type]),0),MATCH(DBtendonC[[#Headers],[dLez10]],PTprofC[#Headers],0))</calculatedColumnFormula>
    </tableColumn>
    <tableColumn id="19" xr3:uid="{427A3E50-967D-4A18-8396-56C388EDD85F}" name="dLez11" dataDxfId="15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type]),0),MATCH(DBtendonC[[#Headers],[dLez11]],PTprofC[#Headers],0))</calculatedColumnFormula>
    </tableColumn>
    <tableColumn id="20" xr3:uid="{345B503B-3589-4C22-85B9-84789B7D32F8}" name="dLez12" dataDxfId="15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type]),0),MATCH(DBtendonC[[#Headers],[dLez12]],PTprofC[#Headers],0))</calculatedColumnFormula>
    </tableColumn>
    <tableColumn id="21" xr3:uid="{3CD3D1D2-5DFA-4266-AEBD-89729EC24D55}" name="ey1" dataDxfId="15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type]),0),MATCH(DBtendonC[[#Headers],[ey1]],PTprofC[#Headers],0))</calculatedColumnFormula>
    </tableColumn>
    <tableColumn id="22" xr3:uid="{EAAEF4E1-008A-413C-B4EE-99CF6636D7A5}" name="ey2" dataDxfId="14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type]),0),MATCH(DBtendonC[[#Headers],[ey2]],PTprofC[#Headers],0))</calculatedColumnFormula>
    </tableColumn>
    <tableColumn id="23" xr3:uid="{86EBF14F-FEB0-4364-BE34-D8D69C99B310}" name="ey3" dataDxfId="14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type]),0),MATCH(DBtendonC[[#Headers],[ey3]],PTprofC[#Headers],0))</calculatedColumnFormula>
    </tableColumn>
    <tableColumn id="24" xr3:uid="{6437F059-4AC0-4FA3-90F5-DFE5225EB0B2}" name="ey4" dataDxfId="14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type]),0),MATCH(DBtendonC[[#Headers],[ey4]],PTprofC[#Headers],0))</calculatedColumnFormula>
    </tableColumn>
    <tableColumn id="25" xr3:uid="{855B192C-2B10-44C1-B0A9-14BFA33E3DBF}" name="ey5" dataDxfId="14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type]),0),MATCH(DBtendonC[[#Headers],[ey5]],PTprofC[#Headers],0))</calculatedColumnFormula>
    </tableColumn>
    <tableColumn id="26" xr3:uid="{5E91E70D-07BA-4FA4-B275-801581493A43}" name="ey6" dataDxfId="14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type]),0),MATCH(DBtendonC[[#Headers],[ey6]],PTprofC[#Headers],0))</calculatedColumnFormula>
    </tableColumn>
    <tableColumn id="27" xr3:uid="{D242F723-2BB1-4B71-8E2B-F4791F2BAE94}" name="ey7" dataDxfId="14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type]),0),MATCH(DBtendonC[[#Headers],[ey7]],PTprofC[#Headers],0))</calculatedColumnFormula>
    </tableColumn>
    <tableColumn id="28" xr3:uid="{E369BD89-AC4C-431C-A03B-9504D70372FF}" name="ey8" dataDxfId="14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type]),0),MATCH(DBtendonC[[#Headers],[ey8]],PTprofC[#Headers],0))</calculatedColumnFormula>
    </tableColumn>
    <tableColumn id="29" xr3:uid="{8EE76328-90D5-4AD2-A37A-AC6F0A1B27AD}" name="ey9" dataDxfId="14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type]),0),MATCH(DBtendonC[[#Headers],[ey9]],PTprofC[#Headers],0))</calculatedColumnFormula>
    </tableColumn>
    <tableColumn id="30" xr3:uid="{54FF703B-28B7-48BF-8D0E-0D464CE4F888}" name="ey10" dataDxfId="14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type]),0),MATCH(DBtendonC[[#Headers],[ey10]],PTprofC[#Headers],0))</calculatedColumnFormula>
    </tableColumn>
    <tableColumn id="31" xr3:uid="{B3429C76-DADB-4634-92BE-FD9FEA736583}" name="ey11" dataDxfId="14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type]),0),MATCH(DBtendonC[[#Headers],[ey11]],PTprofC[#Headers],0))</calculatedColumnFormula>
    </tableColumn>
    <tableColumn id="32" xr3:uid="{E638AEE8-82F7-4DD0-9E63-98DE7EFDAFB8}" name="ey12" dataDxfId="13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type]),0),MATCH(DBtendonC[[#Headers],[ey12]],PTprofC[#Headers],0))</calculatedColumnFormula>
    </tableColumn>
    <tableColumn id="33" xr3:uid="{F0F888BF-ED8A-4274-8871-F67688A87462}" name="ez1" dataDxfId="13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type]),0),MATCH(DBtendonC[[#Headers],[ez1]],PTprofC[#Headers],0))</calculatedColumnFormula>
    </tableColumn>
    <tableColumn id="34" xr3:uid="{33627EB0-4525-47CD-B60C-8F652B28CCD4}" name="ez2" dataDxfId="13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type]),0),MATCH(DBtendonC[[#Headers],[ez2]],PTprofC[#Headers],0))</calculatedColumnFormula>
    </tableColumn>
    <tableColumn id="35" xr3:uid="{341626E9-B3F6-422A-9034-7FD1CE3D8DD9}" name="ez3" dataDxfId="136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type]),0),MATCH(DBtendonC[[#Headers],[ez3]],PTprofC[#Headers],0))</calculatedColumnFormula>
    </tableColumn>
    <tableColumn id="36" xr3:uid="{8F5D43BD-1C9D-4D84-821B-8237DFDE12D6}" name="ez4" dataDxfId="135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type]),0),MATCH(DBtendonC[[#Headers],[ez4]],PTprofC[#Headers],0))</calculatedColumnFormula>
    </tableColumn>
    <tableColumn id="37" xr3:uid="{C40A4032-6B59-414F-AFE7-A763567F40AF}" name="ez5" dataDxfId="134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type]),0),MATCH(DBtendonC[[#Headers],[ez5]],PTprofC[#Headers],0))</calculatedColumnFormula>
    </tableColumn>
    <tableColumn id="38" xr3:uid="{856278A3-26E1-47CF-8A34-CA33D390F34B}" name="ez6" dataDxfId="133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type]),0),MATCH(DBtendonC[[#Headers],[ez6]],PTprofC[#Headers],0))</calculatedColumnFormula>
    </tableColumn>
    <tableColumn id="39" xr3:uid="{61DF8255-782C-4F8D-8BE7-B6CA7743F33D}" name="ez7" dataDxfId="132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type]),0),MATCH(DBtendonC[[#Headers],[ez7]],PTprofC[#Headers],0))</calculatedColumnFormula>
    </tableColumn>
    <tableColumn id="40" xr3:uid="{3CDF6D38-47D2-4E17-8E9C-69AC7D1FBEF4}" name="ez8" dataDxfId="131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type]),0),MATCH(DBtendonC[[#Headers],[ez8]],PTprofC[#Headers],0))</calculatedColumnFormula>
    </tableColumn>
    <tableColumn id="41" xr3:uid="{FB3C2253-DD3B-4C6C-8E47-7D3CE8ADF72F}" name="ez9" dataDxfId="130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type]),0),MATCH(DBtendonC[[#Headers],[ez9]],PTprofC[#Headers],0))</calculatedColumnFormula>
    </tableColumn>
    <tableColumn id="42" xr3:uid="{1078D06D-3DB1-4BC6-A089-57CF61AC0BCC}" name="ez10" dataDxfId="129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type]),0),MATCH(DBtendonC[[#Headers],[ez10]],PTprofC[#Headers],0))</calculatedColumnFormula>
    </tableColumn>
    <tableColumn id="43" xr3:uid="{B56B6F2B-F903-4611-91A4-9014951C25FB}" name="ez11" dataDxfId="128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type]),0),MATCH(DBtendonC[[#Headers],[ez11]],PTprofC[#Headers],0))</calculatedColumnFormula>
    </tableColumn>
    <tableColumn id="44" xr3:uid="{CE5041F9-3D4E-47C4-A0EB-26A32C9B4757}" name="ez12" dataDxfId="127">
      <calculatedColumnFormula array="1">INDEX(PTprofC[],MATCH(1,(LEFT(DBtendonC[[#This Row],[pier type start]],1)=PTprofC[Ptyp_s])*(LEFT(DBtendonC[[#This Row],[pier type end]],1)=PTprofC[Ptyp_e])*(DBtendonC[[#This Row],[PT type]]=PTprofC[PT type]),0),MATCH(DBtendonC[[#Headers],[ez12]],PTprofC[#Headers],0))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23C47-8F0F-4CBC-97B6-EF6433A825E6}" name="mat" displayName="mat" ref="B2:C6" totalsRowShown="0">
  <autoFilter ref="B2:C6" xr:uid="{CEE2D0BD-814A-4901-8C2A-F673A0D6184E}"/>
  <tableColumns count="2">
    <tableColumn id="1" xr3:uid="{F8ED78AD-C40A-4D71-BDD6-FD3894EDC13C}" name="No"/>
    <tableColumn id="2" xr3:uid="{D2C13A98-C6F1-49B2-9B19-AB8CD56162EB}" name="Materia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0449A6-34EC-4AE7-8EB3-9A6513AFB187}" name="sec" displayName="sec" ref="E2:F27" totalsRowShown="0">
  <autoFilter ref="E2:F27" xr:uid="{B0C8B73B-C338-4677-975A-D6EE694E4A4D}"/>
  <tableColumns count="2">
    <tableColumn id="1" xr3:uid="{B587B1FE-56D9-4B44-B760-41EBF64421B2}" name="No"/>
    <tableColumn id="2" xr3:uid="{6C806796-4C42-4D33-8290-CE10C9B05858}" name="sec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3F692-907D-45D8-A9AE-D9945411F29C}" name="PTprofA" displayName="PTprofA" ref="H2:AT14" totalsRowShown="0" headerRowDxfId="126" dataDxfId="125">
  <autoFilter ref="H2:AT14" xr:uid="{CE10E60A-6F35-4DF0-B523-BCA50FACC2EB}"/>
  <tableColumns count="39">
    <tableColumn id="1" xr3:uid="{96804B39-1D3E-4465-8F80-1BA8D28A4459}" name="Ptyp_s" dataDxfId="124"/>
    <tableColumn id="2" xr3:uid="{F7CC03A2-A359-447D-ACE6-F61772794C51}" name="Ptyp_e" dataDxfId="123"/>
    <tableColumn id="43" xr3:uid="{9BE79651-2BBC-4988-BD2A-1EF826711728}" name="PT type" dataDxfId="122"/>
    <tableColumn id="13" xr3:uid="{CE17173D-242D-4D0D-9331-0069710968E5}" name="dLez1" dataDxfId="121"/>
    <tableColumn id="14" xr3:uid="{352EB6AE-CB75-431E-BE77-F5EC417C1153}" name="dLez2" dataDxfId="120"/>
    <tableColumn id="15" xr3:uid="{F0FBD6C6-04A4-4D4D-869C-55AF7632CF11}" name="dLez3" dataDxfId="119"/>
    <tableColumn id="16" xr3:uid="{1FEB833B-FD98-4772-A979-AADE3455F8A1}" name="dLez4" dataDxfId="118"/>
    <tableColumn id="17" xr3:uid="{52DBFE4C-E2DB-46F5-A20A-4FF0886CA3FB}" name="dLez5" dataDxfId="117"/>
    <tableColumn id="37" xr3:uid="{612F49EC-E822-4468-9669-A8BA8483AE7A}" name="dLez6" dataDxfId="116"/>
    <tableColumn id="38" xr3:uid="{7B6F2622-7429-478F-B70B-70E377F0326A}" name="dLez7" dataDxfId="115"/>
    <tableColumn id="18" xr3:uid="{EFB8EA3C-45AE-4BEC-A55F-3DCB98905149}" name="dLez8" dataDxfId="114"/>
    <tableColumn id="19" xr3:uid="{A11465F1-31A8-4685-84DC-5DC9062C4864}" name="dLez9" dataDxfId="113"/>
    <tableColumn id="20" xr3:uid="{9F8873E8-BBB9-48F4-A0E3-BBE0CAF24E74}" name="dLez10" dataDxfId="112"/>
    <tableColumn id="21" xr3:uid="{4F414859-1B04-43A1-8D03-49EAB613E5A2}" name="dLez11" dataDxfId="111"/>
    <tableColumn id="22" xr3:uid="{544063BC-5D44-49C3-9213-BBB2FF2C150A}" name="dLez12" dataDxfId="110"/>
    <tableColumn id="23" xr3:uid="{E2F474BD-645E-49E7-9BEC-659CAA378C6E}" name="ey1" dataDxfId="109"/>
    <tableColumn id="24" xr3:uid="{5F77F2F2-2B1C-4480-A2D2-22007C9C2928}" name="ey2" dataDxfId="108"/>
    <tableColumn id="25" xr3:uid="{AC3D6020-25DD-436F-A478-9DA2F3BD13FA}" name="ey3" dataDxfId="107"/>
    <tableColumn id="26" xr3:uid="{785F8F80-4FF6-44BF-9FBE-7B0E4E6FBE61}" name="ey4" dataDxfId="106"/>
    <tableColumn id="31" xr3:uid="{8709D02E-3719-44F3-A303-89500A713E65}" name="ey5" dataDxfId="105"/>
    <tableColumn id="32" xr3:uid="{F3F9B365-BA50-4E72-B236-70122DD409B5}" name="ey6" dataDxfId="104"/>
    <tableColumn id="33" xr3:uid="{F9F8732C-B32B-4BD9-A978-8C254AC6A204}" name="ey7" dataDxfId="103"/>
    <tableColumn id="34" xr3:uid="{3F71720D-B2DD-4A46-AA2F-F754C41E5A3A}" name="ey8" dataDxfId="102"/>
    <tableColumn id="35" xr3:uid="{BD69DB4E-E658-40D8-A926-17F52C034874}" name="ey9" dataDxfId="101"/>
    <tableColumn id="36" xr3:uid="{3AC5002C-F63F-4B7B-A215-C3B6EDE1C678}" name="ey10" dataDxfId="100"/>
    <tableColumn id="39" xr3:uid="{D38ED3D1-1BF4-446E-A198-16C7101D8330}" name="ey11" dataDxfId="99"/>
    <tableColumn id="40" xr3:uid="{AED14997-2531-432E-91B4-740C2BDE0E7C}" name="ey12" dataDxfId="98"/>
    <tableColumn id="3" xr3:uid="{BE9CA63E-8F9D-4ACE-82DC-F4FDEF1BDBE1}" name="ez1" dataDxfId="97"/>
    <tableColumn id="4" xr3:uid="{792F49FD-D3C8-4AF8-81BA-9158BCB796EC}" name="ez2" dataDxfId="96"/>
    <tableColumn id="5" xr3:uid="{39D5B6B5-A080-47EE-A1D1-62ABEAE96FA7}" name="ez3" dataDxfId="95"/>
    <tableColumn id="6" xr3:uid="{8BA15695-2633-4B9C-8965-D6DD838E819E}" name="ez4" dataDxfId="94"/>
    <tableColumn id="7" xr3:uid="{D332B0E6-0385-4E14-ADB2-D5454F632FD9}" name="ez5" dataDxfId="93"/>
    <tableColumn id="41" xr3:uid="{9A90C0A9-97C2-4B8D-A7AE-3646AB382D9F}" name="ez6" dataDxfId="92"/>
    <tableColumn id="42" xr3:uid="{15C36CBC-1324-449E-B884-B87A5BCC966E}" name="ez7" dataDxfId="91"/>
    <tableColumn id="8" xr3:uid="{CC85B6CB-BC83-4C7A-87AA-C3F013923742}" name="ez8" dataDxfId="90"/>
    <tableColumn id="9" xr3:uid="{B54D089D-3382-4B00-87D5-0E83694936F8}" name="ez9" dataDxfId="89"/>
    <tableColumn id="10" xr3:uid="{C732C369-A735-476D-9D38-DEE8712D3F7F}" name="ez10" dataDxfId="88"/>
    <tableColumn id="11" xr3:uid="{47B13914-AAA0-4568-85F8-987DA2725625}" name="ez11" dataDxfId="87"/>
    <tableColumn id="12" xr3:uid="{3152FC18-DE27-4212-B8BE-5B4ECC4B119C}" name="ez12" dataDxfId="8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F8A234E-A52F-4DB0-93F8-630C9C86A9A5}" name="PTprofB" displayName="PTprofB" ref="H16:AT22" totalsRowShown="0" headerRowDxfId="85" dataDxfId="84">
  <autoFilter ref="H16:AT22" xr:uid="{78DF5DD3-DEF6-4782-B9E3-2730B99C4D92}"/>
  <tableColumns count="39">
    <tableColumn id="1" xr3:uid="{3B61CB05-49FB-4E7E-A9E9-4B4C7BBE1626}" name="Ptyp_s" dataDxfId="83"/>
    <tableColumn id="2" xr3:uid="{AD43C812-8605-4831-8F23-C18880F26A1D}" name="Ptyp_e" dataDxfId="82"/>
    <tableColumn id="3" xr3:uid="{ED5EB3E6-53B4-4E9E-834C-EDE185A43765}" name="PT type" dataDxfId="81"/>
    <tableColumn id="4" xr3:uid="{C8ACEB05-252F-4062-AEC3-25727EC556BC}" name="dLez1" dataDxfId="80"/>
    <tableColumn id="5" xr3:uid="{FFECFB99-A82B-4DDB-A696-044A47062271}" name="dLez2" dataDxfId="79"/>
    <tableColumn id="6" xr3:uid="{CF9FB9AB-A689-4279-B98A-CA7BD41C684B}" name="dLez3" dataDxfId="78"/>
    <tableColumn id="7" xr3:uid="{CB0A5061-3CE4-430F-9F5C-CA24366E2CCC}" name="dLez4" dataDxfId="77"/>
    <tableColumn id="8" xr3:uid="{0BA877B0-C5B2-40C6-91C0-3513FF92406F}" name="dLez5" dataDxfId="76"/>
    <tableColumn id="9" xr3:uid="{90DDCE79-A427-417F-B80C-E84BD40735F5}" name="dLez6" dataDxfId="75"/>
    <tableColumn id="10" xr3:uid="{087E916D-E73F-4CEC-8E18-69D929452090}" name="dLez7" dataDxfId="74"/>
    <tableColumn id="11" xr3:uid="{25740901-3EE7-4447-84B3-A1AF359DB0D0}" name="dLez8" dataDxfId="73"/>
    <tableColumn id="12" xr3:uid="{BCD8FE96-18CF-4DE3-998B-0E5EB5C8831D}" name="dLez9" dataDxfId="72"/>
    <tableColumn id="13" xr3:uid="{8A330135-4DCF-4132-8B5B-B74B0A3037BF}" name="dLez10" dataDxfId="71"/>
    <tableColumn id="14" xr3:uid="{EC7B4CFA-0A0C-4F37-AA41-D3C7BC1120F8}" name="dLez11" dataDxfId="70"/>
    <tableColumn id="15" xr3:uid="{9BB987EB-D2DB-4B63-BA6B-57E7335A8D5D}" name="dLez12" dataDxfId="69"/>
    <tableColumn id="16" xr3:uid="{A24EF61D-DDD3-4E6A-85A1-1537B0B9C859}" name="ey1" dataDxfId="68"/>
    <tableColumn id="17" xr3:uid="{CF2567EC-C4C8-4191-A2A6-EEFCA6E9CDD6}" name="ey2" dataDxfId="67"/>
    <tableColumn id="18" xr3:uid="{34591FA5-B020-461D-BBD5-AA16967C631B}" name="ey3" dataDxfId="66"/>
    <tableColumn id="19" xr3:uid="{BFE62D8B-CB8C-4018-ADBA-43A75A403424}" name="ey4" dataDxfId="65"/>
    <tableColumn id="20" xr3:uid="{B0798A18-94BB-4C2A-8FAE-1FB6A7EAF4E1}" name="ey5" dataDxfId="64"/>
    <tableColumn id="21" xr3:uid="{40122CE7-F36D-48D3-89B7-C3DB752FEA80}" name="ey6" dataDxfId="63"/>
    <tableColumn id="22" xr3:uid="{EEF76745-B277-4F36-AE65-381D36A5635E}" name="ey7" dataDxfId="62"/>
    <tableColumn id="23" xr3:uid="{4590E24D-945A-497B-BE2C-BE2ED62964B3}" name="ey8" dataDxfId="61"/>
    <tableColumn id="24" xr3:uid="{C7E700CD-C70F-41D4-A744-1806A5D59564}" name="ey9" dataDxfId="60"/>
    <tableColumn id="25" xr3:uid="{67D2F965-2016-49D5-BD29-1607A65205E2}" name="ey10" dataDxfId="59"/>
    <tableColumn id="26" xr3:uid="{5057CD24-99BB-4690-B2EF-6B29277D45B8}" name="ey11" dataDxfId="58"/>
    <tableColumn id="27" xr3:uid="{8C7224CE-D24C-4C0C-B92E-E5C75D73B9D3}" name="ey12" dataDxfId="57"/>
    <tableColumn id="28" xr3:uid="{013A0E31-BEAD-449A-B6D5-9698875D690F}" name="ez1" dataDxfId="56"/>
    <tableColumn id="29" xr3:uid="{13FEBF0C-B6B4-467C-8296-53DE4B86BAB1}" name="ez2" dataDxfId="55"/>
    <tableColumn id="30" xr3:uid="{86900EFC-5EC8-4095-B77B-42A22041FEA4}" name="ez3" dataDxfId="54"/>
    <tableColumn id="31" xr3:uid="{938520AE-1A77-471E-B34E-9E60A8022077}" name="ez4" dataDxfId="53"/>
    <tableColumn id="32" xr3:uid="{D9E5A65C-4F9F-4F31-83C6-39B01530AB0E}" name="ez5" dataDxfId="52"/>
    <tableColumn id="33" xr3:uid="{2BEA984A-3A9F-481D-A111-C25C72010CFA}" name="ez6" dataDxfId="51"/>
    <tableColumn id="34" xr3:uid="{A4BF6B25-78E2-41E0-A7AE-649C8F85F79B}" name="ez7" dataDxfId="50"/>
    <tableColumn id="35" xr3:uid="{6FF5A9D9-5995-4FF1-BA1A-E4FC4F7CCCDB}" name="ez8" dataDxfId="49"/>
    <tableColumn id="36" xr3:uid="{FABF2F97-DEB8-4929-BA79-0BCFBBA6B95F}" name="ez9" dataDxfId="48"/>
    <tableColumn id="37" xr3:uid="{159F4439-6362-4375-AC7F-B35DE8CD6F2A}" name="ez10" dataDxfId="47"/>
    <tableColumn id="38" xr3:uid="{EABD4FFF-87D0-4467-80D6-9DBAE83033A7}" name="ez11" dataDxfId="46"/>
    <tableColumn id="39" xr3:uid="{8F2E28E0-1FAF-4A0D-9090-FBB6E41A06E9}" name="ez12" dataDxfId="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AE217F-B624-458A-8956-BF06823E825D}" name="PTprofC" displayName="PTprofC" ref="H25:AT31" totalsRowShown="0" headerRowDxfId="44" dataDxfId="43">
  <autoFilter ref="H25:AT31" xr:uid="{62EA2E5C-1C95-4A07-AE7B-5833FE9DA04E}"/>
  <tableColumns count="39">
    <tableColumn id="1" xr3:uid="{277DDC95-B3B4-4507-8B8A-BB9170D295EE}" name="Ptyp_s" dataDxfId="42"/>
    <tableColumn id="2" xr3:uid="{EFC8304E-C291-4AF0-9077-CEADBA6CF497}" name="Ptyp_e" dataDxfId="41"/>
    <tableColumn id="3" xr3:uid="{A97232EC-612B-45D7-934C-1C28E4F73FA4}" name="PT type" dataDxfId="40"/>
    <tableColumn id="4" xr3:uid="{5F09EE86-1FD0-4AF9-BCCA-F816F112FAB4}" name="dLez1" dataDxfId="39"/>
    <tableColumn id="5" xr3:uid="{08F3E66F-B8BA-402B-8EB4-C9F7FE3D753E}" name="dLez2" dataDxfId="38"/>
    <tableColumn id="6" xr3:uid="{7A259303-1913-40FE-954A-7D6F400215D7}" name="dLez3" dataDxfId="37"/>
    <tableColumn id="7" xr3:uid="{D90F65E4-1175-461A-AC8A-566A26110B72}" name="dLez4" dataDxfId="36"/>
    <tableColumn id="8" xr3:uid="{212BB878-EB2F-4839-AA11-8823D1D554F9}" name="dLez5" dataDxfId="35"/>
    <tableColumn id="9" xr3:uid="{3F07D0FD-225F-48D7-A75E-A10C5564A00B}" name="dLez6" dataDxfId="34"/>
    <tableColumn id="10" xr3:uid="{B95F969B-AE6D-4106-A72B-84B4FE89E650}" name="dLez7" dataDxfId="33"/>
    <tableColumn id="11" xr3:uid="{E354C180-F577-4044-AAD4-D8FB98D31FD3}" name="dLez8" dataDxfId="32"/>
    <tableColumn id="12" xr3:uid="{BB679D31-65A9-47C9-8A51-C28FCC6F65D1}" name="dLez9" dataDxfId="31"/>
    <tableColumn id="13" xr3:uid="{16FC1DC4-EA25-4272-9F74-E9DC0998815C}" name="dLez10" dataDxfId="30"/>
    <tableColumn id="14" xr3:uid="{BC4C5C0E-5440-4FD9-9578-2CA9BCA507C1}" name="dLez11" dataDxfId="29"/>
    <tableColumn id="15" xr3:uid="{8C9B450A-D4DD-4435-8287-57F065A9B71E}" name="dLez12" dataDxfId="28"/>
    <tableColumn id="16" xr3:uid="{4C58D719-50C2-4188-8069-774150CB0877}" name="ey1" dataDxfId="27"/>
    <tableColumn id="17" xr3:uid="{1FF9961F-5F20-4045-B8AE-632DF1B580DC}" name="ey2" dataDxfId="26"/>
    <tableColumn id="18" xr3:uid="{F9B24699-1CEF-416D-A385-2F8DB264994E}" name="ey3" dataDxfId="25"/>
    <tableColumn id="19" xr3:uid="{C3A3DF96-837C-4E02-92CA-29D58B0EE388}" name="ey4" dataDxfId="24"/>
    <tableColumn id="20" xr3:uid="{F31C8C7B-2D9D-43EC-A748-ADC40FF9EB94}" name="ey5" dataDxfId="23"/>
    <tableColumn id="21" xr3:uid="{79210FFF-7D9C-4FD0-B76B-CF894D2C3FF8}" name="ey6" dataDxfId="22"/>
    <tableColumn id="22" xr3:uid="{9EC03AD2-E575-46B9-8A59-FAA5A3B15C90}" name="ey7" dataDxfId="21"/>
    <tableColumn id="23" xr3:uid="{4B0E735B-3AD0-41E0-B1C7-86A5560C841A}" name="ey8" dataDxfId="20"/>
    <tableColumn id="24" xr3:uid="{F264B3AC-D3B3-4665-A127-DFEDC28ECA1B}" name="ey9" dataDxfId="19"/>
    <tableColumn id="25" xr3:uid="{C0FDE415-FBAD-447B-85B8-FCC8EFED5DDD}" name="ey10" dataDxfId="18"/>
    <tableColumn id="26" xr3:uid="{B0074D7D-3B58-4616-8108-111A8993AED8}" name="ey11" dataDxfId="17"/>
    <tableColumn id="27" xr3:uid="{40E7D13E-FFB5-4F87-B4B0-5A9DB989DA8B}" name="ey12" dataDxfId="16"/>
    <tableColumn id="28" xr3:uid="{C97151EC-87D0-4367-8A75-2025E6494DC7}" name="ez1" dataDxfId="15"/>
    <tableColumn id="29" xr3:uid="{541E17F7-50F4-4307-9D50-B9E057BD7532}" name="ez2" dataDxfId="14"/>
    <tableColumn id="30" xr3:uid="{083F0440-9822-4414-AFD3-EB61915D220B}" name="ez3" dataDxfId="13"/>
    <tableColumn id="31" xr3:uid="{B99A133F-7662-49E7-A5C1-41EB7ACF0A1B}" name="ez4" dataDxfId="12"/>
    <tableColumn id="32" xr3:uid="{6F859D8F-686E-461C-A880-A7F72EDA2CEC}" name="ez5" dataDxfId="11"/>
    <tableColumn id="33" xr3:uid="{8BFE1D29-926C-40EA-B23E-60D527E142B9}" name="ez6" dataDxfId="10"/>
    <tableColumn id="34" xr3:uid="{CBEB918A-3E95-4166-881F-467C282888E4}" name="ez7" dataDxfId="9"/>
    <tableColumn id="35" xr3:uid="{E1368E9B-3BF3-48EB-AA72-9D83EB851788}" name="ez8" dataDxfId="8"/>
    <tableColumn id="36" xr3:uid="{932B9382-0DCE-4686-837B-3A82E2795AFE}" name="ez9" dataDxfId="7"/>
    <tableColumn id="37" xr3:uid="{59B3B040-71F9-488E-8E38-E0823893E0E0}" name="ez10" dataDxfId="6"/>
    <tableColumn id="38" xr3:uid="{7DA40436-A696-461E-A554-6C685A43EB05}" name="ez11" dataDxfId="5"/>
    <tableColumn id="39" xr3:uid="{04C99ABE-F7C7-4F28-9D5A-28A3A574F094}" name="ez12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97DB-73F4-4BF9-B571-45464DF7E5C4}">
  <dimension ref="A1:H19"/>
  <sheetViews>
    <sheetView tabSelected="1" workbookViewId="0">
      <selection activeCell="A2" sqref="A2:H19"/>
    </sheetView>
  </sheetViews>
  <sheetFormatPr defaultRowHeight="11.25"/>
  <cols>
    <col min="1" max="1" width="10.625" bestFit="1" customWidth="1"/>
    <col min="2" max="2" width="11.125" customWidth="1"/>
    <col min="4" max="4" width="12.75" customWidth="1"/>
    <col min="7" max="7" width="16.5" bestFit="1" customWidth="1"/>
    <col min="8" max="8" width="31" bestFit="1" customWidth="1"/>
    <col min="10" max="10" width="28.875" bestFit="1" customWidth="1"/>
  </cols>
  <sheetData>
    <row r="1" spans="1:8">
      <c r="A1" s="2" t="s">
        <v>54</v>
      </c>
      <c r="B1" s="2" t="s">
        <v>1</v>
      </c>
      <c r="C1" t="s">
        <v>50</v>
      </c>
      <c r="D1" t="s">
        <v>51</v>
      </c>
      <c r="E1" t="s">
        <v>52</v>
      </c>
      <c r="F1" t="s">
        <v>57</v>
      </c>
      <c r="G1" t="s">
        <v>139</v>
      </c>
      <c r="H1" t="s">
        <v>161</v>
      </c>
    </row>
    <row r="2" spans="1:8">
      <c r="A2" s="23" t="s">
        <v>184</v>
      </c>
      <c r="B2" s="24">
        <v>0</v>
      </c>
      <c r="C2" t="s">
        <v>190</v>
      </c>
      <c r="D2" s="4">
        <f>ROUND(B3-[1]!alignment[[#This Row],[Station PK]],3)</f>
        <v>16.670000000000002</v>
      </c>
    </row>
    <row r="3" spans="1:8">
      <c r="A3" s="23" t="s">
        <v>159</v>
      </c>
      <c r="B3" s="24">
        <v>16.670000000000002</v>
      </c>
      <c r="C3" t="s">
        <v>55</v>
      </c>
      <c r="D3" s="4">
        <f>ROUND(B4-[1]!alignment[[#This Row],[Station PK]],3)</f>
        <v>44</v>
      </c>
      <c r="E3">
        <v>350</v>
      </c>
      <c r="F3">
        <v>-1</v>
      </c>
      <c r="G3">
        <v>1</v>
      </c>
      <c r="H3">
        <v>80</v>
      </c>
    </row>
    <row r="4" spans="1:8">
      <c r="A4" s="23" t="s">
        <v>158</v>
      </c>
      <c r="B4" s="24">
        <v>60.670099999999998</v>
      </c>
      <c r="C4" t="s">
        <v>56</v>
      </c>
      <c r="D4" s="4">
        <f>ROUND(B5-[1]!alignment[[#This Row],[Station PK]],3)</f>
        <v>18.056999999999999</v>
      </c>
      <c r="E4">
        <v>350</v>
      </c>
      <c r="F4">
        <v>-1</v>
      </c>
      <c r="G4">
        <v>1</v>
      </c>
      <c r="H4">
        <v>80</v>
      </c>
    </row>
    <row r="5" spans="1:8">
      <c r="A5" s="23" t="s">
        <v>157</v>
      </c>
      <c r="B5" s="24">
        <v>78.726900000000001</v>
      </c>
      <c r="C5" t="s">
        <v>58</v>
      </c>
      <c r="D5" s="4">
        <f>ROUND(B6-[1]!alignment[[#This Row],[Station PK]],3)</f>
        <v>56</v>
      </c>
      <c r="E5">
        <v>350</v>
      </c>
      <c r="F5">
        <v>-1</v>
      </c>
      <c r="G5">
        <v>1</v>
      </c>
      <c r="H5">
        <v>80</v>
      </c>
    </row>
    <row r="6" spans="1:8">
      <c r="A6" s="23" t="s">
        <v>156</v>
      </c>
      <c r="B6" s="24">
        <v>134.7269</v>
      </c>
      <c r="C6" t="s">
        <v>190</v>
      </c>
      <c r="D6" s="4">
        <f>ROUND(B7-[1]!alignment[[#This Row],[Station PK]],3)</f>
        <v>178.24700000000001</v>
      </c>
    </row>
    <row r="7" spans="1:8">
      <c r="A7" s="23" t="s">
        <v>191</v>
      </c>
      <c r="B7" s="63">
        <v>312.97430000000003</v>
      </c>
      <c r="C7" t="s">
        <v>55</v>
      </c>
      <c r="D7" s="4">
        <f>ROUND(B8-[1]!alignment[[#This Row],[Station PK]],3)</f>
        <v>60</v>
      </c>
      <c r="E7">
        <v>500</v>
      </c>
      <c r="F7">
        <v>-1</v>
      </c>
      <c r="G7">
        <v>2</v>
      </c>
      <c r="H7">
        <v>75</v>
      </c>
    </row>
    <row r="8" spans="1:8">
      <c r="A8" s="23" t="s">
        <v>192</v>
      </c>
      <c r="B8" s="24">
        <v>372.97430000000003</v>
      </c>
      <c r="C8" t="s">
        <v>56</v>
      </c>
      <c r="D8" s="4">
        <f>ROUND(B9-[1]!alignment[[#This Row],[Station PK]],3)</f>
        <v>38.567</v>
      </c>
      <c r="E8">
        <v>500</v>
      </c>
      <c r="F8">
        <v>-1</v>
      </c>
      <c r="G8">
        <v>2</v>
      </c>
      <c r="H8">
        <v>75</v>
      </c>
    </row>
    <row r="9" spans="1:8">
      <c r="A9" s="23" t="s">
        <v>193</v>
      </c>
      <c r="B9" s="24">
        <v>411.54090000000002</v>
      </c>
      <c r="C9" t="s">
        <v>58</v>
      </c>
      <c r="D9" s="4">
        <f>ROUND(B10-[1]!alignment[[#This Row],[Station PK]],3)</f>
        <v>60</v>
      </c>
      <c r="E9">
        <v>500</v>
      </c>
      <c r="F9">
        <v>-1</v>
      </c>
      <c r="G9">
        <v>2</v>
      </c>
      <c r="H9">
        <v>75</v>
      </c>
    </row>
    <row r="10" spans="1:8">
      <c r="A10" s="23" t="s">
        <v>194</v>
      </c>
      <c r="B10" s="24">
        <v>471.54090000000002</v>
      </c>
      <c r="C10" t="s">
        <v>190</v>
      </c>
      <c r="D10" s="4">
        <f>ROUND(B11-[1]!alignment[[#This Row],[Station PK]],3)</f>
        <v>121.967</v>
      </c>
    </row>
    <row r="11" spans="1:8">
      <c r="A11" s="23" t="s">
        <v>195</v>
      </c>
      <c r="B11" s="24">
        <v>593.50789999999995</v>
      </c>
      <c r="C11" t="s">
        <v>55</v>
      </c>
      <c r="D11" s="4">
        <f>ROUND(B12-[1]!alignment[[#This Row],[Station PK]],3)</f>
        <v>73</v>
      </c>
      <c r="E11">
        <v>163</v>
      </c>
      <c r="F11">
        <v>1</v>
      </c>
      <c r="G11">
        <v>3</v>
      </c>
      <c r="H11">
        <v>55</v>
      </c>
    </row>
    <row r="12" spans="1:8">
      <c r="A12" s="64" t="s">
        <v>196</v>
      </c>
      <c r="B12" s="24">
        <v>666.5077</v>
      </c>
      <c r="C12" t="s">
        <v>56</v>
      </c>
      <c r="D12" s="4">
        <f>ROUND(B13-[1]!alignment[[#This Row],[Station PK]],3)</f>
        <v>122.738</v>
      </c>
      <c r="E12">
        <v>163</v>
      </c>
      <c r="F12">
        <v>1</v>
      </c>
      <c r="G12">
        <v>3</v>
      </c>
      <c r="H12">
        <v>55</v>
      </c>
    </row>
    <row r="13" spans="1:8">
      <c r="A13" s="64" t="s">
        <v>197</v>
      </c>
      <c r="B13" s="65">
        <v>789.24540000000002</v>
      </c>
      <c r="C13" t="s">
        <v>58</v>
      </c>
      <c r="D13" s="4">
        <f>ROUND(B14-[1]!alignment[[#This Row],[Station PK]],3)</f>
        <v>73</v>
      </c>
      <c r="E13">
        <v>163</v>
      </c>
      <c r="F13">
        <v>1</v>
      </c>
      <c r="G13">
        <v>3</v>
      </c>
      <c r="H13">
        <v>55</v>
      </c>
    </row>
    <row r="14" spans="1:8">
      <c r="A14" s="64" t="s">
        <v>198</v>
      </c>
      <c r="B14" s="65">
        <v>862.24530000000004</v>
      </c>
      <c r="C14" t="s">
        <v>190</v>
      </c>
      <c r="D14" s="4">
        <f>ROUND(B15-[1]!alignment[[#This Row],[Station PK]],3)</f>
        <v>70.953999999999994</v>
      </c>
    </row>
    <row r="15" spans="1:8">
      <c r="A15" s="64" t="s">
        <v>199</v>
      </c>
      <c r="B15" s="65">
        <v>933.19899999999996</v>
      </c>
      <c r="C15" t="s">
        <v>55</v>
      </c>
      <c r="D15" s="4">
        <f>ROUND(B16-[1]!alignment[[#This Row],[Station PK]],3)</f>
        <v>115</v>
      </c>
      <c r="E15">
        <v>175</v>
      </c>
      <c r="F15">
        <v>-1</v>
      </c>
      <c r="G15">
        <v>4</v>
      </c>
      <c r="H15">
        <v>58.5</v>
      </c>
    </row>
    <row r="16" spans="1:8">
      <c r="A16" s="23" t="s">
        <v>200</v>
      </c>
      <c r="B16" s="24">
        <v>1048.1987999999999</v>
      </c>
      <c r="C16" t="s">
        <v>56</v>
      </c>
      <c r="D16" s="4">
        <f>ROUND(B17-[1]!alignment[[#This Row],[Station PK]],3)</f>
        <v>99.260999999999996</v>
      </c>
      <c r="E16">
        <v>175</v>
      </c>
      <c r="F16">
        <v>-1</v>
      </c>
      <c r="G16">
        <v>4</v>
      </c>
      <c r="H16">
        <v>58.5</v>
      </c>
    </row>
    <row r="17" spans="1:8">
      <c r="A17" s="23" t="s">
        <v>201</v>
      </c>
      <c r="B17" s="24">
        <v>1147.4599000000001</v>
      </c>
      <c r="C17" t="s">
        <v>58</v>
      </c>
      <c r="D17" s="4">
        <f>ROUND(B18-[1]!alignment[[#This Row],[Station PK]],3)</f>
        <v>80</v>
      </c>
      <c r="E17">
        <v>175</v>
      </c>
      <c r="F17">
        <v>-1</v>
      </c>
      <c r="G17">
        <v>4</v>
      </c>
      <c r="H17">
        <v>58.5</v>
      </c>
    </row>
    <row r="18" spans="1:8">
      <c r="A18" s="64" t="s">
        <v>202</v>
      </c>
      <c r="B18" s="65">
        <v>1227.4597000000001</v>
      </c>
      <c r="C18" t="s">
        <v>190</v>
      </c>
      <c r="D18" s="4">
        <f>ROUND(B19-[1]!alignment[[#This Row],[Station PK]],3)</f>
        <v>17.151</v>
      </c>
    </row>
    <row r="19" spans="1:8">
      <c r="A19" s="64" t="s">
        <v>184</v>
      </c>
      <c r="B19" s="65">
        <f>B18+17.151</f>
        <v>1244.6107000000002</v>
      </c>
      <c r="C19" t="s">
        <v>190</v>
      </c>
      <c r="D19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zoomScale="85" zoomScaleNormal="85" workbookViewId="0">
      <selection activeCell="F25" sqref="F25"/>
    </sheetView>
  </sheetViews>
  <sheetFormatPr defaultRowHeight="11.25"/>
  <cols>
    <col min="2" max="2" width="14.25" customWidth="1"/>
    <col min="3" max="3" width="14.75" customWidth="1"/>
    <col min="4" max="4" width="21" customWidth="1"/>
    <col min="5" max="5" width="17.875" customWidth="1"/>
    <col min="6" max="6" width="23.375" customWidth="1"/>
    <col min="14" max="14" width="15.375" bestFit="1" customWidth="1"/>
  </cols>
  <sheetData>
    <row r="1" spans="1:21" ht="12.75" customHeight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150</v>
      </c>
      <c r="N1" t="s">
        <v>49</v>
      </c>
      <c r="O1" t="s">
        <v>138</v>
      </c>
      <c r="P1" t="s">
        <v>134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</row>
    <row r="2" spans="1:21">
      <c r="A2">
        <v>73</v>
      </c>
      <c r="B2" s="1">
        <f>DBsub[[#This Row],[Pile top EL '[m']]]-14</f>
        <v>11.343</v>
      </c>
      <c r="C2">
        <v>25.343</v>
      </c>
      <c r="D2">
        <f>DBsub[[#This Row],[Pile top EL '[m']]]+0.5</f>
        <v>25.843</v>
      </c>
      <c r="E2" s="1">
        <f>DBsub[[#This Row],[Piercap bottom EL '[m']]]+IF(LEFT(DBsub[[#This Row],[Type1]],1)="A",1.5,IF(LEFT(DBsub[[#This Row],[Type1]],1)="C",2,IF(LEFT(DBsub[[#This Row],[Type1]],1)="D",2.5,"check pier type")))</f>
        <v>27.343</v>
      </c>
      <c r="F2" s="1">
        <f>DBsub[[#This Row],[Piercap bottom EL '[m']]]-DBsub[[#This Row],[Pile top EL '[m']]]</f>
        <v>0.5</v>
      </c>
      <c r="G2" t="s">
        <v>11</v>
      </c>
      <c r="H2" t="s">
        <v>12</v>
      </c>
      <c r="I2" t="s">
        <v>22</v>
      </c>
      <c r="J2" t="s">
        <v>33</v>
      </c>
      <c r="K2" s="1" t="s">
        <v>153</v>
      </c>
      <c r="L2" s="1" t="s">
        <v>183</v>
      </c>
      <c r="M2" s="1">
        <v>2</v>
      </c>
      <c r="N2" s="40">
        <v>30.393000000000001</v>
      </c>
      <c r="O2" s="1">
        <v>1.8</v>
      </c>
      <c r="P2" s="1">
        <f>DBsup[[#This Row],[Module id]]</f>
        <v>18</v>
      </c>
      <c r="Q2" s="1"/>
      <c r="R2" s="1"/>
      <c r="S2" s="1"/>
      <c r="T2" s="1"/>
      <c r="U2" s="1"/>
    </row>
    <row r="3" spans="1:21">
      <c r="A3">
        <v>74</v>
      </c>
      <c r="B3" s="1">
        <f>DBsub[[#This Row],[Pile top EL '[m']]]-10</f>
        <v>16.210999999999999</v>
      </c>
      <c r="C3">
        <v>26.210999999999999</v>
      </c>
      <c r="D3">
        <f>DBsub[[#This Row],[Pile top EL '[m']]]+0.5</f>
        <v>26.710999999999999</v>
      </c>
      <c r="E3" s="1">
        <f>DBsub[[#This Row],[Piercap bottom EL '[m']]]+IF(LEFT(DBsub[[#This Row],[Type1]],1)="A",1.5,IF(LEFT(DBsub[[#This Row],[Type1]],1)="C",2,IF(LEFT(DBsub[[#This Row],[Type1]],1)="D",2.5,"check pier type")))</f>
        <v>28.210999999999999</v>
      </c>
      <c r="F3" s="1">
        <f>DBsub[[#This Row],[Piercap bottom EL '[m']]]-DBsub[[#This Row],[Pile top EL '[m']]]</f>
        <v>0.5</v>
      </c>
      <c r="G3" t="s">
        <v>11</v>
      </c>
      <c r="H3" t="s">
        <v>12</v>
      </c>
      <c r="I3" t="s">
        <v>22</v>
      </c>
      <c r="J3" t="s">
        <v>33</v>
      </c>
      <c r="K3" t="s">
        <v>153</v>
      </c>
      <c r="L3" t="s">
        <v>183</v>
      </c>
      <c r="M3">
        <v>2</v>
      </c>
      <c r="N3" s="40">
        <v>31.260999999999999</v>
      </c>
      <c r="O3">
        <v>1.8</v>
      </c>
      <c r="P3" s="1">
        <f>DBsup[[#This Row],[Module id]]</f>
        <v>18</v>
      </c>
      <c r="Q3" s="1"/>
      <c r="R3" s="1"/>
      <c r="S3" s="1"/>
      <c r="T3" s="1"/>
      <c r="U3" s="1"/>
    </row>
    <row r="4" spans="1:21">
      <c r="A4">
        <f>A3+1</f>
        <v>75</v>
      </c>
      <c r="B4" s="1">
        <f>DBsub[[#This Row],[Pile top EL '[m']]]-10</f>
        <v>13.065999999999999</v>
      </c>
      <c r="C4">
        <v>23.065999999999999</v>
      </c>
      <c r="D4">
        <v>28.065999999999999</v>
      </c>
      <c r="E4" s="1">
        <f>DBsub[[#This Row],[Piercap bottom EL '[m']]]+IF(LEFT(DBsub[[#This Row],[Type1]],1)="A",1.5,IF(LEFT(DBsub[[#This Row],[Type1]],1)="C",2,IF(LEFT(DBsub[[#This Row],[Type1]],1)="D",2.5,"check pier type")))</f>
        <v>29.565999999999999</v>
      </c>
      <c r="F4" s="1">
        <f>DBsub[[#This Row],[Piercap bottom EL '[m']]]-DBsub[[#This Row],[Pile top EL '[m']]]</f>
        <v>5</v>
      </c>
      <c r="G4" t="s">
        <v>11</v>
      </c>
      <c r="H4" t="s">
        <v>12</v>
      </c>
      <c r="I4" t="s">
        <v>22</v>
      </c>
      <c r="J4" t="s">
        <v>33</v>
      </c>
      <c r="K4" t="s">
        <v>153</v>
      </c>
      <c r="L4" t="s">
        <v>185</v>
      </c>
      <c r="M4">
        <v>1</v>
      </c>
      <c r="N4" s="1">
        <f>IF(DBsub[[#This Row],[(x)sup type]]=1,DBsub[[#This Row],[Piercap top EL '[m']]]+2.6,DBsub[[#This Row],[Piercap top EL '[m']]]+2.9)</f>
        <v>32.165999999999997</v>
      </c>
      <c r="O4">
        <v>1.8</v>
      </c>
      <c r="P4" s="1">
        <f>DBsup[[#This Row],[Module id]]</f>
        <v>18</v>
      </c>
      <c r="Q4" s="1"/>
      <c r="R4" s="1"/>
      <c r="S4" s="1"/>
      <c r="T4" s="1"/>
      <c r="U4" s="1"/>
    </row>
    <row r="5" spans="1:21">
      <c r="A5">
        <f t="shared" ref="A5:A10" si="0">A4+1</f>
        <v>76</v>
      </c>
      <c r="B5" s="1">
        <f>DBsub[[#This Row],[Pile top EL '[m']]]-10</f>
        <v>12.007999999999999</v>
      </c>
      <c r="C5">
        <v>22.007999999999999</v>
      </c>
      <c r="D5">
        <v>28.007999999999999</v>
      </c>
      <c r="E5" s="1">
        <f>DBsub[[#This Row],[Piercap bottom EL '[m']]]+IF(LEFT(DBsub[[#This Row],[Type1]],1)="A",1.5,IF(LEFT(DBsub[[#This Row],[Type1]],1)="C",2,IF(LEFT(DBsub[[#This Row],[Type1]],1)="D",2.5,"check pier type")))</f>
        <v>30.507999999999999</v>
      </c>
      <c r="F5" s="1">
        <f>DBsub[[#This Row],[Piercap bottom EL '[m']]]-DBsub[[#This Row],[Pile top EL '[m']]]</f>
        <v>6</v>
      </c>
      <c r="G5" t="s">
        <v>11</v>
      </c>
      <c r="H5" t="s">
        <v>12</v>
      </c>
      <c r="I5" t="s">
        <v>145</v>
      </c>
      <c r="J5" t="s">
        <v>33</v>
      </c>
      <c r="K5" t="s">
        <v>160</v>
      </c>
      <c r="L5" t="s">
        <v>41</v>
      </c>
      <c r="M5">
        <v>1</v>
      </c>
      <c r="N5" s="1">
        <f>IF(DBsub[[#This Row],[(x)sup type]]=1,DBsub[[#This Row],[Piercap top EL '[m']]]+2.6,DBsub[[#This Row],[Piercap top EL '[m']]]+2.9)</f>
        <v>33.107999999999997</v>
      </c>
      <c r="O5">
        <v>1.5</v>
      </c>
      <c r="P5" s="1">
        <f>DBsup[[#This Row],[Module id]]</f>
        <v>19</v>
      </c>
      <c r="Q5" s="1">
        <v>10.605</v>
      </c>
      <c r="R5" s="1">
        <v>6.8949999999999996</v>
      </c>
      <c r="S5" s="1">
        <v>111</v>
      </c>
      <c r="T5" s="1">
        <v>1.978</v>
      </c>
      <c r="U5" s="1">
        <v>1.9770000000000001</v>
      </c>
    </row>
    <row r="6" spans="1:21">
      <c r="A6">
        <f>A5+1</f>
        <v>77</v>
      </c>
      <c r="B6" s="1">
        <f>DBsub[[#This Row],[Pile top EL '[m']]]-10</f>
        <v>12.048999999999999</v>
      </c>
      <c r="C6">
        <v>22.048999999999999</v>
      </c>
      <c r="D6">
        <v>29.949000000000002</v>
      </c>
      <c r="E6" s="1">
        <f>DBsub[[#This Row],[Piercap bottom EL '[m']]]+IF(LEFT(DBsub[[#This Row],[Type1]],1)="A",1.5,IF(LEFT(DBsub[[#This Row],[Type1]],1)="C",2,IF(LEFT(DBsub[[#This Row],[Type1]],1)="D",2.5,"check pier type")))</f>
        <v>31.449000000000002</v>
      </c>
      <c r="F6" s="1">
        <f>DBsub[[#This Row],[Piercap bottom EL '[m']]]-DBsub[[#This Row],[Pile top EL '[m']]]</f>
        <v>7.9000000000000021</v>
      </c>
      <c r="G6" t="s">
        <v>11</v>
      </c>
      <c r="H6" t="s">
        <v>12</v>
      </c>
      <c r="I6" t="s">
        <v>22</v>
      </c>
      <c r="J6" t="s">
        <v>33</v>
      </c>
      <c r="K6" t="s">
        <v>153</v>
      </c>
      <c r="L6" t="s">
        <v>41</v>
      </c>
      <c r="M6">
        <v>1</v>
      </c>
      <c r="N6" s="1">
        <f>IF(DBsub[[#This Row],[(x)sup type]]=1,DBsub[[#This Row],[Piercap top EL '[m']]]+2.6,DBsub[[#This Row],[Piercap top EL '[m']]]+2.9)</f>
        <v>34.048999999999999</v>
      </c>
      <c r="O6">
        <v>1.8</v>
      </c>
      <c r="P6" s="1">
        <f>DBsup[[#This Row],[Module id]]</f>
        <v>19</v>
      </c>
      <c r="Q6" s="1"/>
      <c r="R6" s="1"/>
      <c r="S6" s="1"/>
      <c r="T6" s="1"/>
      <c r="U6" s="1"/>
    </row>
    <row r="7" spans="1:21">
      <c r="A7">
        <f t="shared" si="0"/>
        <v>78</v>
      </c>
      <c r="B7" s="1">
        <f>DBsub[[#This Row],[Pile top EL '[m']]]-10</f>
        <v>11.654</v>
      </c>
      <c r="C7">
        <v>21.654</v>
      </c>
      <c r="D7">
        <v>29.853999999999999</v>
      </c>
      <c r="E7" s="1">
        <f>DBsub[[#This Row],[Piercap bottom EL '[m']]]+IF(LEFT(DBsub[[#This Row],[Type1]],1)="A",1.5,IF(LEFT(DBsub[[#This Row],[Type1]],1)="C",2,IF(LEFT(DBsub[[#This Row],[Type1]],1)="D",2.5,"check pier type")))</f>
        <v>32.353999999999999</v>
      </c>
      <c r="F7" s="1">
        <f>DBsub[[#This Row],[Piercap bottom EL '[m']]]-DBsub[[#This Row],[Pile top EL '[m']]]</f>
        <v>8.1999999999999993</v>
      </c>
      <c r="G7" t="s">
        <v>11</v>
      </c>
      <c r="H7" t="s">
        <v>12</v>
      </c>
      <c r="I7" t="s">
        <v>22</v>
      </c>
      <c r="J7" t="s">
        <v>33</v>
      </c>
      <c r="K7" t="s">
        <v>160</v>
      </c>
      <c r="L7" t="s">
        <v>154</v>
      </c>
      <c r="M7">
        <v>1</v>
      </c>
      <c r="N7" s="1">
        <f>IF(DBsub[[#This Row],[(x)sup type]]=1,DBsub[[#This Row],[Piercap top EL '[m']]]+2.6,DBsub[[#This Row],[Piercap top EL '[m']]]+2.9)</f>
        <v>34.954000000000001</v>
      </c>
      <c r="O7">
        <v>1.8</v>
      </c>
      <c r="P7" s="1">
        <f>DBsup[[#This Row],[Module id]]</f>
        <v>19</v>
      </c>
      <c r="Q7" s="1">
        <v>11.034000000000001</v>
      </c>
      <c r="R7" s="1">
        <v>12.666</v>
      </c>
      <c r="S7" s="1">
        <v>112</v>
      </c>
      <c r="T7" s="1">
        <v>2.0019999999999998</v>
      </c>
      <c r="U7" s="1">
        <v>2.0019999999999998</v>
      </c>
    </row>
    <row r="8" spans="1:21">
      <c r="A8">
        <f t="shared" si="0"/>
        <v>79</v>
      </c>
      <c r="B8" s="1">
        <f>DBsub[[#This Row],[Pile top EL '[m']]]-10</f>
        <v>12.158999999999999</v>
      </c>
      <c r="C8">
        <v>22.158999999999999</v>
      </c>
      <c r="D8">
        <v>31.759</v>
      </c>
      <c r="E8" s="1">
        <f>DBsub[[#This Row],[Piercap bottom EL '[m']]]+IF(LEFT(DBsub[[#This Row],[Type1]],1)="A",1.5,IF(LEFT(DBsub[[#This Row],[Type1]],1)="C",2,IF(LEFT(DBsub[[#This Row],[Type1]],1)="D",2.5,"check pier type")))</f>
        <v>33.259</v>
      </c>
      <c r="F8" s="1">
        <f>DBsub[[#This Row],[Piercap bottom EL '[m']]]-DBsub[[#This Row],[Pile top EL '[m']]]</f>
        <v>9.6000000000000014</v>
      </c>
      <c r="G8" t="s">
        <v>11</v>
      </c>
      <c r="H8" t="s">
        <v>12</v>
      </c>
      <c r="I8" t="s">
        <v>22</v>
      </c>
      <c r="J8" t="s">
        <v>33</v>
      </c>
      <c r="K8" t="s">
        <v>153</v>
      </c>
      <c r="L8" t="s">
        <v>41</v>
      </c>
      <c r="M8">
        <v>1</v>
      </c>
      <c r="N8" s="1">
        <f>IF(DBsub[[#This Row],[(x)sup type]]=1,DBsub[[#This Row],[Piercap top EL '[m']]]+2.6,DBsub[[#This Row],[Piercap top EL '[m']]]+2.9)</f>
        <v>35.859000000000002</v>
      </c>
      <c r="O8">
        <v>1.8</v>
      </c>
      <c r="P8" s="1">
        <f>DBsup[[#This Row],[Module id]]</f>
        <v>20</v>
      </c>
      <c r="Q8" s="1"/>
      <c r="R8" s="1"/>
      <c r="S8" s="1"/>
      <c r="T8" s="1"/>
      <c r="U8" s="1"/>
    </row>
    <row r="9" spans="1:21">
      <c r="A9">
        <f t="shared" si="0"/>
        <v>80</v>
      </c>
      <c r="B9" s="1">
        <f>DBsub[[#This Row],[Pile top EL '[m']]]-10</f>
        <v>10.193000000000001</v>
      </c>
      <c r="C9">
        <v>20.193000000000001</v>
      </c>
      <c r="D9">
        <v>32.493000000000002</v>
      </c>
      <c r="E9" s="1">
        <f>DBsub[[#This Row],[Piercap bottom EL '[m']]]+IF(LEFT(DBsub[[#This Row],[Type1]],1)="A",1.5,IF(LEFT(DBsub[[#This Row],[Type1]],1)="C",2,IF(LEFT(DBsub[[#This Row],[Type1]],1)="D",2.5,"check pier type")))</f>
        <v>33.993000000000002</v>
      </c>
      <c r="F9" s="1">
        <f>DBsub[[#This Row],[Piercap bottom EL '[m']]]-DBsub[[#This Row],[Pile top EL '[m']]]</f>
        <v>12.3</v>
      </c>
      <c r="G9" t="s">
        <v>11</v>
      </c>
      <c r="H9" t="s">
        <v>12</v>
      </c>
      <c r="I9" t="s">
        <v>22</v>
      </c>
      <c r="J9" t="s">
        <v>33</v>
      </c>
      <c r="K9" t="s">
        <v>153</v>
      </c>
      <c r="L9" t="s">
        <v>41</v>
      </c>
      <c r="M9">
        <v>1</v>
      </c>
      <c r="N9" s="1">
        <f>IF(DBsub[[#This Row],[(x)sup type]]=1,DBsub[[#This Row],[Piercap top EL '[m']]]+2.6,DBsub[[#This Row],[Piercap top EL '[m']]]+2.9)</f>
        <v>36.593000000000004</v>
      </c>
      <c r="O9">
        <v>1.8</v>
      </c>
      <c r="P9" s="1">
        <f>DBsup[[#This Row],[Module id]]</f>
        <v>20</v>
      </c>
      <c r="Q9" s="1"/>
      <c r="R9" s="1"/>
      <c r="S9" s="1"/>
      <c r="T9" s="1"/>
      <c r="U9" s="1"/>
    </row>
    <row r="10" spans="1:21">
      <c r="A10">
        <f t="shared" si="0"/>
        <v>81</v>
      </c>
      <c r="B10" s="1">
        <f>DBsub[[#This Row],[Pile top EL '[m']]]-10</f>
        <v>8.6499999999999986</v>
      </c>
      <c r="C10">
        <v>18.649999999999999</v>
      </c>
      <c r="D10">
        <v>32.65</v>
      </c>
      <c r="E10" s="1">
        <f>DBsub[[#This Row],[Piercap bottom EL '[m']]]+IF(LEFT(DBsub[[#This Row],[Type1]],1)="A",1.5,IF(LEFT(DBsub[[#This Row],[Type1]],1)="C",2,IF(LEFT(DBsub[[#This Row],[Type1]],1)="D",2.5,"check pier type")))</f>
        <v>34.15</v>
      </c>
      <c r="F10" s="1">
        <f>DBsub[[#This Row],[Piercap bottom EL '[m']]]-DBsub[[#This Row],[Pile top EL '[m']]]</f>
        <v>14</v>
      </c>
      <c r="G10" t="s">
        <v>11</v>
      </c>
      <c r="H10" t="s">
        <v>12</v>
      </c>
      <c r="I10" t="s">
        <v>22</v>
      </c>
      <c r="J10" t="s">
        <v>33</v>
      </c>
      <c r="K10" t="s">
        <v>153</v>
      </c>
      <c r="L10" t="s">
        <v>155</v>
      </c>
      <c r="M10">
        <v>2</v>
      </c>
      <c r="N10" s="40">
        <v>36.75</v>
      </c>
      <c r="O10">
        <v>1.8</v>
      </c>
      <c r="P10" s="1">
        <f>DBsup[[#This Row],[Module id]]</f>
        <v>20</v>
      </c>
      <c r="Q10" s="1"/>
      <c r="R10" s="1"/>
      <c r="S10" s="1"/>
      <c r="T10" s="1"/>
      <c r="U10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A9AF-88C8-4441-98F6-7937F571749B}">
  <dimension ref="A1:J11"/>
  <sheetViews>
    <sheetView zoomScale="85" zoomScaleNormal="85" workbookViewId="0">
      <selection activeCell="E2" sqref="E2"/>
    </sheetView>
  </sheetViews>
  <sheetFormatPr defaultRowHeight="11.25"/>
  <cols>
    <col min="2" max="2" width="10.25" customWidth="1"/>
    <col min="3" max="3" width="9.375" customWidth="1"/>
    <col min="6" max="6" width="14.25" customWidth="1"/>
    <col min="7" max="7" width="13.75" bestFit="1" customWidth="1"/>
  </cols>
  <sheetData>
    <row r="1" spans="1:10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59</v>
      </c>
      <c r="I1" t="s">
        <v>134</v>
      </c>
      <c r="J1" t="s">
        <v>136</v>
      </c>
    </row>
    <row r="2" spans="1:10">
      <c r="A2">
        <v>73</v>
      </c>
      <c r="B2">
        <f>DBsup[[#This Row],[Seg id]]-1</f>
        <v>72</v>
      </c>
      <c r="C2">
        <f>DBsup[[#This Row],[Pier start]]+1</f>
        <v>73</v>
      </c>
      <c r="D2">
        <v>2</v>
      </c>
      <c r="E2">
        <v>24</v>
      </c>
      <c r="F2" t="s">
        <v>53</v>
      </c>
      <c r="G2" t="str">
        <f>VLOOKUP(C2,DBsub[],12,0)</f>
        <v>L22</v>
      </c>
      <c r="H2" t="s">
        <v>10</v>
      </c>
      <c r="I2">
        <v>18</v>
      </c>
      <c r="J2" t="s">
        <v>137</v>
      </c>
    </row>
    <row r="3" spans="1:10">
      <c r="A3">
        <v>74</v>
      </c>
      <c r="B3">
        <f>DBsup[[#This Row],[Seg id]]-1</f>
        <v>73</v>
      </c>
      <c r="C3">
        <f>DBsup[[#This Row],[Pier start]]+1</f>
        <v>74</v>
      </c>
      <c r="D3">
        <v>2</v>
      </c>
      <c r="E3">
        <v>24</v>
      </c>
      <c r="F3" t="str">
        <f>VLOOKUP(B3,DBsub[],12,0)</f>
        <v>L22</v>
      </c>
      <c r="G3" t="str">
        <f>VLOOKUP(C3,DBsub[],12,0)</f>
        <v>L22</v>
      </c>
      <c r="H3" t="s">
        <v>10</v>
      </c>
      <c r="I3">
        <v>18</v>
      </c>
      <c r="J3" t="s">
        <v>137</v>
      </c>
    </row>
    <row r="4" spans="1:10">
      <c r="A4">
        <f>A3+1</f>
        <v>75</v>
      </c>
      <c r="B4">
        <f>DBsup[[#This Row],[Seg id]]-1</f>
        <v>74</v>
      </c>
      <c r="C4">
        <f>DBsup[[#This Row],[Pier start]]+1</f>
        <v>75</v>
      </c>
      <c r="D4">
        <v>2</v>
      </c>
      <c r="E4">
        <v>25</v>
      </c>
      <c r="F4" t="str">
        <f>VLOOKUP(B4,DBsub[],12,0)</f>
        <v>L22</v>
      </c>
      <c r="G4" t="str">
        <f>VLOOKUP(C4,DBsub[],12,0)</f>
        <v>L21</v>
      </c>
      <c r="H4" t="s">
        <v>10</v>
      </c>
      <c r="I4">
        <v>18</v>
      </c>
      <c r="J4" t="s">
        <v>137</v>
      </c>
    </row>
    <row r="5" spans="1:10">
      <c r="A5">
        <f t="shared" ref="A5:A11" si="0">A4+1</f>
        <v>76</v>
      </c>
      <c r="B5">
        <f>DBsup[[#This Row],[Seg id]]-1</f>
        <v>75</v>
      </c>
      <c r="C5">
        <f>DBsup[[#This Row],[Pier start]]+1</f>
        <v>76</v>
      </c>
      <c r="D5">
        <v>1</v>
      </c>
      <c r="E5">
        <v>26</v>
      </c>
      <c r="F5" t="str">
        <f>VLOOKUP(B5,DBsub[],12,0)</f>
        <v>L21</v>
      </c>
      <c r="G5" t="str">
        <f>VLOOKUP(C5,DBsub[],12,0)</f>
        <v>M</v>
      </c>
      <c r="H5" t="s">
        <v>10</v>
      </c>
      <c r="I5">
        <v>19</v>
      </c>
      <c r="J5" t="s">
        <v>137</v>
      </c>
    </row>
    <row r="6" spans="1:10">
      <c r="A6">
        <f t="shared" si="0"/>
        <v>77</v>
      </c>
      <c r="B6">
        <f>DBsup[[#This Row],[Seg id]]-1</f>
        <v>76</v>
      </c>
      <c r="C6">
        <f>DBsup[[#This Row],[Pier start]]+1</f>
        <v>77</v>
      </c>
      <c r="D6">
        <v>1</v>
      </c>
      <c r="E6">
        <v>26</v>
      </c>
      <c r="F6" t="str">
        <f>VLOOKUP(B6,DBsub[],12,0)</f>
        <v>M</v>
      </c>
      <c r="G6" t="str">
        <f>VLOOKUP(C6,DBsub[],12,0)</f>
        <v>M</v>
      </c>
      <c r="H6" t="s">
        <v>10</v>
      </c>
      <c r="I6">
        <v>19</v>
      </c>
      <c r="J6" t="s">
        <v>137</v>
      </c>
    </row>
    <row r="7" spans="1:10">
      <c r="A7">
        <f t="shared" si="0"/>
        <v>78</v>
      </c>
      <c r="B7">
        <f>DBsup[[#This Row],[Seg id]]-1</f>
        <v>77</v>
      </c>
      <c r="C7">
        <f>DBsup[[#This Row],[Pier start]]+1</f>
        <v>78</v>
      </c>
      <c r="D7">
        <v>1</v>
      </c>
      <c r="E7">
        <v>25</v>
      </c>
      <c r="F7" t="str">
        <f>VLOOKUP(B7,DBsub[],12,0)</f>
        <v>M</v>
      </c>
      <c r="G7" t="str">
        <f>VLOOKUP(C7,DBsub[],12,0)</f>
        <v>L11</v>
      </c>
      <c r="H7" t="s">
        <v>10</v>
      </c>
      <c r="I7">
        <v>19</v>
      </c>
      <c r="J7" t="s">
        <v>137</v>
      </c>
    </row>
    <row r="8" spans="1:10">
      <c r="A8">
        <f t="shared" si="0"/>
        <v>79</v>
      </c>
      <c r="B8">
        <f>DBsup[[#This Row],[Seg id]]-1</f>
        <v>78</v>
      </c>
      <c r="C8">
        <f>DBsup[[#This Row],[Pier start]]+1</f>
        <v>79</v>
      </c>
      <c r="D8">
        <v>1</v>
      </c>
      <c r="E8">
        <v>25</v>
      </c>
      <c r="F8" t="str">
        <f>VLOOKUP(B8,DBsub[],12,0)</f>
        <v>L11</v>
      </c>
      <c r="G8" t="str">
        <f>VLOOKUP(C8,DBsub[],12,0)</f>
        <v>M</v>
      </c>
      <c r="H8" t="s">
        <v>10</v>
      </c>
      <c r="I8">
        <v>20</v>
      </c>
      <c r="J8" t="s">
        <v>137</v>
      </c>
    </row>
    <row r="9" spans="1:10">
      <c r="A9">
        <f t="shared" si="0"/>
        <v>80</v>
      </c>
      <c r="B9">
        <f>DBsup[[#This Row],[Seg id]]-1</f>
        <v>79</v>
      </c>
      <c r="C9">
        <f>DBsup[[#This Row],[Pier start]]+1</f>
        <v>80</v>
      </c>
      <c r="D9">
        <v>1</v>
      </c>
      <c r="E9">
        <v>25</v>
      </c>
      <c r="F9" t="str">
        <f>VLOOKUP(B9,DBsub[],12,0)</f>
        <v>M</v>
      </c>
      <c r="G9" t="str">
        <f>VLOOKUP(C9,DBsub[],12,0)</f>
        <v>M</v>
      </c>
      <c r="H9" t="s">
        <v>10</v>
      </c>
      <c r="I9">
        <v>20</v>
      </c>
      <c r="J9" t="s">
        <v>137</v>
      </c>
    </row>
    <row r="10" spans="1:10">
      <c r="A10">
        <f t="shared" si="0"/>
        <v>81</v>
      </c>
      <c r="B10">
        <f>DBsup[[#This Row],[Seg id]]-1</f>
        <v>80</v>
      </c>
      <c r="C10">
        <f>DBsup[[#This Row],[Pier start]]+1</f>
        <v>81</v>
      </c>
      <c r="D10">
        <v>1</v>
      </c>
      <c r="E10">
        <v>25</v>
      </c>
      <c r="F10" t="str">
        <f>VLOOKUP(B10,DBsub[],12,0)</f>
        <v>M</v>
      </c>
      <c r="G10" t="str">
        <f>VLOOKUP(C10,DBsub[],12,0)</f>
        <v>L12</v>
      </c>
      <c r="H10" t="s">
        <v>10</v>
      </c>
      <c r="I10">
        <v>20</v>
      </c>
      <c r="J10" t="s">
        <v>137</v>
      </c>
    </row>
    <row r="11" spans="1:10">
      <c r="A11">
        <f t="shared" si="0"/>
        <v>82</v>
      </c>
      <c r="B11">
        <f>DBsup[[#This Row],[Seg id]]-1</f>
        <v>81</v>
      </c>
      <c r="C11">
        <f>DBsup[[#This Row],[Pier start]]+1</f>
        <v>82</v>
      </c>
      <c r="D11">
        <v>2</v>
      </c>
      <c r="E11">
        <v>15</v>
      </c>
      <c r="F11" t="str">
        <f>VLOOKUP(B11,DBsub[],12,0)</f>
        <v>L12</v>
      </c>
      <c r="G11" t="s">
        <v>53</v>
      </c>
      <c r="H11" t="s">
        <v>10</v>
      </c>
      <c r="I11">
        <v>21</v>
      </c>
      <c r="J11" t="s">
        <v>137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50FA-DCDC-4F12-B23F-C076B374DFB4}">
  <dimension ref="A1:AK30"/>
  <sheetViews>
    <sheetView zoomScale="85" zoomScaleNormal="85" workbookViewId="0">
      <selection activeCell="K43" sqref="K43"/>
    </sheetView>
  </sheetViews>
  <sheetFormatPr defaultRowHeight="11.25"/>
  <cols>
    <col min="2" max="2" width="9.25" customWidth="1"/>
    <col min="7" max="7" width="11.875" customWidth="1"/>
    <col min="9" max="9" width="13.75" bestFit="1" customWidth="1"/>
  </cols>
  <sheetData>
    <row r="1" spans="1:37" ht="12.75">
      <c r="I1" s="25">
        <v>44704</v>
      </c>
      <c r="J1" s="5"/>
      <c r="K1" s="6"/>
      <c r="L1" s="6"/>
      <c r="M1" s="6"/>
      <c r="N1" s="6"/>
      <c r="O1" s="5"/>
      <c r="P1" s="5"/>
      <c r="Q1" s="5"/>
      <c r="R1" s="6"/>
      <c r="S1" s="6"/>
      <c r="T1" s="5"/>
      <c r="U1" s="5"/>
      <c r="V1" s="5"/>
    </row>
    <row r="2" spans="1:37" ht="12.75">
      <c r="I2" s="44" t="s">
        <v>66</v>
      </c>
      <c r="J2" s="44" t="s">
        <v>67</v>
      </c>
      <c r="K2" s="58" t="s">
        <v>68</v>
      </c>
      <c r="L2" s="59"/>
      <c r="M2" s="60"/>
      <c r="N2" s="61" t="s">
        <v>69</v>
      </c>
      <c r="O2" s="62"/>
      <c r="P2" s="62"/>
      <c r="Q2" s="62"/>
      <c r="R2" s="62"/>
      <c r="S2" s="62"/>
      <c r="T2" s="42" t="s">
        <v>70</v>
      </c>
      <c r="U2" s="43"/>
      <c r="V2" s="46" t="s">
        <v>78</v>
      </c>
    </row>
    <row r="3" spans="1:37" ht="12.75">
      <c r="I3" s="45"/>
      <c r="J3" s="45"/>
      <c r="K3" s="48" t="s">
        <v>79</v>
      </c>
      <c r="L3" s="50" t="s">
        <v>71</v>
      </c>
      <c r="M3" s="48" t="s">
        <v>80</v>
      </c>
      <c r="N3" s="52" t="s">
        <v>72</v>
      </c>
      <c r="O3" s="52"/>
      <c r="P3" s="52"/>
      <c r="Q3" s="52"/>
      <c r="R3" s="53" t="s">
        <v>73</v>
      </c>
      <c r="S3" s="52" t="s">
        <v>74</v>
      </c>
      <c r="T3" s="55" t="s">
        <v>81</v>
      </c>
      <c r="U3" s="57" t="s">
        <v>75</v>
      </c>
      <c r="V3" s="47"/>
    </row>
    <row r="4" spans="1:37" ht="12.75">
      <c r="A4" t="s">
        <v>135</v>
      </c>
      <c r="B4" t="s">
        <v>65</v>
      </c>
      <c r="C4" t="s">
        <v>64</v>
      </c>
      <c r="D4" t="s">
        <v>63</v>
      </c>
      <c r="E4" t="s">
        <v>62</v>
      </c>
      <c r="F4" t="s">
        <v>61</v>
      </c>
      <c r="G4" t="s">
        <v>60</v>
      </c>
      <c r="I4" s="45"/>
      <c r="J4" s="45"/>
      <c r="K4" s="49"/>
      <c r="L4" s="48"/>
      <c r="M4" s="51"/>
      <c r="N4" s="7" t="s">
        <v>76</v>
      </c>
      <c r="O4" s="54" t="s">
        <v>77</v>
      </c>
      <c r="P4" s="54"/>
      <c r="Q4" s="54"/>
      <c r="R4" s="54"/>
      <c r="S4" s="54"/>
      <c r="T4" s="56"/>
      <c r="U4" s="56"/>
      <c r="V4" s="47"/>
      <c r="X4" t="s">
        <v>162</v>
      </c>
    </row>
    <row r="5" spans="1:37" ht="14.25" customHeight="1">
      <c r="A5">
        <v>73</v>
      </c>
      <c r="B5">
        <v>2.5</v>
      </c>
      <c r="C5">
        <f t="shared" ref="C5:C11" si="0">O5</f>
        <v>0</v>
      </c>
      <c r="D5">
        <f t="shared" ref="D5:D11" si="1">Q5</f>
        <v>0.5</v>
      </c>
      <c r="E5">
        <f t="shared" ref="E5" si="2">D5-C5</f>
        <v>0.5</v>
      </c>
      <c r="F5">
        <f t="shared" ref="F5:F11" si="3">V5</f>
        <v>5982.8613772736016</v>
      </c>
      <c r="G5" s="1">
        <f>VLOOKUP(DBsoil[[#This Row],[Pile id]],$X$5:$Y$20,2)</f>
        <v>14</v>
      </c>
      <c r="I5" s="30" t="s">
        <v>165</v>
      </c>
      <c r="J5" s="30" t="s">
        <v>166</v>
      </c>
      <c r="K5" s="30">
        <v>29409000</v>
      </c>
      <c r="L5" s="30">
        <v>2.5</v>
      </c>
      <c r="M5" s="30">
        <v>1.91747598485705</v>
      </c>
      <c r="N5" s="30">
        <v>25.3</v>
      </c>
      <c r="O5" s="30">
        <v>0</v>
      </c>
      <c r="P5" s="30" t="s">
        <v>151</v>
      </c>
      <c r="Q5" s="30">
        <v>0.5</v>
      </c>
      <c r="R5" s="30">
        <v>0.5</v>
      </c>
      <c r="S5" s="30" t="s">
        <v>152</v>
      </c>
      <c r="T5" s="30">
        <v>29000</v>
      </c>
      <c r="U5" s="30">
        <v>0.3</v>
      </c>
      <c r="V5" s="27">
        <v>5982.8613772736016</v>
      </c>
      <c r="W5" s="27"/>
      <c r="X5" s="30">
        <v>73</v>
      </c>
      <c r="Y5" s="30">
        <v>14</v>
      </c>
      <c r="Z5" s="30"/>
      <c r="AA5" s="31"/>
      <c r="AB5" s="32"/>
      <c r="AC5" s="35"/>
      <c r="AD5" s="29"/>
      <c r="AE5" s="28"/>
      <c r="AF5" s="29"/>
      <c r="AG5" s="36"/>
      <c r="AH5" s="28"/>
      <c r="AI5" s="28"/>
      <c r="AJ5" s="37"/>
      <c r="AK5" s="39"/>
    </row>
    <row r="6" spans="1:37" ht="14.25">
      <c r="A6">
        <f t="shared" ref="A6:A11" si="4">IF(N6="",A5,A5+1)</f>
        <v>73</v>
      </c>
      <c r="B6">
        <f t="shared" ref="B6:B11" si="5">IF(N6="",B5,L6)</f>
        <v>2.5</v>
      </c>
      <c r="C6">
        <f t="shared" si="0"/>
        <v>0.5</v>
      </c>
      <c r="D6">
        <f t="shared" si="1"/>
        <v>2.9</v>
      </c>
      <c r="E6">
        <f t="shared" ref="E6" si="6">D6-C6</f>
        <v>2.4</v>
      </c>
      <c r="F6">
        <f t="shared" si="3"/>
        <v>27049.603808964719</v>
      </c>
      <c r="G6" s="1">
        <f>VLOOKUP(DBsoil[[#This Row],[Pile id]],$X$5:$Y$20,2)</f>
        <v>14</v>
      </c>
      <c r="I6" s="30"/>
      <c r="J6" s="30"/>
      <c r="K6" s="30"/>
      <c r="L6" s="30"/>
      <c r="M6" s="30"/>
      <c r="N6" s="30"/>
      <c r="O6" s="30">
        <v>0.5</v>
      </c>
      <c r="P6" s="30" t="s">
        <v>151</v>
      </c>
      <c r="Q6" s="30">
        <v>2.9</v>
      </c>
      <c r="R6" s="30">
        <v>2.4</v>
      </c>
      <c r="S6" s="30" t="s">
        <v>163</v>
      </c>
      <c r="T6" s="30">
        <v>120000</v>
      </c>
      <c r="U6" s="30">
        <v>0.25</v>
      </c>
      <c r="V6" s="27">
        <v>27049.603808964719</v>
      </c>
      <c r="W6" s="27"/>
      <c r="X6" s="30">
        <v>74</v>
      </c>
      <c r="Y6" s="30">
        <v>10</v>
      </c>
      <c r="Z6" s="30"/>
      <c r="AA6" s="31"/>
      <c r="AB6" s="32"/>
      <c r="AC6" s="35"/>
      <c r="AD6" s="29"/>
      <c r="AE6" s="28"/>
      <c r="AF6" s="29"/>
      <c r="AG6" s="36"/>
      <c r="AH6" s="28"/>
      <c r="AI6" s="28"/>
      <c r="AJ6" s="38"/>
      <c r="AK6" s="39"/>
    </row>
    <row r="7" spans="1:37" ht="14.25">
      <c r="A7">
        <f t="shared" si="4"/>
        <v>73</v>
      </c>
      <c r="B7">
        <f t="shared" si="5"/>
        <v>2.5</v>
      </c>
      <c r="C7">
        <f t="shared" si="0"/>
        <v>2.9</v>
      </c>
      <c r="D7">
        <f t="shared" si="1"/>
        <v>9.8000000000000007</v>
      </c>
      <c r="E7">
        <f t="shared" ref="E7:E11" si="7">D7-C7</f>
        <v>6.9</v>
      </c>
      <c r="F7">
        <f t="shared" si="3"/>
        <v>27049.603808964719</v>
      </c>
      <c r="G7" s="1">
        <f>VLOOKUP(DBsoil[[#This Row],[Pile id]],$X$5:$Y$20,2)</f>
        <v>14</v>
      </c>
      <c r="I7" s="30"/>
      <c r="J7" s="30"/>
      <c r="K7" s="30"/>
      <c r="L7" s="30"/>
      <c r="M7" s="30"/>
      <c r="N7" s="30"/>
      <c r="O7" s="30">
        <v>2.9</v>
      </c>
      <c r="P7" s="30" t="s">
        <v>151</v>
      </c>
      <c r="Q7" s="30">
        <v>9.8000000000000007</v>
      </c>
      <c r="R7" s="30">
        <v>6.9</v>
      </c>
      <c r="S7" s="30" t="s">
        <v>163</v>
      </c>
      <c r="T7" s="30">
        <v>120000</v>
      </c>
      <c r="U7" s="30">
        <v>0.25</v>
      </c>
      <c r="V7" s="27">
        <v>27049.603808964719</v>
      </c>
      <c r="W7" s="27"/>
      <c r="X7" s="30">
        <v>75</v>
      </c>
      <c r="Y7" s="30">
        <v>10</v>
      </c>
      <c r="Z7" s="30"/>
      <c r="AA7" s="31"/>
      <c r="AB7" s="32"/>
      <c r="AC7" s="35"/>
      <c r="AD7" s="29"/>
      <c r="AE7" s="28"/>
      <c r="AF7" s="29"/>
      <c r="AG7" s="36"/>
      <c r="AH7" s="28"/>
      <c r="AI7" s="28"/>
      <c r="AJ7" s="28"/>
      <c r="AK7" s="39"/>
    </row>
    <row r="8" spans="1:37" ht="14.25">
      <c r="A8">
        <f t="shared" si="4"/>
        <v>73</v>
      </c>
      <c r="B8">
        <f t="shared" si="5"/>
        <v>2.5</v>
      </c>
      <c r="C8">
        <f t="shared" si="0"/>
        <v>9.8000000000000007</v>
      </c>
      <c r="D8">
        <f t="shared" si="1"/>
        <v>14</v>
      </c>
      <c r="E8">
        <f t="shared" si="7"/>
        <v>4.1999999999999993</v>
      </c>
      <c r="F8">
        <f t="shared" si="3"/>
        <v>205833.95315332906</v>
      </c>
      <c r="G8" s="1">
        <f>VLOOKUP(DBsoil[[#This Row],[Pile id]],$X$5:$Y$20,2)</f>
        <v>14</v>
      </c>
      <c r="I8" s="30"/>
      <c r="J8" s="30"/>
      <c r="K8" s="30"/>
      <c r="L8" s="30"/>
      <c r="M8" s="30"/>
      <c r="N8" s="30"/>
      <c r="O8" s="30">
        <v>9.8000000000000007</v>
      </c>
      <c r="P8" s="30" t="s">
        <v>151</v>
      </c>
      <c r="Q8" s="30">
        <v>14</v>
      </c>
      <c r="R8" s="30">
        <v>4.1999999999999993</v>
      </c>
      <c r="S8" s="30" t="s">
        <v>164</v>
      </c>
      <c r="T8" s="30">
        <v>792000</v>
      </c>
      <c r="U8" s="30">
        <v>0.22</v>
      </c>
      <c r="V8" s="27">
        <v>205833.95315332906</v>
      </c>
      <c r="W8" s="27"/>
      <c r="X8" s="30">
        <v>76</v>
      </c>
      <c r="Y8" s="30">
        <v>10</v>
      </c>
      <c r="Z8" s="30"/>
      <c r="AA8" s="31"/>
      <c r="AB8" s="32"/>
      <c r="AC8" s="29"/>
      <c r="AD8" s="29"/>
      <c r="AE8" s="28"/>
      <c r="AF8" s="29"/>
      <c r="AG8" s="36"/>
      <c r="AH8" s="28"/>
      <c r="AI8" s="28"/>
      <c r="AJ8" s="28"/>
      <c r="AK8" s="39"/>
    </row>
    <row r="9" spans="1:37" ht="14.25">
      <c r="A9">
        <f t="shared" si="4"/>
        <v>74</v>
      </c>
      <c r="B9">
        <f t="shared" si="5"/>
        <v>2.5</v>
      </c>
      <c r="C9">
        <f t="shared" si="0"/>
        <v>0</v>
      </c>
      <c r="D9">
        <f t="shared" si="1"/>
        <v>1.7</v>
      </c>
      <c r="E9">
        <f t="shared" si="7"/>
        <v>1.7</v>
      </c>
      <c r="F9">
        <f t="shared" si="3"/>
        <v>69832.311912323465</v>
      </c>
      <c r="G9" s="1">
        <f>VLOOKUP(DBsoil[[#This Row],[Pile id]],$X$5:$Y$20,2)</f>
        <v>10</v>
      </c>
      <c r="I9" s="30" t="s">
        <v>167</v>
      </c>
      <c r="J9" s="30" t="s">
        <v>168</v>
      </c>
      <c r="K9" s="30">
        <v>29409000</v>
      </c>
      <c r="L9" s="30">
        <v>2.5</v>
      </c>
      <c r="M9" s="30">
        <v>1.91747598485705</v>
      </c>
      <c r="N9" s="30">
        <v>26.2</v>
      </c>
      <c r="O9" s="30">
        <v>0</v>
      </c>
      <c r="P9" s="30" t="s">
        <v>151</v>
      </c>
      <c r="Q9" s="30">
        <v>1.7</v>
      </c>
      <c r="R9" s="30">
        <v>1.7</v>
      </c>
      <c r="S9" s="30" t="s">
        <v>163</v>
      </c>
      <c r="T9" s="30">
        <v>288000</v>
      </c>
      <c r="U9" s="30">
        <v>0.25</v>
      </c>
      <c r="V9" s="27">
        <v>69832.311912323465</v>
      </c>
      <c r="W9" s="27"/>
      <c r="X9" s="30">
        <v>77</v>
      </c>
      <c r="Y9" s="30">
        <v>10</v>
      </c>
      <c r="Z9" s="33"/>
      <c r="AA9" s="33"/>
      <c r="AB9" s="32"/>
      <c r="AC9" s="35"/>
      <c r="AD9" s="29"/>
      <c r="AE9" s="28"/>
      <c r="AF9" s="29"/>
      <c r="AG9" s="36"/>
      <c r="AH9" s="28"/>
      <c r="AI9" s="28"/>
      <c r="AJ9" s="37"/>
      <c r="AK9" s="39"/>
    </row>
    <row r="10" spans="1:37" ht="14.25">
      <c r="A10">
        <f t="shared" si="4"/>
        <v>74</v>
      </c>
      <c r="B10">
        <f t="shared" si="5"/>
        <v>2.5</v>
      </c>
      <c r="C10">
        <f t="shared" si="0"/>
        <v>1.7</v>
      </c>
      <c r="D10">
        <f t="shared" si="1"/>
        <v>3</v>
      </c>
      <c r="E10">
        <f t="shared" si="7"/>
        <v>1.3</v>
      </c>
      <c r="F10">
        <f t="shared" si="3"/>
        <v>69832.311912323465</v>
      </c>
      <c r="G10" s="1">
        <f>VLOOKUP(DBsoil[[#This Row],[Pile id]],$X$5:$Y$20,2)</f>
        <v>10</v>
      </c>
      <c r="I10" s="30"/>
      <c r="J10" s="30"/>
      <c r="K10" s="30"/>
      <c r="L10" s="30"/>
      <c r="M10" s="30"/>
      <c r="N10" s="30"/>
      <c r="O10" s="30">
        <v>1.7</v>
      </c>
      <c r="P10" s="30" t="s">
        <v>151</v>
      </c>
      <c r="Q10" s="30">
        <v>3</v>
      </c>
      <c r="R10" s="30">
        <v>1.3</v>
      </c>
      <c r="S10" s="30" t="s">
        <v>163</v>
      </c>
      <c r="T10" s="30">
        <v>288000</v>
      </c>
      <c r="U10" s="30">
        <v>0.25</v>
      </c>
      <c r="V10" s="27">
        <v>69832.311912323465</v>
      </c>
      <c r="W10" s="27"/>
      <c r="X10" s="30">
        <v>78</v>
      </c>
      <c r="Y10" s="30">
        <v>10</v>
      </c>
      <c r="Z10" s="33"/>
      <c r="AA10" s="33"/>
      <c r="AB10" s="32"/>
      <c r="AC10" s="35"/>
      <c r="AD10" s="29"/>
      <c r="AE10" s="28"/>
      <c r="AF10" s="29"/>
      <c r="AG10" s="36"/>
      <c r="AH10" s="28"/>
      <c r="AI10" s="28"/>
      <c r="AJ10" s="37"/>
      <c r="AK10" s="39"/>
    </row>
    <row r="11" spans="1:37" ht="14.25">
      <c r="A11">
        <f t="shared" si="4"/>
        <v>74</v>
      </c>
      <c r="B11">
        <f t="shared" si="5"/>
        <v>2.5</v>
      </c>
      <c r="C11">
        <f t="shared" si="0"/>
        <v>3</v>
      </c>
      <c r="D11">
        <f t="shared" si="1"/>
        <v>10</v>
      </c>
      <c r="E11">
        <f t="shared" si="7"/>
        <v>7</v>
      </c>
      <c r="F11">
        <f t="shared" si="3"/>
        <v>489483.20800782082</v>
      </c>
      <c r="G11" s="1">
        <f>VLOOKUP(DBsoil[[#This Row],[Pile id]],$X$5:$Y$20,2)</f>
        <v>10</v>
      </c>
      <c r="I11" s="30"/>
      <c r="J11" s="30"/>
      <c r="K11" s="30"/>
      <c r="L11" s="30"/>
      <c r="M11" s="30"/>
      <c r="N11" s="30"/>
      <c r="O11" s="30">
        <v>3</v>
      </c>
      <c r="P11" s="30" t="s">
        <v>151</v>
      </c>
      <c r="Q11" s="30">
        <v>10</v>
      </c>
      <c r="R11" s="30">
        <v>7</v>
      </c>
      <c r="S11" s="30" t="s">
        <v>164</v>
      </c>
      <c r="T11" s="30">
        <v>1762000</v>
      </c>
      <c r="U11" s="30">
        <v>0.22</v>
      </c>
      <c r="V11" s="27">
        <v>489483.20800782082</v>
      </c>
      <c r="W11" s="27"/>
      <c r="X11" s="30">
        <v>79</v>
      </c>
      <c r="Y11" s="30">
        <v>10</v>
      </c>
      <c r="Z11" s="33"/>
      <c r="AA11" s="33"/>
      <c r="AB11" s="32"/>
      <c r="AC11" s="35"/>
      <c r="AD11" s="29"/>
      <c r="AE11" s="28"/>
      <c r="AF11" s="29"/>
      <c r="AG11" s="36"/>
      <c r="AH11" s="28"/>
      <c r="AI11" s="28"/>
      <c r="AJ11" s="38"/>
      <c r="AK11" s="39"/>
    </row>
    <row r="12" spans="1:37" ht="14.25" customHeight="1">
      <c r="A12">
        <f t="shared" ref="A12" si="8">IF(N12="",A11,A11+1)</f>
        <v>75</v>
      </c>
      <c r="B12">
        <f t="shared" ref="B12" si="9">IF(N12="",B11,L12)</f>
        <v>2.5</v>
      </c>
      <c r="C12">
        <f t="shared" ref="C12" si="10">O12</f>
        <v>0</v>
      </c>
      <c r="D12">
        <f t="shared" ref="D12" si="11">Q12</f>
        <v>0.8</v>
      </c>
      <c r="E12">
        <f t="shared" ref="E12" si="12">D12-C12</f>
        <v>0.8</v>
      </c>
      <c r="F12">
        <f t="shared" ref="F12" si="13">V12</f>
        <v>69832.311912323465</v>
      </c>
      <c r="G12" s="1">
        <f>VLOOKUP(DBsoil[[#This Row],[Pile id]],$X$5:$Y$20,2)</f>
        <v>10</v>
      </c>
      <c r="I12" s="30" t="s">
        <v>169</v>
      </c>
      <c r="J12" s="30" t="s">
        <v>170</v>
      </c>
      <c r="K12" s="30">
        <v>29409000</v>
      </c>
      <c r="L12" s="30">
        <v>2.5</v>
      </c>
      <c r="M12" s="30">
        <v>1.91747598485705</v>
      </c>
      <c r="N12" s="30">
        <v>22.6</v>
      </c>
      <c r="O12" s="30">
        <v>0</v>
      </c>
      <c r="P12" s="30" t="s">
        <v>151</v>
      </c>
      <c r="Q12" s="30">
        <v>0.8</v>
      </c>
      <c r="R12" s="30">
        <v>0.8</v>
      </c>
      <c r="S12" s="30" t="s">
        <v>163</v>
      </c>
      <c r="T12" s="30">
        <v>288000</v>
      </c>
      <c r="U12" s="30">
        <v>0.25</v>
      </c>
      <c r="V12" s="27">
        <v>69832.311912323465</v>
      </c>
      <c r="W12" s="27"/>
      <c r="X12" s="30">
        <v>80</v>
      </c>
      <c r="Y12" s="30">
        <v>10</v>
      </c>
      <c r="Z12" s="33"/>
      <c r="AA12" s="33"/>
      <c r="AB12" s="32"/>
      <c r="AC12" s="29"/>
      <c r="AD12" s="29"/>
      <c r="AE12" s="28"/>
      <c r="AF12" s="29"/>
      <c r="AG12" s="36"/>
      <c r="AH12" s="28"/>
      <c r="AI12" s="28"/>
      <c r="AJ12" s="28"/>
      <c r="AK12" s="39"/>
    </row>
    <row r="13" spans="1:37" ht="14.25">
      <c r="A13">
        <f t="shared" ref="A13" si="14">IF(N13="",A12,A12+1)</f>
        <v>75</v>
      </c>
      <c r="B13">
        <f t="shared" ref="B13" si="15">IF(N13="",B12,L13)</f>
        <v>2.5</v>
      </c>
      <c r="C13">
        <f t="shared" ref="C13" si="16">O13</f>
        <v>0.8</v>
      </c>
      <c r="D13">
        <f t="shared" ref="D13" si="17">Q13</f>
        <v>10</v>
      </c>
      <c r="E13">
        <f t="shared" ref="E13" si="18">D13-C13</f>
        <v>9.1999999999999993</v>
      </c>
      <c r="F13">
        <f t="shared" ref="F13" si="19">V13</f>
        <v>489483.20800782082</v>
      </c>
      <c r="G13" s="1">
        <f>VLOOKUP(DBsoil[[#This Row],[Pile id]],$X$5:$Y$20,2)</f>
        <v>10</v>
      </c>
      <c r="I13" s="30"/>
      <c r="J13" s="30"/>
      <c r="K13" s="30"/>
      <c r="L13" s="30"/>
      <c r="M13" s="30"/>
      <c r="N13" s="30"/>
      <c r="O13" s="30">
        <v>0.8</v>
      </c>
      <c r="P13" s="30" t="s">
        <v>151</v>
      </c>
      <c r="Q13" s="30">
        <v>10</v>
      </c>
      <c r="R13" s="30">
        <v>9.1999999999999993</v>
      </c>
      <c r="S13" s="30" t="s">
        <v>164</v>
      </c>
      <c r="T13" s="30">
        <v>1762000</v>
      </c>
      <c r="U13" s="30">
        <v>0.22</v>
      </c>
      <c r="V13" s="27">
        <v>489483.20800782082</v>
      </c>
      <c r="W13" s="27"/>
      <c r="X13" s="30">
        <v>81</v>
      </c>
      <c r="Y13" s="30">
        <v>10</v>
      </c>
      <c r="Z13" s="33"/>
      <c r="AA13" s="33"/>
      <c r="AB13" s="32"/>
      <c r="AC13" s="29"/>
      <c r="AD13" s="29"/>
      <c r="AE13" s="28"/>
      <c r="AF13" s="29"/>
      <c r="AG13" s="36"/>
      <c r="AH13" s="28"/>
      <c r="AI13" s="28"/>
      <c r="AJ13" s="28"/>
      <c r="AK13" s="39"/>
    </row>
    <row r="14" spans="1:37" ht="14.25">
      <c r="A14">
        <f t="shared" ref="A14:A30" si="20">IF(N14="",A13,A13+1)</f>
        <v>76</v>
      </c>
      <c r="B14">
        <f t="shared" ref="B14:B30" si="21">IF(N14="",B13,L14)</f>
        <v>2.25</v>
      </c>
      <c r="C14">
        <f t="shared" ref="C14:C30" si="22">O14</f>
        <v>0</v>
      </c>
      <c r="D14">
        <f t="shared" ref="D14:D30" si="23">Q14</f>
        <v>4.0999999999999996</v>
      </c>
      <c r="E14">
        <f t="shared" ref="E14:E30" si="24">D14-C14</f>
        <v>4.0999999999999996</v>
      </c>
      <c r="F14">
        <f t="shared" ref="F14:F30" si="25">V14</f>
        <v>74913.728726463974</v>
      </c>
      <c r="G14" s="1">
        <f>VLOOKUP(DBsoil[[#This Row],[Pile id]],$X$5:$Y$20,2)</f>
        <v>10</v>
      </c>
      <c r="I14" s="30" t="s">
        <v>171</v>
      </c>
      <c r="J14" s="30" t="s">
        <v>172</v>
      </c>
      <c r="K14" s="30">
        <v>29409000</v>
      </c>
      <c r="L14" s="30">
        <v>2.25</v>
      </c>
      <c r="M14" s="30">
        <v>1.91747598485705</v>
      </c>
      <c r="N14" s="30">
        <v>22.1</v>
      </c>
      <c r="O14" s="30">
        <v>0</v>
      </c>
      <c r="P14" s="30" t="s">
        <v>151</v>
      </c>
      <c r="Q14" s="30">
        <v>4.0999999999999996</v>
      </c>
      <c r="R14" s="30">
        <v>4.0999999999999996</v>
      </c>
      <c r="S14" s="30" t="s">
        <v>163</v>
      </c>
      <c r="T14" s="30">
        <v>288000</v>
      </c>
      <c r="U14" s="30">
        <v>0.25</v>
      </c>
      <c r="V14" s="27">
        <v>74913.728726463974</v>
      </c>
      <c r="W14" s="27"/>
      <c r="X14" s="30"/>
      <c r="Y14" s="30"/>
      <c r="Z14" s="33"/>
      <c r="AA14" s="33"/>
      <c r="AB14" s="32"/>
      <c r="AC14" s="29"/>
      <c r="AD14" s="29"/>
      <c r="AE14" s="28"/>
      <c r="AF14" s="29"/>
      <c r="AG14" s="36"/>
      <c r="AH14" s="28"/>
      <c r="AI14" s="28"/>
      <c r="AJ14" s="28"/>
      <c r="AK14" s="39"/>
    </row>
    <row r="15" spans="1:37" ht="14.25">
      <c r="A15">
        <f t="shared" si="20"/>
        <v>76</v>
      </c>
      <c r="B15">
        <f t="shared" si="21"/>
        <v>2.25</v>
      </c>
      <c r="C15">
        <f t="shared" si="22"/>
        <v>4.0999999999999996</v>
      </c>
      <c r="D15">
        <f t="shared" si="23"/>
        <v>10</v>
      </c>
      <c r="E15">
        <f t="shared" si="24"/>
        <v>5.9</v>
      </c>
      <c r="F15">
        <f t="shared" si="25"/>
        <v>525100.93474917824</v>
      </c>
      <c r="G15" s="1">
        <f>VLOOKUP(DBsoil[[#This Row],[Pile id]],$X$5:$Y$20,2)</f>
        <v>10</v>
      </c>
      <c r="I15" s="30"/>
      <c r="J15" s="30"/>
      <c r="K15" s="30"/>
      <c r="L15" s="30"/>
      <c r="M15" s="30"/>
      <c r="N15" s="30"/>
      <c r="O15" s="30">
        <v>4.0999999999999996</v>
      </c>
      <c r="P15" s="30" t="s">
        <v>151</v>
      </c>
      <c r="Q15" s="30">
        <v>10</v>
      </c>
      <c r="R15" s="30">
        <v>5.9</v>
      </c>
      <c r="S15" s="30" t="s">
        <v>164</v>
      </c>
      <c r="T15" s="30">
        <v>1762000</v>
      </c>
      <c r="U15" s="30">
        <v>0.22</v>
      </c>
      <c r="V15" s="27">
        <v>525100.93474917824</v>
      </c>
      <c r="W15" s="27"/>
      <c r="X15" s="30"/>
      <c r="Y15" s="30"/>
      <c r="Z15" s="33"/>
      <c r="AA15" s="33"/>
      <c r="AB15" s="32"/>
      <c r="AC15" s="35"/>
      <c r="AD15" s="29"/>
      <c r="AE15" s="28"/>
      <c r="AF15" s="29"/>
      <c r="AG15" s="36"/>
      <c r="AH15" s="28"/>
      <c r="AI15" s="37"/>
      <c r="AJ15" s="38"/>
      <c r="AK15" s="39"/>
    </row>
    <row r="16" spans="1:37" ht="14.25">
      <c r="A16">
        <f t="shared" si="20"/>
        <v>77</v>
      </c>
      <c r="B16">
        <f t="shared" si="21"/>
        <v>2.5</v>
      </c>
      <c r="C16">
        <f t="shared" si="22"/>
        <v>0</v>
      </c>
      <c r="D16">
        <f t="shared" si="23"/>
        <v>0.3</v>
      </c>
      <c r="E16">
        <f t="shared" si="24"/>
        <v>0.3</v>
      </c>
      <c r="F16">
        <f t="shared" si="25"/>
        <v>69832.311912323465</v>
      </c>
      <c r="G16" s="1">
        <f>VLOOKUP(DBsoil[[#This Row],[Pile id]],$X$5:$Y$20,2)</f>
        <v>10</v>
      </c>
      <c r="I16" s="30" t="s">
        <v>173</v>
      </c>
      <c r="J16" s="30" t="s">
        <v>174</v>
      </c>
      <c r="K16" s="30">
        <v>29409000</v>
      </c>
      <c r="L16" s="30">
        <v>2.5</v>
      </c>
      <c r="M16" s="30">
        <v>1.91747598485705</v>
      </c>
      <c r="N16" s="30">
        <v>22.1</v>
      </c>
      <c r="O16" s="30">
        <v>0</v>
      </c>
      <c r="P16" s="30" t="s">
        <v>151</v>
      </c>
      <c r="Q16" s="30">
        <v>0.3</v>
      </c>
      <c r="R16" s="30">
        <v>0.3</v>
      </c>
      <c r="S16" s="30" t="s">
        <v>163</v>
      </c>
      <c r="T16" s="30">
        <v>288000</v>
      </c>
      <c r="U16" s="30">
        <v>0.25</v>
      </c>
      <c r="V16" s="27">
        <v>69832.311912323465</v>
      </c>
      <c r="W16" s="27"/>
      <c r="X16" s="30"/>
      <c r="Y16" s="30"/>
      <c r="Z16" s="33"/>
      <c r="AA16" s="33"/>
      <c r="AB16" s="32"/>
      <c r="AC16" s="35"/>
      <c r="AD16" s="29"/>
      <c r="AE16" s="28"/>
      <c r="AF16" s="29"/>
      <c r="AG16" s="36"/>
      <c r="AH16" s="28"/>
      <c r="AI16" s="28"/>
      <c r="AJ16" s="37"/>
      <c r="AK16" s="39"/>
    </row>
    <row r="17" spans="1:37" ht="14.25">
      <c r="A17">
        <f t="shared" si="20"/>
        <v>77</v>
      </c>
      <c r="B17">
        <f t="shared" si="21"/>
        <v>2.5</v>
      </c>
      <c r="C17">
        <f t="shared" si="22"/>
        <v>0.3</v>
      </c>
      <c r="D17">
        <f t="shared" si="23"/>
        <v>2.6</v>
      </c>
      <c r="E17">
        <f t="shared" si="24"/>
        <v>2.3000000000000003</v>
      </c>
      <c r="F17">
        <f t="shared" si="25"/>
        <v>69832.311912323465</v>
      </c>
      <c r="G17" s="1">
        <f>VLOOKUP(DBsoil[[#This Row],[Pile id]],$X$5:$Y$20,2)</f>
        <v>10</v>
      </c>
      <c r="I17" s="30"/>
      <c r="J17" s="30"/>
      <c r="K17" s="30"/>
      <c r="L17" s="30"/>
      <c r="M17" s="30"/>
      <c r="N17" s="30"/>
      <c r="O17" s="30">
        <v>0.3</v>
      </c>
      <c r="P17" s="30" t="s">
        <v>151</v>
      </c>
      <c r="Q17" s="30">
        <v>2.6</v>
      </c>
      <c r="R17" s="30">
        <v>2.3000000000000003</v>
      </c>
      <c r="S17" s="30" t="s">
        <v>163</v>
      </c>
      <c r="T17" s="30">
        <v>288000</v>
      </c>
      <c r="U17" s="30">
        <v>0.25</v>
      </c>
      <c r="V17" s="27">
        <v>69832.311912323465</v>
      </c>
      <c r="W17" s="27"/>
      <c r="X17" s="30"/>
      <c r="Y17" s="30"/>
      <c r="Z17" s="33"/>
      <c r="AA17" s="33"/>
      <c r="AB17" s="32"/>
      <c r="AC17" s="35"/>
      <c r="AD17" s="29"/>
      <c r="AE17" s="28"/>
      <c r="AF17" s="29"/>
      <c r="AG17" s="36"/>
      <c r="AH17" s="28"/>
      <c r="AI17" s="28"/>
      <c r="AJ17" s="38"/>
      <c r="AK17" s="39"/>
    </row>
    <row r="18" spans="1:37" ht="14.25">
      <c r="A18">
        <f t="shared" si="20"/>
        <v>77</v>
      </c>
      <c r="B18">
        <f t="shared" si="21"/>
        <v>2.5</v>
      </c>
      <c r="C18">
        <f t="shared" si="22"/>
        <v>2.6</v>
      </c>
      <c r="D18">
        <f t="shared" si="23"/>
        <v>10</v>
      </c>
      <c r="E18">
        <f t="shared" si="24"/>
        <v>7.4</v>
      </c>
      <c r="F18">
        <f t="shared" si="25"/>
        <v>489483.20800782082</v>
      </c>
      <c r="G18" s="1">
        <f>VLOOKUP(DBsoil[[#This Row],[Pile id]],$X$5:$Y$20,2)</f>
        <v>10</v>
      </c>
      <c r="I18" s="30"/>
      <c r="J18" s="30"/>
      <c r="K18" s="30"/>
      <c r="L18" s="30"/>
      <c r="M18" s="30"/>
      <c r="N18" s="30"/>
      <c r="O18" s="30">
        <v>2.6</v>
      </c>
      <c r="P18" s="30" t="s">
        <v>151</v>
      </c>
      <c r="Q18" s="30">
        <v>10</v>
      </c>
      <c r="R18" s="30">
        <v>7.4</v>
      </c>
      <c r="S18" s="30" t="s">
        <v>164</v>
      </c>
      <c r="T18" s="30">
        <v>1762000</v>
      </c>
      <c r="U18" s="30">
        <v>0.22</v>
      </c>
      <c r="V18" s="27">
        <v>489483.20800782082</v>
      </c>
      <c r="W18" s="27"/>
      <c r="X18" s="30"/>
      <c r="Y18" s="30"/>
      <c r="Z18" s="33"/>
      <c r="AA18" s="33"/>
      <c r="AB18" s="32"/>
      <c r="AC18" s="29"/>
      <c r="AD18" s="29"/>
      <c r="AE18" s="28"/>
      <c r="AF18" s="29"/>
      <c r="AG18" s="36"/>
      <c r="AH18" s="28"/>
      <c r="AI18" s="28"/>
      <c r="AJ18" s="28"/>
      <c r="AK18" s="39"/>
    </row>
    <row r="19" spans="1:37" ht="11.25" customHeight="1">
      <c r="A19">
        <f t="shared" si="20"/>
        <v>78</v>
      </c>
      <c r="B19">
        <f t="shared" si="21"/>
        <v>2.5</v>
      </c>
      <c r="C19">
        <f t="shared" si="22"/>
        <v>0</v>
      </c>
      <c r="D19">
        <f t="shared" si="23"/>
        <v>5.4</v>
      </c>
      <c r="E19">
        <f t="shared" si="24"/>
        <v>5.4</v>
      </c>
      <c r="F19">
        <f t="shared" si="25"/>
        <v>489483.20800782082</v>
      </c>
      <c r="G19" s="1">
        <f>VLOOKUP(DBsoil[[#This Row],[Pile id]],$X$5:$Y$20,2)</f>
        <v>10</v>
      </c>
      <c r="I19" s="30" t="s">
        <v>175</v>
      </c>
      <c r="J19" s="30" t="s">
        <v>176</v>
      </c>
      <c r="K19" s="30">
        <v>29409000</v>
      </c>
      <c r="L19" s="30">
        <v>2.5</v>
      </c>
      <c r="M19" s="30">
        <v>1.91747598485705</v>
      </c>
      <c r="N19" s="30">
        <v>21.6</v>
      </c>
      <c r="O19" s="30">
        <v>0</v>
      </c>
      <c r="P19" s="30" t="s">
        <v>151</v>
      </c>
      <c r="Q19" s="30">
        <v>5.4</v>
      </c>
      <c r="R19" s="30">
        <v>5.4</v>
      </c>
      <c r="S19" s="30" t="s">
        <v>164</v>
      </c>
      <c r="T19" s="30">
        <v>1762000</v>
      </c>
      <c r="U19" s="30">
        <v>0.22</v>
      </c>
      <c r="V19" s="27">
        <v>489483.20800782082</v>
      </c>
      <c r="W19" s="27"/>
      <c r="X19" s="30"/>
      <c r="Y19" s="30"/>
      <c r="Z19" s="33"/>
      <c r="AA19" s="33"/>
      <c r="AB19" s="34"/>
      <c r="AC19" s="35"/>
      <c r="AD19" s="29"/>
      <c r="AE19" s="28"/>
      <c r="AF19" s="29"/>
      <c r="AG19" s="36"/>
      <c r="AH19" s="28"/>
      <c r="AI19" s="28"/>
      <c r="AJ19" s="28"/>
      <c r="AK19" s="39"/>
    </row>
    <row r="20" spans="1:37" ht="11.25" customHeight="1">
      <c r="A20">
        <f t="shared" si="20"/>
        <v>78</v>
      </c>
      <c r="B20">
        <f t="shared" si="21"/>
        <v>2.5</v>
      </c>
      <c r="C20">
        <f t="shared" si="22"/>
        <v>5.4</v>
      </c>
      <c r="D20">
        <f t="shared" si="23"/>
        <v>10</v>
      </c>
      <c r="E20">
        <f t="shared" si="24"/>
        <v>4.5999999999999996</v>
      </c>
      <c r="F20">
        <f t="shared" si="25"/>
        <v>489483.20800782082</v>
      </c>
      <c r="G20" s="1">
        <f>VLOOKUP(DBsoil[[#This Row],[Pile id]],$X$5:$Y$20,2)</f>
        <v>10</v>
      </c>
      <c r="I20" s="30"/>
      <c r="J20" s="30"/>
      <c r="K20" s="30"/>
      <c r="L20" s="30"/>
      <c r="M20" s="30"/>
      <c r="N20" s="30"/>
      <c r="O20" s="30">
        <v>5.4</v>
      </c>
      <c r="P20" s="30" t="s">
        <v>151</v>
      </c>
      <c r="Q20" s="30">
        <v>10</v>
      </c>
      <c r="R20" s="30">
        <v>4.5999999999999996</v>
      </c>
      <c r="S20" s="30" t="s">
        <v>164</v>
      </c>
      <c r="T20" s="30">
        <v>1762000</v>
      </c>
      <c r="U20" s="30">
        <v>0.22</v>
      </c>
      <c r="V20" s="27">
        <v>489483.20800782082</v>
      </c>
      <c r="W20" s="27"/>
      <c r="X20" s="30"/>
      <c r="Y20" s="30"/>
      <c r="Z20" s="33"/>
      <c r="AA20" s="33"/>
      <c r="AB20" s="34"/>
      <c r="AC20" s="35"/>
      <c r="AD20" s="29"/>
      <c r="AE20" s="28"/>
      <c r="AF20" s="29"/>
      <c r="AG20" s="36"/>
      <c r="AH20" s="28"/>
      <c r="AI20" s="28"/>
      <c r="AJ20" s="28"/>
      <c r="AK20" s="39"/>
    </row>
    <row r="21" spans="1:37" ht="11.25" customHeight="1">
      <c r="A21">
        <f t="shared" si="20"/>
        <v>79</v>
      </c>
      <c r="B21">
        <f t="shared" si="21"/>
        <v>2.5</v>
      </c>
      <c r="C21">
        <f t="shared" si="22"/>
        <v>0</v>
      </c>
      <c r="D21">
        <f t="shared" si="23"/>
        <v>1.9</v>
      </c>
      <c r="E21">
        <f t="shared" si="24"/>
        <v>1.9</v>
      </c>
      <c r="F21">
        <f t="shared" si="25"/>
        <v>5982.8613772736016</v>
      </c>
      <c r="G21" s="1">
        <f>VLOOKUP(DBsoil[[#This Row],[Pile id]],$X$5:$Y$20,2)</f>
        <v>10</v>
      </c>
      <c r="I21" s="30" t="s">
        <v>177</v>
      </c>
      <c r="J21" s="30" t="s">
        <v>178</v>
      </c>
      <c r="K21" s="30">
        <v>29409000</v>
      </c>
      <c r="L21" s="30">
        <v>2.5</v>
      </c>
      <c r="M21" s="30">
        <v>1.91747598485705</v>
      </c>
      <c r="N21" s="30">
        <v>22.4</v>
      </c>
      <c r="O21" s="30">
        <v>0</v>
      </c>
      <c r="P21" s="30" t="s">
        <v>151</v>
      </c>
      <c r="Q21" s="30">
        <v>1.9</v>
      </c>
      <c r="R21" s="30">
        <v>1.9</v>
      </c>
      <c r="S21" s="30" t="s">
        <v>152</v>
      </c>
      <c r="T21" s="30">
        <v>29000</v>
      </c>
      <c r="U21" s="30">
        <v>0.3</v>
      </c>
      <c r="V21" s="27">
        <v>5982.8613772736016</v>
      </c>
      <c r="W21" s="27"/>
      <c r="X21" s="30"/>
      <c r="Y21" s="30"/>
      <c r="Z21" s="33"/>
      <c r="AA21" s="33"/>
      <c r="AB21" s="34"/>
      <c r="AC21" s="29"/>
      <c r="AD21" s="29"/>
      <c r="AE21" s="28"/>
      <c r="AF21" s="29"/>
      <c r="AG21" s="36"/>
      <c r="AH21" s="28"/>
      <c r="AI21" s="28"/>
      <c r="AJ21" s="37"/>
      <c r="AK21" s="39"/>
    </row>
    <row r="22" spans="1:37" ht="11.25" customHeight="1">
      <c r="A22">
        <f t="shared" si="20"/>
        <v>79</v>
      </c>
      <c r="B22">
        <f t="shared" si="21"/>
        <v>2.5</v>
      </c>
      <c r="C22">
        <f t="shared" si="22"/>
        <v>1.9</v>
      </c>
      <c r="D22">
        <f t="shared" si="23"/>
        <v>4.5</v>
      </c>
      <c r="E22">
        <f t="shared" si="24"/>
        <v>2.6</v>
      </c>
      <c r="F22">
        <f t="shared" si="25"/>
        <v>1029528.6804862762</v>
      </c>
      <c r="G22" s="1">
        <f>VLOOKUP(DBsoil[[#This Row],[Pile id]],$X$5:$Y$20,2)</f>
        <v>10</v>
      </c>
      <c r="I22" s="30"/>
      <c r="J22" s="30"/>
      <c r="K22" s="30"/>
      <c r="L22" s="30"/>
      <c r="M22" s="30"/>
      <c r="N22" s="30"/>
      <c r="O22" s="30">
        <v>1.9</v>
      </c>
      <c r="P22" s="30" t="s">
        <v>151</v>
      </c>
      <c r="Q22" s="30">
        <v>4.5</v>
      </c>
      <c r="R22" s="30">
        <v>2.6</v>
      </c>
      <c r="S22" s="30" t="s">
        <v>164</v>
      </c>
      <c r="T22" s="30">
        <v>3500000</v>
      </c>
      <c r="U22" s="30">
        <v>0.22</v>
      </c>
      <c r="V22" s="27">
        <v>1029528.6804862762</v>
      </c>
      <c r="W22" s="27"/>
      <c r="X22" s="30"/>
      <c r="Y22" s="30"/>
      <c r="Z22" s="33"/>
      <c r="AA22" s="33"/>
      <c r="AB22" s="32"/>
      <c r="AC22" s="35"/>
      <c r="AD22" s="29"/>
      <c r="AE22" s="28"/>
      <c r="AF22" s="29"/>
      <c r="AG22" s="36"/>
      <c r="AH22" s="28"/>
      <c r="AI22" s="28"/>
      <c r="AJ22" s="38"/>
      <c r="AK22" s="39"/>
    </row>
    <row r="23" spans="1:37" ht="11.25" customHeight="1">
      <c r="A23">
        <f t="shared" si="20"/>
        <v>79</v>
      </c>
      <c r="B23">
        <f t="shared" si="21"/>
        <v>2.5</v>
      </c>
      <c r="C23">
        <f t="shared" si="22"/>
        <v>4.5</v>
      </c>
      <c r="D23">
        <f t="shared" si="23"/>
        <v>10</v>
      </c>
      <c r="E23">
        <f t="shared" si="24"/>
        <v>5.5</v>
      </c>
      <c r="F23">
        <f t="shared" si="25"/>
        <v>1029528.6804862762</v>
      </c>
      <c r="G23" s="1">
        <f>VLOOKUP(DBsoil[[#This Row],[Pile id]],$X$5:$Y$20,2)</f>
        <v>10</v>
      </c>
      <c r="I23" s="30"/>
      <c r="J23" s="30"/>
      <c r="K23" s="30"/>
      <c r="L23" s="30"/>
      <c r="M23" s="30"/>
      <c r="N23" s="30"/>
      <c r="O23" s="30">
        <v>4.5</v>
      </c>
      <c r="P23" s="30" t="s">
        <v>151</v>
      </c>
      <c r="Q23" s="30">
        <v>10</v>
      </c>
      <c r="R23" s="30">
        <v>5.5</v>
      </c>
      <c r="S23" s="30" t="s">
        <v>164</v>
      </c>
      <c r="T23" s="30">
        <v>3500000</v>
      </c>
      <c r="U23" s="30">
        <v>0.22</v>
      </c>
      <c r="V23" s="27">
        <v>1029528.6804862762</v>
      </c>
      <c r="W23" s="27"/>
      <c r="X23" s="30"/>
      <c r="Y23" s="30"/>
      <c r="Z23" s="33"/>
      <c r="AA23" s="33"/>
      <c r="AB23" s="32"/>
      <c r="AC23" s="35"/>
      <c r="AD23" s="29"/>
      <c r="AE23" s="28"/>
      <c r="AF23" s="29"/>
      <c r="AG23" s="36"/>
      <c r="AH23" s="28"/>
      <c r="AI23" s="28"/>
      <c r="AJ23" s="28"/>
      <c r="AK23" s="39"/>
    </row>
    <row r="24" spans="1:37" ht="11.25" customHeight="1">
      <c r="A24">
        <f t="shared" si="20"/>
        <v>80</v>
      </c>
      <c r="B24">
        <f t="shared" si="21"/>
        <v>2.5</v>
      </c>
      <c r="C24">
        <f t="shared" si="22"/>
        <v>0</v>
      </c>
      <c r="D24">
        <f t="shared" si="23"/>
        <v>0.9</v>
      </c>
      <c r="E24">
        <f t="shared" si="24"/>
        <v>0.9</v>
      </c>
      <c r="F24">
        <f t="shared" si="25"/>
        <v>5982.8613772736016</v>
      </c>
      <c r="G24" s="1">
        <f>VLOOKUP(DBsoil[[#This Row],[Pile id]],$X$5:$Y$20,2)</f>
        <v>10</v>
      </c>
      <c r="I24" s="30" t="s">
        <v>179</v>
      </c>
      <c r="J24" s="30" t="s">
        <v>180</v>
      </c>
      <c r="K24" s="30">
        <v>29409000</v>
      </c>
      <c r="L24" s="30">
        <v>2.5</v>
      </c>
      <c r="M24" s="30">
        <v>1.91747598485705</v>
      </c>
      <c r="N24" s="30">
        <v>20.2</v>
      </c>
      <c r="O24" s="30">
        <v>0</v>
      </c>
      <c r="P24" s="30" t="s">
        <v>151</v>
      </c>
      <c r="Q24" s="30">
        <v>0.9</v>
      </c>
      <c r="R24" s="30">
        <v>0.9</v>
      </c>
      <c r="S24" s="30" t="s">
        <v>152</v>
      </c>
      <c r="T24" s="30">
        <v>29000</v>
      </c>
      <c r="U24" s="30">
        <v>0.3</v>
      </c>
      <c r="V24" s="27">
        <v>5982.8613772736016</v>
      </c>
      <c r="W24" s="27"/>
      <c r="X24" s="30"/>
      <c r="Y24" s="30"/>
      <c r="Z24" s="33"/>
      <c r="AA24" s="33"/>
      <c r="AB24" s="32"/>
      <c r="AC24" s="35"/>
      <c r="AD24" s="29"/>
      <c r="AE24" s="28"/>
      <c r="AF24" s="29"/>
      <c r="AG24" s="36"/>
      <c r="AH24" s="28"/>
      <c r="AI24" s="28"/>
      <c r="AJ24" s="28"/>
      <c r="AK24" s="39"/>
    </row>
    <row r="25" spans="1:37" ht="11.25" customHeight="1">
      <c r="A25">
        <f t="shared" si="20"/>
        <v>80</v>
      </c>
      <c r="B25">
        <f t="shared" si="21"/>
        <v>2.5</v>
      </c>
      <c r="C25">
        <f t="shared" si="22"/>
        <v>0.9</v>
      </c>
      <c r="D25">
        <f t="shared" si="23"/>
        <v>2.7</v>
      </c>
      <c r="E25">
        <f t="shared" si="24"/>
        <v>1.8000000000000003</v>
      </c>
      <c r="F25">
        <f t="shared" si="25"/>
        <v>5982.8613772736016</v>
      </c>
      <c r="G25" s="1">
        <f>VLOOKUP(DBsoil[[#This Row],[Pile id]],$X$5:$Y$20,2)</f>
        <v>10</v>
      </c>
      <c r="I25" s="30"/>
      <c r="J25" s="30"/>
      <c r="K25" s="30"/>
      <c r="L25" s="30"/>
      <c r="M25" s="30"/>
      <c r="N25" s="30"/>
      <c r="O25" s="30">
        <v>0.9</v>
      </c>
      <c r="P25" s="30" t="s">
        <v>151</v>
      </c>
      <c r="Q25" s="30">
        <v>2.7</v>
      </c>
      <c r="R25" s="30">
        <v>1.8000000000000003</v>
      </c>
      <c r="S25" s="30" t="s">
        <v>152</v>
      </c>
      <c r="T25" s="30">
        <v>29000</v>
      </c>
      <c r="U25" s="30">
        <v>0.3</v>
      </c>
      <c r="V25" s="27">
        <v>5982.8613772736016</v>
      </c>
      <c r="W25" s="27"/>
      <c r="X25" s="30"/>
      <c r="Y25" s="30"/>
      <c r="Z25" s="33"/>
      <c r="AA25" s="33"/>
      <c r="AB25" s="32"/>
      <c r="AC25" s="29"/>
      <c r="AD25" s="29"/>
      <c r="AE25" s="28"/>
      <c r="AF25" s="29"/>
      <c r="AG25" s="36"/>
      <c r="AH25" s="28"/>
      <c r="AI25" s="28"/>
      <c r="AJ25" s="28"/>
      <c r="AK25" s="39"/>
    </row>
    <row r="26" spans="1:37" ht="11.25" customHeight="1">
      <c r="A26">
        <f t="shared" si="20"/>
        <v>80</v>
      </c>
      <c r="B26">
        <f t="shared" si="21"/>
        <v>2.5</v>
      </c>
      <c r="C26">
        <f t="shared" si="22"/>
        <v>2.7</v>
      </c>
      <c r="D26">
        <f t="shared" si="23"/>
        <v>5.7</v>
      </c>
      <c r="E26">
        <f t="shared" si="24"/>
        <v>3</v>
      </c>
      <c r="F26">
        <f t="shared" si="25"/>
        <v>57316.113905277474</v>
      </c>
      <c r="G26" s="1">
        <f>VLOOKUP(DBsoil[[#This Row],[Pile id]],$X$5:$Y$20,2)</f>
        <v>10</v>
      </c>
      <c r="I26" s="30"/>
      <c r="J26" s="30"/>
      <c r="K26" s="30"/>
      <c r="L26" s="30"/>
      <c r="M26" s="30"/>
      <c r="N26" s="30"/>
      <c r="O26" s="30">
        <v>2.7</v>
      </c>
      <c r="P26" s="30" t="s">
        <v>151</v>
      </c>
      <c r="Q26" s="30">
        <v>5.7</v>
      </c>
      <c r="R26" s="30">
        <v>3</v>
      </c>
      <c r="S26" s="30" t="s">
        <v>163</v>
      </c>
      <c r="T26" s="30">
        <v>240000</v>
      </c>
      <c r="U26" s="30">
        <v>0.25</v>
      </c>
      <c r="V26" s="27">
        <v>57316.113905277474</v>
      </c>
      <c r="W26" s="27"/>
      <c r="X26" s="30"/>
      <c r="Y26" s="30"/>
      <c r="Z26" s="33"/>
      <c r="AA26" s="33"/>
      <c r="AB26" s="34"/>
      <c r="AC26" s="35"/>
      <c r="AD26" s="29"/>
      <c r="AE26" s="28"/>
      <c r="AF26" s="29"/>
      <c r="AG26" s="36"/>
      <c r="AH26" s="28"/>
      <c r="AI26" s="28"/>
      <c r="AJ26" s="37"/>
      <c r="AK26" s="39"/>
    </row>
    <row r="27" spans="1:37" ht="11.25" customHeight="1">
      <c r="A27">
        <f t="shared" si="20"/>
        <v>80</v>
      </c>
      <c r="B27">
        <f t="shared" si="21"/>
        <v>2.5</v>
      </c>
      <c r="C27">
        <f t="shared" si="22"/>
        <v>5.7</v>
      </c>
      <c r="D27">
        <f t="shared" si="23"/>
        <v>10</v>
      </c>
      <c r="E27">
        <f t="shared" si="24"/>
        <v>4.3</v>
      </c>
      <c r="F27">
        <f t="shared" si="25"/>
        <v>1029528.6804862762</v>
      </c>
      <c r="G27" s="1">
        <f>VLOOKUP(DBsoil[[#This Row],[Pile id]],$X$5:$Y$20,2)</f>
        <v>10</v>
      </c>
      <c r="I27" s="30"/>
      <c r="J27" s="30"/>
      <c r="K27" s="30"/>
      <c r="L27" s="30"/>
      <c r="M27" s="30"/>
      <c r="N27" s="30"/>
      <c r="O27" s="30">
        <v>5.7</v>
      </c>
      <c r="P27" s="30" t="s">
        <v>151</v>
      </c>
      <c r="Q27" s="30">
        <v>10</v>
      </c>
      <c r="R27" s="30">
        <v>4.3</v>
      </c>
      <c r="S27" s="30" t="s">
        <v>164</v>
      </c>
      <c r="T27" s="30">
        <v>3500000</v>
      </c>
      <c r="U27" s="30">
        <v>0.22</v>
      </c>
      <c r="V27" s="27">
        <v>1029528.6804862762</v>
      </c>
      <c r="W27" s="27"/>
      <c r="X27" s="30"/>
      <c r="Y27" s="30"/>
      <c r="Z27" s="33"/>
      <c r="AA27" s="33"/>
      <c r="AB27" s="34"/>
      <c r="AC27" s="35"/>
      <c r="AD27" s="29"/>
      <c r="AE27" s="28"/>
      <c r="AF27" s="29"/>
      <c r="AG27" s="36"/>
      <c r="AH27" s="28"/>
      <c r="AI27" s="28"/>
      <c r="AJ27" s="37"/>
      <c r="AK27" s="39"/>
    </row>
    <row r="28" spans="1:37" ht="11.25" customHeight="1">
      <c r="A28">
        <f t="shared" si="20"/>
        <v>81</v>
      </c>
      <c r="B28">
        <f t="shared" si="21"/>
        <v>2.5</v>
      </c>
      <c r="C28">
        <f t="shared" si="22"/>
        <v>0</v>
      </c>
      <c r="D28">
        <f t="shared" si="23"/>
        <v>1.1000000000000001</v>
      </c>
      <c r="E28">
        <f t="shared" si="24"/>
        <v>1.1000000000000001</v>
      </c>
      <c r="F28">
        <f t="shared" si="25"/>
        <v>5982.8613772736016</v>
      </c>
      <c r="G28" s="1">
        <f>VLOOKUP(DBsoil[[#This Row],[Pile id]],$X$5:$Y$20,2)</f>
        <v>10</v>
      </c>
      <c r="I28" s="30" t="s">
        <v>181</v>
      </c>
      <c r="J28" s="30" t="s">
        <v>182</v>
      </c>
      <c r="K28" s="30">
        <v>29409000</v>
      </c>
      <c r="L28" s="30">
        <v>2.5</v>
      </c>
      <c r="M28" s="30">
        <v>1.91747598485705</v>
      </c>
      <c r="N28" s="30">
        <v>18.600000000000001</v>
      </c>
      <c r="O28" s="30">
        <v>0</v>
      </c>
      <c r="P28" s="30" t="s">
        <v>151</v>
      </c>
      <c r="Q28" s="30">
        <v>1.1000000000000001</v>
      </c>
      <c r="R28" s="30">
        <v>1.1000000000000001</v>
      </c>
      <c r="S28" s="30" t="s">
        <v>152</v>
      </c>
      <c r="T28" s="30">
        <v>29000</v>
      </c>
      <c r="U28" s="30">
        <v>0.3</v>
      </c>
      <c r="V28" s="27">
        <v>5982.8613772736016</v>
      </c>
      <c r="W28" s="27"/>
      <c r="X28" s="30"/>
      <c r="Y28" s="30"/>
      <c r="Z28" s="33"/>
      <c r="AA28" s="33"/>
      <c r="AB28" s="34"/>
      <c r="AC28" s="29"/>
      <c r="AD28" s="29"/>
      <c r="AE28" s="28"/>
      <c r="AF28" s="29"/>
      <c r="AG28" s="36"/>
      <c r="AH28" s="28"/>
      <c r="AI28" s="28"/>
      <c r="AJ28" s="37"/>
      <c r="AK28" s="39"/>
    </row>
    <row r="29" spans="1:37" ht="11.25" customHeight="1">
      <c r="A29">
        <f t="shared" si="20"/>
        <v>81</v>
      </c>
      <c r="B29">
        <f t="shared" si="21"/>
        <v>2.5</v>
      </c>
      <c r="C29">
        <f t="shared" si="22"/>
        <v>1.1000000000000001</v>
      </c>
      <c r="D29">
        <f t="shared" si="23"/>
        <v>5</v>
      </c>
      <c r="E29">
        <f t="shared" si="24"/>
        <v>3.9</v>
      </c>
      <c r="F29">
        <f t="shared" si="25"/>
        <v>57316.113905277474</v>
      </c>
      <c r="G29" s="1">
        <f>VLOOKUP(DBsoil[[#This Row],[Pile id]],$X$5:$Y$20,2)</f>
        <v>10</v>
      </c>
      <c r="I29" s="30"/>
      <c r="J29" s="30"/>
      <c r="K29" s="30"/>
      <c r="L29" s="30"/>
      <c r="M29" s="30"/>
      <c r="N29" s="30"/>
      <c r="O29" s="30">
        <v>1.1000000000000001</v>
      </c>
      <c r="P29" s="30" t="s">
        <v>151</v>
      </c>
      <c r="Q29" s="30">
        <v>5</v>
      </c>
      <c r="R29" s="30">
        <v>3.9</v>
      </c>
      <c r="S29" s="30" t="s">
        <v>163</v>
      </c>
      <c r="T29" s="30">
        <v>240000</v>
      </c>
      <c r="U29" s="30">
        <v>0.25</v>
      </c>
      <c r="V29" s="27">
        <v>57316.113905277474</v>
      </c>
      <c r="W29" s="27"/>
      <c r="X29" s="30"/>
      <c r="Y29" s="30"/>
      <c r="Z29" s="33"/>
      <c r="AA29" s="33"/>
      <c r="AB29" s="32"/>
      <c r="AC29" s="35"/>
      <c r="AD29" s="29"/>
      <c r="AE29" s="28"/>
      <c r="AF29" s="29"/>
      <c r="AG29" s="36"/>
      <c r="AH29" s="28"/>
      <c r="AI29" s="28"/>
      <c r="AJ29" s="38"/>
      <c r="AK29" s="39"/>
    </row>
    <row r="30" spans="1:37" ht="11.25" customHeight="1">
      <c r="A30">
        <f t="shared" si="20"/>
        <v>81</v>
      </c>
      <c r="B30">
        <f t="shared" si="21"/>
        <v>2.5</v>
      </c>
      <c r="C30">
        <f t="shared" si="22"/>
        <v>5</v>
      </c>
      <c r="D30">
        <f t="shared" si="23"/>
        <v>10</v>
      </c>
      <c r="E30">
        <f t="shared" si="24"/>
        <v>5</v>
      </c>
      <c r="F30">
        <f t="shared" si="25"/>
        <v>1029528.6804862762</v>
      </c>
      <c r="G30" s="1">
        <f>VLOOKUP(DBsoil[[#This Row],[Pile id]],$X$5:$Y$20,2)</f>
        <v>10</v>
      </c>
      <c r="I30" s="30"/>
      <c r="J30" s="30"/>
      <c r="K30" s="30"/>
      <c r="L30" s="30"/>
      <c r="M30" s="30"/>
      <c r="N30" s="30"/>
      <c r="O30" s="30">
        <v>5</v>
      </c>
      <c r="P30" s="30" t="s">
        <v>151</v>
      </c>
      <c r="Q30" s="30">
        <v>10</v>
      </c>
      <c r="R30" s="30">
        <v>5</v>
      </c>
      <c r="S30" s="30" t="s">
        <v>164</v>
      </c>
      <c r="T30" s="30">
        <v>3500000</v>
      </c>
      <c r="U30" s="30">
        <v>0.22</v>
      </c>
      <c r="V30" s="27">
        <v>1029528.6804862762</v>
      </c>
      <c r="W30" s="27"/>
      <c r="X30" s="30"/>
      <c r="Y30" s="30"/>
      <c r="Z30" s="33"/>
      <c r="AA30" s="33"/>
      <c r="AB30" s="32"/>
      <c r="AC30" s="35"/>
      <c r="AD30" s="29"/>
      <c r="AE30" s="28"/>
      <c r="AF30" s="29"/>
      <c r="AG30" s="36"/>
      <c r="AH30" s="28"/>
      <c r="AI30" s="28"/>
      <c r="AJ30" s="28"/>
      <c r="AK30" s="39"/>
    </row>
  </sheetData>
  <mergeCells count="15">
    <mergeCell ref="T2:U2"/>
    <mergeCell ref="I2:I4"/>
    <mergeCell ref="J2:J4"/>
    <mergeCell ref="V2:V4"/>
    <mergeCell ref="K3:K4"/>
    <mergeCell ref="L3:L4"/>
    <mergeCell ref="M3:M4"/>
    <mergeCell ref="N3:Q3"/>
    <mergeCell ref="R3:R4"/>
    <mergeCell ref="S3:S4"/>
    <mergeCell ref="T3:T4"/>
    <mergeCell ref="U3:U4"/>
    <mergeCell ref="O4:Q4"/>
    <mergeCell ref="K2:M2"/>
    <mergeCell ref="N2:S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4935-68EE-4529-8496-21FF889EE1B4}">
  <dimension ref="A1:AQ16"/>
  <sheetViews>
    <sheetView workbookViewId="0">
      <selection activeCell="I27" sqref="I27"/>
    </sheetView>
  </sheetViews>
  <sheetFormatPr defaultRowHeight="11.25"/>
  <cols>
    <col min="6" max="6" width="15.75" bestFit="1" customWidth="1"/>
    <col min="8" max="16" width="7.875" bestFit="1" customWidth="1"/>
    <col min="17" max="17" width="9" bestFit="1" customWidth="1"/>
    <col min="20" max="28" width="6" bestFit="1" customWidth="1"/>
    <col min="29" max="31" width="7.125" bestFit="1" customWidth="1"/>
    <col min="32" max="40" width="5.875" bestFit="1" customWidth="1"/>
    <col min="41" max="43" width="7" bestFit="1" customWidth="1"/>
  </cols>
  <sheetData>
    <row r="1" spans="1:43">
      <c r="A1" t="s">
        <v>125</v>
      </c>
      <c r="B1" t="s">
        <v>47</v>
      </c>
      <c r="C1" t="s">
        <v>48</v>
      </c>
      <c r="D1" t="s">
        <v>126</v>
      </c>
      <c r="E1" t="s">
        <v>124</v>
      </c>
      <c r="F1" s="2" t="s">
        <v>82</v>
      </c>
      <c r="G1" s="9" t="s">
        <v>127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0" t="s">
        <v>118</v>
      </c>
      <c r="S1" s="10" t="s">
        <v>119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120</v>
      </c>
      <c r="AE1" s="10" t="s">
        <v>121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0" t="s">
        <v>95</v>
      </c>
      <c r="AP1" s="10" t="s">
        <v>122</v>
      </c>
      <c r="AQ1" s="10" t="s">
        <v>123</v>
      </c>
    </row>
    <row r="2" spans="1:43">
      <c r="A2">
        <v>74</v>
      </c>
      <c r="B2" s="1" t="str">
        <f>VLOOKUP(DBtendonA[[#This Row],[seg id]],DBsup[],6,0)</f>
        <v>L22</v>
      </c>
      <c r="C2" s="1" t="str">
        <f>VLOOKUP(DBtendonA[[#This Row],[seg id]],DBsup[],7,0)</f>
        <v>L22</v>
      </c>
      <c r="D2">
        <v>1</v>
      </c>
      <c r="E2" t="str">
        <f>"A"&amp;DBtendonA[[#This Row],[seg id]]&amp;"-"&amp;DBtendonA[[#This Row],[PT type]]</f>
        <v>A74-1</v>
      </c>
      <c r="F2" s="3" t="s">
        <v>83</v>
      </c>
      <c r="G2" s="18" t="s">
        <v>128</v>
      </c>
      <c r="H2" s="19">
        <v>0.14000000000000001</v>
      </c>
      <c r="I2" s="19">
        <v>1.375</v>
      </c>
      <c r="J2" s="19">
        <v>1.4850000000000001</v>
      </c>
      <c r="K2" s="19">
        <v>1</v>
      </c>
      <c r="L2" s="19">
        <v>1.75</v>
      </c>
      <c r="M2" s="19">
        <v>0.75</v>
      </c>
      <c r="N2" s="19">
        <v>0.75</v>
      </c>
      <c r="O2" s="19">
        <v>1.75</v>
      </c>
      <c r="P2" s="19">
        <v>1</v>
      </c>
      <c r="Q2" s="19">
        <v>1.4850000000000001</v>
      </c>
      <c r="R2" s="19">
        <v>1.375</v>
      </c>
      <c r="S2" s="19">
        <v>0.14000000000000001</v>
      </c>
      <c r="T2" s="19">
        <v>0</v>
      </c>
      <c r="U2" s="19">
        <v>0</v>
      </c>
      <c r="V2" s="19">
        <v>0.15</v>
      </c>
      <c r="W2" s="19">
        <v>0.15</v>
      </c>
      <c r="X2" s="19">
        <v>0.15</v>
      </c>
      <c r="Y2" s="19">
        <v>0.15</v>
      </c>
      <c r="Z2" s="19">
        <v>0.15</v>
      </c>
      <c r="AA2" s="19">
        <v>0.15</v>
      </c>
      <c r="AB2" s="19">
        <v>0.15</v>
      </c>
      <c r="AC2" s="19">
        <v>0.15</v>
      </c>
      <c r="AD2" s="19">
        <v>0</v>
      </c>
      <c r="AE2" s="19">
        <v>0</v>
      </c>
      <c r="AF2" s="19">
        <v>-1.5</v>
      </c>
      <c r="AG2" s="19">
        <v>-1.5</v>
      </c>
      <c r="AH2" s="19">
        <v>-1.7</v>
      </c>
      <c r="AI2" s="19">
        <v>-1.85</v>
      </c>
      <c r="AJ2" s="19">
        <v>-1.85</v>
      </c>
      <c r="AK2" s="19">
        <v>-1.85</v>
      </c>
      <c r="AL2" s="19">
        <v>-1.85</v>
      </c>
      <c r="AM2" s="19">
        <v>-1.85</v>
      </c>
      <c r="AN2" s="19">
        <v>-1.85</v>
      </c>
      <c r="AO2" s="19">
        <v>-1.7</v>
      </c>
      <c r="AP2" s="19">
        <v>-1.5</v>
      </c>
      <c r="AQ2" s="19">
        <v>-1.5</v>
      </c>
    </row>
    <row r="3" spans="1:43">
      <c r="A3">
        <v>74</v>
      </c>
      <c r="B3" s="1" t="str">
        <f>VLOOKUP(DBtendonA[[#This Row],[seg id]],DBsup[],6,0)</f>
        <v>L22</v>
      </c>
      <c r="C3" s="1" t="str">
        <f>VLOOKUP(DBtendonA[[#This Row],[seg id]],DBsup[],7,0)</f>
        <v>L22</v>
      </c>
      <c r="D3">
        <v>2</v>
      </c>
      <c r="E3" t="str">
        <f>"A"&amp;DBtendonA[[#This Row],[seg id]]&amp;"-"&amp;DBtendonA[[#This Row],[PT type]]</f>
        <v>A74-2</v>
      </c>
      <c r="F3" s="3" t="s">
        <v>83</v>
      </c>
      <c r="G3" s="18" t="s">
        <v>128</v>
      </c>
      <c r="H3" s="19" cm="1">
        <f t="array" ref="H3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3" s="19" cm="1">
        <f t="array" ref="I3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3" s="19" cm="1">
        <f t="array" ref="J3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3" s="19" cm="1">
        <f t="array" ref="K3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3" s="19" cm="1">
        <f t="array" ref="L3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3" s="19" cm="1">
        <f t="array" ref="M3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3" s="19" cm="1">
        <f t="array" ref="N3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3" s="19" cm="1">
        <f t="array" ref="O3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3" s="19" cm="1">
        <f t="array" ref="P3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3" s="19" cm="1">
        <f t="array" ref="Q3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3" s="19" cm="1">
        <f t="array" ref="R3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3" s="19" cm="1">
        <f t="array" ref="S3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3" s="19" cm="1">
        <f t="array" ref="T3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3" s="19" cm="1">
        <f t="array" ref="U3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3" s="19" cm="1">
        <f t="array" ref="V3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-0.15</v>
      </c>
      <c r="W3" s="19" cm="1">
        <f t="array" ref="W3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-0.15</v>
      </c>
      <c r="X3" s="19" cm="1">
        <f t="array" ref="X3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-0.15</v>
      </c>
      <c r="Y3" s="19" cm="1">
        <f t="array" ref="Y3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-0.15</v>
      </c>
      <c r="Z3" s="19" cm="1">
        <f t="array" ref="Z3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-0.15</v>
      </c>
      <c r="AA3" s="19" cm="1">
        <f t="array" ref="AA3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-0.15</v>
      </c>
      <c r="AB3" s="19" cm="1">
        <f t="array" ref="AB3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-0.15</v>
      </c>
      <c r="AC3" s="19" cm="1">
        <f t="array" ref="AC3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-0.15</v>
      </c>
      <c r="AD3" s="19" cm="1">
        <f t="array" ref="AD3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3" s="19" cm="1">
        <f t="array" ref="AE3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3" s="19" cm="1">
        <f t="array" ref="AF3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-1.04</v>
      </c>
      <c r="AG3" s="19" cm="1">
        <f t="array" ref="AG3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-1.04</v>
      </c>
      <c r="AH3" s="19" cm="1">
        <f t="array" ref="AH3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-1.3140000000000001</v>
      </c>
      <c r="AI3" s="19" cm="1">
        <f t="array" ref="AI3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-1.631</v>
      </c>
      <c r="AJ3" s="19" cm="1">
        <f t="array" ref="AJ3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-1.8360000000000001</v>
      </c>
      <c r="AK3" s="19" cm="1">
        <f t="array" ref="AK3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3" s="19" cm="1">
        <f t="array" ref="AL3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3" s="19" cm="1">
        <f t="array" ref="AM3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-1.8360000000000001</v>
      </c>
      <c r="AN3" s="19" cm="1">
        <f t="array" ref="AN3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-1.631</v>
      </c>
      <c r="AO3" s="19" cm="1">
        <f t="array" ref="AO3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-1.3140000000000001</v>
      </c>
      <c r="AP3" s="19" cm="1">
        <f t="array" ref="AP3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-1.04</v>
      </c>
      <c r="AQ3" s="19" cm="1">
        <f t="array" ref="AQ3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-1.04</v>
      </c>
    </row>
    <row r="4" spans="1:43">
      <c r="A4">
        <v>74</v>
      </c>
      <c r="B4" s="1" t="str">
        <f>VLOOKUP(DBtendonA[[#This Row],[seg id]],DBsup[],6,0)</f>
        <v>L22</v>
      </c>
      <c r="C4" s="1" t="str">
        <f>VLOOKUP(DBtendonA[[#This Row],[seg id]],DBsup[],7,0)</f>
        <v>L22</v>
      </c>
      <c r="D4">
        <v>3</v>
      </c>
      <c r="E4" t="str">
        <f>"A"&amp;DBtendonA[[#This Row],[seg id]]&amp;"-"&amp;DBtendonA[[#This Row],[PT type]]</f>
        <v>A74-3</v>
      </c>
      <c r="F4" s="3" t="s">
        <v>83</v>
      </c>
      <c r="G4" s="18" t="s">
        <v>128</v>
      </c>
      <c r="H4" s="19" cm="1">
        <f t="array" ref="H4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4" s="19" cm="1">
        <f t="array" ref="I4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4" s="19" cm="1">
        <f t="array" ref="J4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4" s="19" cm="1">
        <f t="array" ref="K4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4" s="19" cm="1">
        <f t="array" ref="L4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4" s="19" cm="1">
        <f t="array" ref="M4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4" s="19" cm="1">
        <f t="array" ref="N4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4" s="19" cm="1">
        <f t="array" ref="O4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4" s="19" cm="1">
        <f t="array" ref="P4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4" s="19" cm="1">
        <f t="array" ref="Q4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4" s="19" cm="1">
        <f t="array" ref="R4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4" s="19" cm="1">
        <f t="array" ref="S4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4" s="19" cm="1">
        <f t="array" ref="T4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4" s="19" cm="1">
        <f t="array" ref="U4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4" s="19" cm="1">
        <f t="array" ref="V4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4" s="19" cm="1">
        <f t="array" ref="W4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4" s="19" cm="1">
        <f t="array" ref="X4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4" s="19" cm="1">
        <f t="array" ref="Y4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4" s="19" cm="1">
        <f t="array" ref="Z4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4" s="19" cm="1">
        <f t="array" ref="AA4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4" s="19" cm="1">
        <f t="array" ref="AB4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4" s="19" cm="1">
        <f t="array" ref="AC4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4" s="19" cm="1">
        <f t="array" ref="AD4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4" s="19" cm="1">
        <f t="array" ref="AE4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4" s="19" cm="1">
        <f t="array" ref="AF4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-0.5</v>
      </c>
      <c r="AG4" s="19" cm="1">
        <f t="array" ref="AG4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-0.5</v>
      </c>
      <c r="AH4" s="19" cm="1">
        <f t="array" ref="AH4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-0.439</v>
      </c>
      <c r="AI4" s="19" cm="1">
        <f t="array" ref="AI4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-0.33300000000000002</v>
      </c>
      <c r="AJ4" s="19" cm="1">
        <f t="array" ref="AJ4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-0.15</v>
      </c>
      <c r="AK4" s="19" cm="1">
        <f t="array" ref="AK4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-0.15</v>
      </c>
      <c r="AL4" s="19" cm="1">
        <f t="array" ref="AL4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-0.15</v>
      </c>
      <c r="AM4" s="19" cm="1">
        <f t="array" ref="AM4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-0.15</v>
      </c>
      <c r="AN4" s="19" cm="1">
        <f t="array" ref="AN4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-0.33300000000000002</v>
      </c>
      <c r="AO4" s="19" cm="1">
        <f t="array" ref="AO4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-0.439</v>
      </c>
      <c r="AP4" s="19" cm="1">
        <f t="array" ref="AP4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-0.5</v>
      </c>
      <c r="AQ4" s="19" cm="1">
        <f t="array" ref="AQ4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-0.5</v>
      </c>
    </row>
    <row r="5" spans="1:43">
      <c r="A5">
        <v>75</v>
      </c>
      <c r="B5" s="1" t="str">
        <f>VLOOKUP(DBtendonA[[#This Row],[seg id]],DBsup[],6,0)</f>
        <v>L22</v>
      </c>
      <c r="C5" s="1" t="str">
        <f>VLOOKUP(DBtendonA[[#This Row],[seg id]],DBsup[],7,0)</f>
        <v>L21</v>
      </c>
      <c r="D5">
        <v>1</v>
      </c>
      <c r="E5" t="str">
        <f>"A"&amp;DBtendonA[[#This Row],[seg id]]&amp;"-"&amp;DBtendonA[[#This Row],[PT type]]</f>
        <v>A75-1</v>
      </c>
      <c r="F5" s="3" t="s">
        <v>83</v>
      </c>
      <c r="G5" s="18" t="s">
        <v>128</v>
      </c>
      <c r="H5" s="19">
        <v>0.14000000000000001</v>
      </c>
      <c r="I5" s="19">
        <v>1.375</v>
      </c>
      <c r="J5" s="19">
        <v>1.4850000000000001</v>
      </c>
      <c r="K5" s="19">
        <v>1</v>
      </c>
      <c r="L5" s="19">
        <v>1.75</v>
      </c>
      <c r="M5" s="19">
        <v>0.75</v>
      </c>
      <c r="N5" s="19">
        <v>0.75</v>
      </c>
      <c r="O5" s="19">
        <v>1.75</v>
      </c>
      <c r="P5" s="19">
        <v>1</v>
      </c>
      <c r="Q5" s="19">
        <v>1.4850000000000001</v>
      </c>
      <c r="R5" s="19">
        <v>1.375</v>
      </c>
      <c r="S5" s="19">
        <v>0.14000000000000001</v>
      </c>
      <c r="T5" s="19">
        <v>0</v>
      </c>
      <c r="U5" s="19">
        <v>0</v>
      </c>
      <c r="V5" s="19">
        <v>0.15</v>
      </c>
      <c r="W5" s="19">
        <v>0.15</v>
      </c>
      <c r="X5" s="19">
        <v>0.15</v>
      </c>
      <c r="Y5" s="19">
        <v>0.15</v>
      </c>
      <c r="Z5" s="19">
        <v>0.15</v>
      </c>
      <c r="AA5" s="19">
        <v>0.15</v>
      </c>
      <c r="AB5" s="19">
        <v>0.15</v>
      </c>
      <c r="AC5" s="19">
        <v>0.15</v>
      </c>
      <c r="AD5" s="19">
        <v>0</v>
      </c>
      <c r="AE5" s="19">
        <v>0</v>
      </c>
      <c r="AF5" s="19">
        <v>-1.5</v>
      </c>
      <c r="AG5" s="19">
        <v>-1.5</v>
      </c>
      <c r="AH5" s="19">
        <v>-1.7</v>
      </c>
      <c r="AI5" s="19">
        <v>-1.85</v>
      </c>
      <c r="AJ5" s="19">
        <v>-1.85</v>
      </c>
      <c r="AK5" s="19">
        <v>-1.85</v>
      </c>
      <c r="AL5" s="19">
        <v>-1.85</v>
      </c>
      <c r="AM5" s="19">
        <v>-1.85</v>
      </c>
      <c r="AN5" s="19">
        <v>-1.85</v>
      </c>
      <c r="AO5" s="19">
        <v>-1.7</v>
      </c>
      <c r="AP5" s="19">
        <v>-1.5</v>
      </c>
      <c r="AQ5" s="19">
        <v>-1.5</v>
      </c>
    </row>
    <row r="6" spans="1:43">
      <c r="A6">
        <v>75</v>
      </c>
      <c r="B6" s="1" t="str">
        <f>VLOOKUP(DBtendonA[[#This Row],[seg id]],DBsup[],6,0)</f>
        <v>L22</v>
      </c>
      <c r="C6" s="1" t="str">
        <f>VLOOKUP(DBtendonA[[#This Row],[seg id]],DBsup[],7,0)</f>
        <v>L21</v>
      </c>
      <c r="D6">
        <v>2</v>
      </c>
      <c r="E6" t="str">
        <f>"A"&amp;DBtendonA[[#This Row],[seg id]]&amp;"-"&amp;DBtendonA[[#This Row],[PT type]]</f>
        <v>A75-2</v>
      </c>
      <c r="F6" s="3" t="s">
        <v>83</v>
      </c>
      <c r="G6" s="18" t="s">
        <v>128</v>
      </c>
      <c r="H6" s="19" cm="1">
        <f t="array" ref="H6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6" s="19" cm="1">
        <f t="array" ref="I6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6" s="19" cm="1">
        <f t="array" ref="J6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6" s="19" cm="1">
        <f t="array" ref="K6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6" s="19" cm="1">
        <f t="array" ref="L6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6" s="19" cm="1">
        <f t="array" ref="M6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6" s="19" cm="1">
        <f t="array" ref="N6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6" s="19" cm="1">
        <f t="array" ref="O6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6" s="19" cm="1">
        <f t="array" ref="P6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6" s="19" cm="1">
        <f t="array" ref="Q6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6" s="19" cm="1">
        <f t="array" ref="R6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6" s="19" cm="1">
        <f t="array" ref="S6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6" s="19" cm="1">
        <f t="array" ref="T6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6" s="19" cm="1">
        <f t="array" ref="U6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6" s="19" cm="1">
        <f t="array" ref="V6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-0.15</v>
      </c>
      <c r="W6" s="19" cm="1">
        <f t="array" ref="W6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-0.15</v>
      </c>
      <c r="X6" s="19" cm="1">
        <f t="array" ref="X6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-0.15</v>
      </c>
      <c r="Y6" s="19" cm="1">
        <f t="array" ref="Y6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-0.15</v>
      </c>
      <c r="Z6" s="19" cm="1">
        <f t="array" ref="Z6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-0.15</v>
      </c>
      <c r="AA6" s="19" cm="1">
        <f t="array" ref="AA6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-0.15</v>
      </c>
      <c r="AB6" s="19" cm="1">
        <f t="array" ref="AB6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-0.15</v>
      </c>
      <c r="AC6" s="19" cm="1">
        <f t="array" ref="AC6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-0.15</v>
      </c>
      <c r="AD6" s="19" cm="1">
        <f t="array" ref="AD6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6" s="19" cm="1">
        <f t="array" ref="AE6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6" s="19" cm="1">
        <f t="array" ref="AF6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-1.04</v>
      </c>
      <c r="AG6" s="19" cm="1">
        <f t="array" ref="AG6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-1.04</v>
      </c>
      <c r="AH6" s="19" cm="1">
        <f t="array" ref="AH6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-1.3140000000000001</v>
      </c>
      <c r="AI6" s="19" cm="1">
        <f t="array" ref="AI6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-1.631</v>
      </c>
      <c r="AJ6" s="19" cm="1">
        <f t="array" ref="AJ6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-1.8360000000000001</v>
      </c>
      <c r="AK6" s="19" cm="1">
        <f t="array" ref="AK6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6" s="19" cm="1">
        <f t="array" ref="AL6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6" s="19" cm="1">
        <f t="array" ref="AM6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-1.8360000000000001</v>
      </c>
      <c r="AN6" s="19" cm="1">
        <f t="array" ref="AN6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-1.631</v>
      </c>
      <c r="AO6" s="19" cm="1">
        <f t="array" ref="AO6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-1.3140000000000001</v>
      </c>
      <c r="AP6" s="19" cm="1">
        <f t="array" ref="AP6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-1.04</v>
      </c>
      <c r="AQ6" s="19" cm="1">
        <f t="array" ref="AQ6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-1.04</v>
      </c>
    </row>
    <row r="7" spans="1:43">
      <c r="A7">
        <v>75</v>
      </c>
      <c r="B7" s="1" t="str">
        <f>VLOOKUP(DBtendonA[[#This Row],[seg id]],DBsup[],6,0)</f>
        <v>L22</v>
      </c>
      <c r="C7" s="1" t="str">
        <f>VLOOKUP(DBtendonA[[#This Row],[seg id]],DBsup[],7,0)</f>
        <v>L21</v>
      </c>
      <c r="D7">
        <v>3</v>
      </c>
      <c r="E7" t="str">
        <f>"A"&amp;DBtendonA[[#This Row],[seg id]]&amp;"-"&amp;DBtendonA[[#This Row],[PT type]]</f>
        <v>A75-3</v>
      </c>
      <c r="F7" s="3" t="s">
        <v>83</v>
      </c>
      <c r="G7" s="18" t="s">
        <v>128</v>
      </c>
      <c r="H7" s="19" cm="1">
        <f t="array" ref="H7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7" s="19" cm="1">
        <f t="array" ref="I7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7" s="19" cm="1">
        <f t="array" ref="J7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7" s="19" cm="1">
        <f t="array" ref="K7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7" s="19" cm="1">
        <f t="array" ref="L7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7" s="19" cm="1">
        <f t="array" ref="M7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7" s="19" cm="1">
        <f t="array" ref="N7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7" s="19" cm="1">
        <f t="array" ref="O7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7" s="19" cm="1">
        <f t="array" ref="P7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7" s="19" cm="1">
        <f t="array" ref="Q7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7" s="19" cm="1">
        <f t="array" ref="R7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7" s="19" cm="1">
        <f t="array" ref="S7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7" s="19" cm="1">
        <f t="array" ref="T7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7" s="19" cm="1">
        <f t="array" ref="U7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7" s="19" cm="1">
        <f t="array" ref="V7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7" s="19" cm="1">
        <f t="array" ref="W7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7" s="19" cm="1">
        <f t="array" ref="X7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7" s="19" cm="1">
        <f t="array" ref="Y7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7" s="19" cm="1">
        <f t="array" ref="Z7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7" s="19" cm="1">
        <f t="array" ref="AA7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7" s="19" cm="1">
        <f t="array" ref="AB7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7" s="19" cm="1">
        <f t="array" ref="AC7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7" s="19" cm="1">
        <f t="array" ref="AD7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7" s="19" cm="1">
        <f t="array" ref="AE7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7" s="19" cm="1">
        <f t="array" ref="AF7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-0.5</v>
      </c>
      <c r="AG7" s="19" cm="1">
        <f t="array" ref="AG7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-0.5</v>
      </c>
      <c r="AH7" s="19" cm="1">
        <f t="array" ref="AH7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-0.439</v>
      </c>
      <c r="AI7" s="19" cm="1">
        <f t="array" ref="AI7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-0.33300000000000002</v>
      </c>
      <c r="AJ7" s="19" cm="1">
        <f t="array" ref="AJ7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-0.15</v>
      </c>
      <c r="AK7" s="19" cm="1">
        <f t="array" ref="AK7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-0.15</v>
      </c>
      <c r="AL7" s="19" cm="1">
        <f t="array" ref="AL7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-0.15</v>
      </c>
      <c r="AM7" s="19" cm="1">
        <f t="array" ref="AM7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-0.15</v>
      </c>
      <c r="AN7" s="19" cm="1">
        <f t="array" ref="AN7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-0.33300000000000002</v>
      </c>
      <c r="AO7" s="19" cm="1">
        <f t="array" ref="AO7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-0.439</v>
      </c>
      <c r="AP7" s="19" cm="1">
        <f t="array" ref="AP7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-0.5</v>
      </c>
      <c r="AQ7" s="19" cm="1">
        <f t="array" ref="AQ7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-0.5</v>
      </c>
    </row>
    <row r="8" spans="1:43">
      <c r="A8">
        <v>76</v>
      </c>
      <c r="B8" s="1" t="str">
        <f>VLOOKUP(DBtendonA[[#This Row],[seg id]],DBsup[],6,0)</f>
        <v>L21</v>
      </c>
      <c r="C8" s="1" t="str">
        <f>VLOOKUP(DBtendonA[[#This Row],[seg id]],DBsup[],7,0)</f>
        <v>M</v>
      </c>
      <c r="D8">
        <v>1</v>
      </c>
      <c r="E8" t="str">
        <f>"A"&amp;DBtendonA[[#This Row],[seg id]]&amp;"-"&amp;DBtendonA[[#This Row],[PT type]]</f>
        <v>A76-1</v>
      </c>
      <c r="F8" s="3" t="s">
        <v>83</v>
      </c>
      <c r="G8" s="18" t="s">
        <v>128</v>
      </c>
      <c r="H8" s="19" cm="1">
        <f t="array" ref="H8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7.2999999999999995E-2</v>
      </c>
      <c r="I8" s="19" cm="1">
        <f t="array" ref="I8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1.518</v>
      </c>
      <c r="J8" s="19" cm="1">
        <f t="array" ref="J8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2.0840000000000001</v>
      </c>
      <c r="K8" s="19" cm="1">
        <f t="array" ref="K8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2.9159999999999999</v>
      </c>
      <c r="L8" s="19" cm="1">
        <f t="array" ref="L8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8" s="19" cm="1">
        <f t="array" ref="M8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8" s="19" cm="1">
        <f t="array" ref="N8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8" s="19" cm="1">
        <f t="array" ref="O8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8" s="19" cm="1">
        <f t="array" ref="P8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8" s="19" cm="1">
        <f t="array" ref="Q8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8" s="19" cm="1">
        <f t="array" ref="R8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8" s="19" cm="1">
        <f t="array" ref="S8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8" s="19" cm="1">
        <f t="array" ref="T8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8" s="19" cm="1">
        <f t="array" ref="U8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8" s="19" cm="1">
        <f t="array" ref="V8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8" s="19" cm="1">
        <f t="array" ref="W8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8" s="19" cm="1">
        <f t="array" ref="X8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8" s="19" cm="1">
        <f t="array" ref="Y8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8" s="19" cm="1">
        <f t="array" ref="Z8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8" s="19" cm="1">
        <f t="array" ref="AA8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8" s="19" cm="1">
        <f t="array" ref="AB8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8" s="19" cm="1">
        <f t="array" ref="AC8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8" s="19" cm="1">
        <f t="array" ref="AD8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8" s="19" cm="1">
        <f t="array" ref="AE8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8" s="19" cm="1">
        <f t="array" ref="AF8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-1.4</v>
      </c>
      <c r="AG8" s="19" cm="1">
        <f t="array" ref="AG8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8" s="19" cm="1">
        <f t="array" ref="AH8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8" s="19" cm="1">
        <f t="array" ref="AI8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8" s="19" cm="1">
        <f t="array" ref="AJ8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8" s="19" cm="1">
        <f t="array" ref="AK8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8" s="19" cm="1">
        <f t="array" ref="AL8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8" s="19" cm="1">
        <f t="array" ref="AM8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8" s="19" cm="1">
        <f t="array" ref="AN8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8" s="19" cm="1">
        <f t="array" ref="AO8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8" s="19" cm="1">
        <f t="array" ref="AP8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8" s="19" cm="1">
        <f t="array" ref="AQ8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9" spans="1:43">
      <c r="A9">
        <f>A8+1</f>
        <v>77</v>
      </c>
      <c r="B9" s="1" t="str">
        <f>VLOOKUP(DBtendonA[[#This Row],[seg id]],DBsup[],6,0)</f>
        <v>M</v>
      </c>
      <c r="C9" s="1" t="str">
        <f>VLOOKUP(DBtendonA[[#This Row],[seg id]],DBsup[],7,0)</f>
        <v>M</v>
      </c>
      <c r="D9">
        <v>1</v>
      </c>
      <c r="E9" t="str">
        <f>"A"&amp;DBtendonA[[#This Row],[seg id]]&amp;"-"&amp;DBtendonA[[#This Row],[PT type]]</f>
        <v>A77-1</v>
      </c>
      <c r="F9" s="3" t="s">
        <v>83</v>
      </c>
      <c r="G9" s="18" t="s">
        <v>128</v>
      </c>
      <c r="H9" s="19" cm="1">
        <f t="array" ref="H9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9" s="19" cm="1">
        <f t="array" ref="I9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9" s="19" cm="1">
        <f t="array" ref="J9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9" s="19" cm="1">
        <f t="array" ref="K9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9" s="19" cm="1">
        <f t="array" ref="L9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9" s="19" cm="1">
        <f t="array" ref="M9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9" s="19" cm="1">
        <f t="array" ref="N9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9" s="19" cm="1">
        <f t="array" ref="O9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9" s="19" cm="1">
        <f t="array" ref="P9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9" s="19" cm="1">
        <f t="array" ref="Q9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9" s="19" cm="1">
        <f t="array" ref="R9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9" s="19" cm="1">
        <f t="array" ref="S9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9" s="19" cm="1">
        <f t="array" ref="T9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9" s="19" cm="1">
        <f t="array" ref="U9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9" s="19" cm="1">
        <f t="array" ref="V9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9" s="19" cm="1">
        <f t="array" ref="W9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9" s="19" cm="1">
        <f t="array" ref="X9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9" s="19" cm="1">
        <f t="array" ref="Y9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9" s="19" cm="1">
        <f t="array" ref="Z9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9" s="19" cm="1">
        <f t="array" ref="AA9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9" s="19" cm="1">
        <f t="array" ref="AB9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9" s="19" cm="1">
        <f t="array" ref="AC9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9" s="19" cm="1">
        <f t="array" ref="AD9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9" s="19" cm="1">
        <f t="array" ref="AE9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9" s="19" cm="1">
        <f t="array" ref="AF9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9" s="19" cm="1">
        <f t="array" ref="AG9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9" s="19" cm="1">
        <f t="array" ref="AH9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9" s="19" cm="1">
        <f t="array" ref="AI9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9" s="19" cm="1">
        <f t="array" ref="AJ9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9" s="19" cm="1">
        <f t="array" ref="AK9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9" s="19" cm="1">
        <f t="array" ref="AL9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9" s="19" cm="1">
        <f t="array" ref="AM9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9" s="19" cm="1">
        <f t="array" ref="AN9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9" s="19" cm="1">
        <f t="array" ref="AO9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9" s="19" cm="1">
        <f t="array" ref="AP9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9" s="19" cm="1">
        <f t="array" ref="AQ9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10" spans="1:43">
      <c r="A10">
        <f t="shared" ref="A10:A14" si="0">A9+1</f>
        <v>78</v>
      </c>
      <c r="B10" s="1" t="str">
        <f>VLOOKUP(DBtendonA[[#This Row],[seg id]],DBsup[],6,0)</f>
        <v>M</v>
      </c>
      <c r="C10" s="1" t="str">
        <f>VLOOKUP(DBtendonA[[#This Row],[seg id]],DBsup[],7,0)</f>
        <v>L11</v>
      </c>
      <c r="D10">
        <v>1</v>
      </c>
      <c r="E10" t="str">
        <f>"A"&amp;DBtendonA[[#This Row],[seg id]]&amp;"-"&amp;DBtendonA[[#This Row],[PT type]]</f>
        <v>A78-1</v>
      </c>
      <c r="F10" s="3" t="s">
        <v>83</v>
      </c>
      <c r="G10" s="18" t="s">
        <v>128</v>
      </c>
      <c r="H10" s="19" cm="1">
        <f t="array" ref="H10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10" s="19" cm="1">
        <f t="array" ref="I10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10" s="19" cm="1">
        <f t="array" ref="J10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10" s="19" cm="1">
        <f t="array" ref="K10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10" s="19" cm="1">
        <f t="array" ref="L10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0" s="19" cm="1">
        <f t="array" ref="M10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0" s="19" cm="1">
        <f t="array" ref="N10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0" s="19" cm="1">
        <f t="array" ref="O10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0" s="19" cm="1">
        <f t="array" ref="P10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2.9159999999999999</v>
      </c>
      <c r="Q10" s="19" cm="1">
        <f t="array" ref="Q10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2.0840000000000001</v>
      </c>
      <c r="R10" s="19" cm="1">
        <f t="array" ref="R10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1.518</v>
      </c>
      <c r="S10" s="19" cm="1">
        <f t="array" ref="S10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7.2999999999999995E-2</v>
      </c>
      <c r="T10" s="19" cm="1">
        <f t="array" ref="T10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0" s="19" cm="1">
        <f t="array" ref="U10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0" s="19" cm="1">
        <f t="array" ref="V10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0" s="19" cm="1">
        <f t="array" ref="W10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0" s="19" cm="1">
        <f t="array" ref="X10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0" s="19" cm="1">
        <f t="array" ref="Y10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0" s="19" cm="1">
        <f t="array" ref="Z10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0" s="19" cm="1">
        <f t="array" ref="AA10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0" s="19" cm="1">
        <f t="array" ref="AB10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0" s="19" cm="1">
        <f t="array" ref="AC10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0" s="19" cm="1">
        <f t="array" ref="AD10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0" s="19" cm="1">
        <f t="array" ref="AE10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0" s="19" cm="1">
        <f t="array" ref="AF10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10" s="19" cm="1">
        <f t="array" ref="AG10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0" s="19" cm="1">
        <f t="array" ref="AH10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0" s="19" cm="1">
        <f t="array" ref="AI10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0" s="19" cm="1">
        <f t="array" ref="AJ10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0" s="19" cm="1">
        <f t="array" ref="AK10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0" s="19" cm="1">
        <f t="array" ref="AL10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0" s="19" cm="1">
        <f t="array" ref="AM10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0" s="19" cm="1">
        <f t="array" ref="AN10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0" s="19" cm="1">
        <f t="array" ref="AO10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0" s="19" cm="1">
        <f t="array" ref="AP10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0" s="19" cm="1">
        <f t="array" ref="AQ10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-1.4</v>
      </c>
    </row>
    <row r="11" spans="1:43">
      <c r="A11">
        <f t="shared" si="0"/>
        <v>79</v>
      </c>
      <c r="B11" s="1" t="str">
        <f>VLOOKUP(DBtendonA[[#This Row],[seg id]],DBsup[],6,0)</f>
        <v>L11</v>
      </c>
      <c r="C11" s="1" t="str">
        <f>VLOOKUP(DBtendonA[[#This Row],[seg id]],DBsup[],7,0)</f>
        <v>M</v>
      </c>
      <c r="D11">
        <v>1</v>
      </c>
      <c r="E11" t="str">
        <f>"A"&amp;DBtendonA[[#This Row],[seg id]]&amp;"-"&amp;DBtendonA[[#This Row],[PT type]]</f>
        <v>A79-1</v>
      </c>
      <c r="F11" s="3" t="s">
        <v>83</v>
      </c>
      <c r="G11" s="18" t="s">
        <v>128</v>
      </c>
      <c r="H11" s="19" cm="1">
        <f t="array" ref="H11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7.2999999999999995E-2</v>
      </c>
      <c r="I11" s="19" cm="1">
        <f t="array" ref="I11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1.518</v>
      </c>
      <c r="J11" s="19" cm="1">
        <f t="array" ref="J11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2.0840000000000001</v>
      </c>
      <c r="K11" s="19" cm="1">
        <f t="array" ref="K11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2.9159999999999999</v>
      </c>
      <c r="L11" s="19" cm="1">
        <f t="array" ref="L11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1" s="19" cm="1">
        <f t="array" ref="M11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1" s="19" cm="1">
        <f t="array" ref="N11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1" s="19" cm="1">
        <f t="array" ref="O11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1" s="19" cm="1">
        <f t="array" ref="P11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11" s="19" cm="1">
        <f t="array" ref="Q11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11" s="19" cm="1">
        <f t="array" ref="R11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11" s="19" cm="1">
        <f t="array" ref="S11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11" s="19" cm="1">
        <f t="array" ref="T11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1" s="19" cm="1">
        <f t="array" ref="U11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1" s="19" cm="1">
        <f t="array" ref="V11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1" s="19" cm="1">
        <f t="array" ref="W11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1" s="19" cm="1">
        <f t="array" ref="X11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1" s="19" cm="1">
        <f t="array" ref="Y11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1" s="19" cm="1">
        <f t="array" ref="Z11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1" s="19" cm="1">
        <f t="array" ref="AA11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1" s="19" cm="1">
        <f t="array" ref="AB11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1" s="19" cm="1">
        <f t="array" ref="AC11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1" s="19" cm="1">
        <f t="array" ref="AD11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1" s="19" cm="1">
        <f t="array" ref="AE11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1" s="19" cm="1">
        <f t="array" ref="AF11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-1.4</v>
      </c>
      <c r="AG11" s="19" cm="1">
        <f t="array" ref="AG11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1" s="19" cm="1">
        <f t="array" ref="AH11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1" s="19" cm="1">
        <f t="array" ref="AI11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1" s="19" cm="1">
        <f t="array" ref="AJ11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1" s="19" cm="1">
        <f t="array" ref="AK11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1" s="19" cm="1">
        <f t="array" ref="AL11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1" s="19" cm="1">
        <f t="array" ref="AM11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1" s="19" cm="1">
        <f t="array" ref="AN11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1" s="19" cm="1">
        <f t="array" ref="AO11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1" s="19" cm="1">
        <f t="array" ref="AP11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1" s="19" cm="1">
        <f t="array" ref="AQ11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12" spans="1:43">
      <c r="A12">
        <f t="shared" si="0"/>
        <v>80</v>
      </c>
      <c r="B12" s="1" t="str">
        <f>VLOOKUP(DBtendonA[[#This Row],[seg id]],DBsup[],6,0)</f>
        <v>M</v>
      </c>
      <c r="C12" s="1" t="str">
        <f>VLOOKUP(DBtendonA[[#This Row],[seg id]],DBsup[],7,0)</f>
        <v>M</v>
      </c>
      <c r="D12">
        <v>1</v>
      </c>
      <c r="E12" t="str">
        <f>"A"&amp;DBtendonA[[#This Row],[seg id]]&amp;"-"&amp;DBtendonA[[#This Row],[PT type]]</f>
        <v>A80-1</v>
      </c>
      <c r="F12" s="3" t="s">
        <v>83</v>
      </c>
      <c r="G12" s="18" t="s">
        <v>128</v>
      </c>
      <c r="H12" s="19" cm="1">
        <f t="array" ref="H12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12" s="19" cm="1">
        <f t="array" ref="I12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12" s="19" cm="1">
        <f t="array" ref="J12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12" s="19" cm="1">
        <f t="array" ref="K12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12" s="19" cm="1">
        <f t="array" ref="L12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2" s="19" cm="1">
        <f t="array" ref="M12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2" s="19" cm="1">
        <f t="array" ref="N12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2" s="19" cm="1">
        <f t="array" ref="O12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2" s="19" cm="1">
        <f t="array" ref="P12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4.016</v>
      </c>
      <c r="Q12" s="19" cm="1">
        <f t="array" ref="Q12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2.0539999999999998</v>
      </c>
      <c r="R12" s="19" cm="1">
        <f t="array" ref="R12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1.643</v>
      </c>
      <c r="S12" s="19" cm="1">
        <f t="array" ref="S12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8.5000000000000006E-2</v>
      </c>
      <c r="T12" s="19" cm="1">
        <f t="array" ref="T12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2" s="19" cm="1">
        <f t="array" ref="U12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2" s="19" cm="1">
        <f t="array" ref="V12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2" s="19" cm="1">
        <f t="array" ref="W12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2" s="19" cm="1">
        <f t="array" ref="X12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2" s="19" cm="1">
        <f t="array" ref="Y12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2" s="19" cm="1">
        <f t="array" ref="Z12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2" s="19" cm="1">
        <f t="array" ref="AA12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2" s="19" cm="1">
        <f t="array" ref="AB12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2" s="19" cm="1">
        <f t="array" ref="AC12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2" s="19" cm="1">
        <f t="array" ref="AD12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2" s="19" cm="1">
        <f t="array" ref="AE12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2" s="19" cm="1">
        <f t="array" ref="AF12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12" s="19" cm="1">
        <f t="array" ref="AG12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2" s="19" cm="1">
        <f t="array" ref="AH12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2" s="19" cm="1">
        <f t="array" ref="AI12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2" s="19" cm="1">
        <f t="array" ref="AJ12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2" s="19" cm="1">
        <f t="array" ref="AK12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2" s="19" cm="1">
        <f t="array" ref="AL12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2" s="19" cm="1">
        <f t="array" ref="AM12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2" s="19" cm="1">
        <f t="array" ref="AN12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2" s="19" cm="1">
        <f t="array" ref="AO12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2" s="19" cm="1">
        <f t="array" ref="AP12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2" s="19" cm="1">
        <f t="array" ref="AQ12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-1.3779999999999999</v>
      </c>
    </row>
    <row r="13" spans="1:43">
      <c r="A13">
        <f t="shared" si="0"/>
        <v>81</v>
      </c>
      <c r="B13" s="1" t="str">
        <f>VLOOKUP(DBtendonA[[#This Row],[seg id]],DBsup[],6,0)</f>
        <v>M</v>
      </c>
      <c r="C13" s="1" t="str">
        <f>VLOOKUP(DBtendonA[[#This Row],[seg id]],DBsup[],7,0)</f>
        <v>L12</v>
      </c>
      <c r="D13">
        <v>1</v>
      </c>
      <c r="E13" t="str">
        <f>"A"&amp;DBtendonA[[#This Row],[seg id]]&amp;"-"&amp;DBtendonA[[#This Row],[PT type]]</f>
        <v>A81-1</v>
      </c>
      <c r="F13" s="3" t="s">
        <v>83</v>
      </c>
      <c r="G13" s="18" t="s">
        <v>128</v>
      </c>
      <c r="H13" s="19" cm="1">
        <f t="array" ref="H13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8.5000000000000006E-2</v>
      </c>
      <c r="I13" s="19" cm="1">
        <f t="array" ref="I13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1.643</v>
      </c>
      <c r="J13" s="19" cm="1">
        <f t="array" ref="J13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2.0539999999999998</v>
      </c>
      <c r="K13" s="19" cm="1">
        <f t="array" ref="K13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4.016</v>
      </c>
      <c r="L13" s="19" cm="1">
        <f t="array" ref="L13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</v>
      </c>
      <c r="M13" s="19" cm="1">
        <f t="array" ref="M13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0.5</v>
      </c>
      <c r="N13" s="19" cm="1">
        <f t="array" ref="N13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0.5</v>
      </c>
      <c r="O13" s="19" cm="1">
        <f t="array" ref="O13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</v>
      </c>
      <c r="P13" s="19" cm="1">
        <f t="array" ref="P13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2.9159999999999999</v>
      </c>
      <c r="Q13" s="19" cm="1">
        <f t="array" ref="Q13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2.0840000000000001</v>
      </c>
      <c r="R13" s="19" cm="1">
        <f t="array" ref="R13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1.518</v>
      </c>
      <c r="S13" s="19" cm="1">
        <f t="array" ref="S13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7.2999999999999995E-2</v>
      </c>
      <c r="T13" s="19" cm="1">
        <f t="array" ref="T13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3" s="19" cm="1">
        <f t="array" ref="U13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3" s="19" cm="1">
        <f t="array" ref="V13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3" s="19" cm="1">
        <f t="array" ref="W13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3" s="19" cm="1">
        <f t="array" ref="X13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3" s="19" cm="1">
        <f t="array" ref="Y13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3" s="19" cm="1">
        <f t="array" ref="Z13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3" s="19" cm="1">
        <f t="array" ref="AA13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3" s="19" cm="1">
        <f t="array" ref="AB13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3" s="19" cm="1">
        <f t="array" ref="AC13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3" s="19" cm="1">
        <f t="array" ref="AD13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3" s="19" cm="1">
        <f t="array" ref="AE13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3" s="19" cm="1">
        <f t="array" ref="AF13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-1.3779999999999999</v>
      </c>
      <c r="AG13" s="19" cm="1">
        <f t="array" ref="AG13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-1.6679999999999999</v>
      </c>
      <c r="AH13" s="19" cm="1">
        <f t="array" ref="AH13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-1.85</v>
      </c>
      <c r="AI13" s="19" cm="1">
        <f t="array" ref="AI13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3" s="19" cm="1">
        <f t="array" ref="AJ13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3" s="19" cm="1">
        <f t="array" ref="AK13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3" s="19" cm="1">
        <f t="array" ref="AL13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3" s="19" cm="1">
        <f t="array" ref="AM13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3" s="19" cm="1">
        <f t="array" ref="AN13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3" s="19" cm="1">
        <f t="array" ref="AO13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-1.85</v>
      </c>
      <c r="AP13" s="19" cm="1">
        <f t="array" ref="AP13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-1.6679999999999999</v>
      </c>
      <c r="AQ13" s="19" cm="1">
        <f t="array" ref="AQ13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-1.4</v>
      </c>
    </row>
    <row r="14" spans="1:43">
      <c r="A14">
        <f t="shared" si="0"/>
        <v>82</v>
      </c>
      <c r="B14" s="1" t="str">
        <f>VLOOKUP(DBtendonA[[#This Row],[seg id]],DBsup[],6,0)</f>
        <v>L12</v>
      </c>
      <c r="C14" s="1" t="str">
        <f>VLOOKUP(DBtendonA[[#This Row],[seg id]],DBsup[],7,0)</f>
        <v>S</v>
      </c>
      <c r="D14">
        <v>1</v>
      </c>
      <c r="E14" t="str">
        <f>"A"&amp;DBtendonA[[#This Row],[seg id]]&amp;"-"&amp;DBtendonA[[#This Row],[PT type]]</f>
        <v>A82-1</v>
      </c>
      <c r="F14" s="3" t="s">
        <v>83</v>
      </c>
      <c r="G14" s="18" t="s">
        <v>128</v>
      </c>
      <c r="H14" s="19" cm="1">
        <f t="array" ref="H14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14" s="19" cm="1">
        <f t="array" ref="I14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14" s="19" cm="1">
        <f t="array" ref="J14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14" s="19" cm="1">
        <f t="array" ref="K14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14" s="19" cm="1">
        <f t="array" ref="L14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14" s="19" cm="1">
        <f t="array" ref="M14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14" s="19" cm="1">
        <f t="array" ref="N14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14" s="19" cm="1">
        <f t="array" ref="O14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14" s="19" cm="1">
        <f t="array" ref="P14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14" s="19" cm="1">
        <f t="array" ref="Q14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14" s="19" cm="1">
        <f t="array" ref="R14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14" s="19" cm="1">
        <f t="array" ref="S14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14" s="19" cm="1">
        <f t="array" ref="T14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4" s="19" cm="1">
        <f t="array" ref="U14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4" s="19" cm="1">
        <f t="array" ref="V14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0.15</v>
      </c>
      <c r="W14" s="19" cm="1">
        <f t="array" ref="W14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0.15</v>
      </c>
      <c r="X14" s="19" cm="1">
        <f t="array" ref="X14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0.15</v>
      </c>
      <c r="Y14" s="19" cm="1">
        <f t="array" ref="Y14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0.15</v>
      </c>
      <c r="Z14" s="19" cm="1">
        <f t="array" ref="Z14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0.15</v>
      </c>
      <c r="AA14" s="19" cm="1">
        <f t="array" ref="AA14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0.15</v>
      </c>
      <c r="AB14" s="19" cm="1">
        <f t="array" ref="AB14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0.15</v>
      </c>
      <c r="AC14" s="19" cm="1">
        <f t="array" ref="AC14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0.15</v>
      </c>
      <c r="AD14" s="19" cm="1">
        <f t="array" ref="AD14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4" s="19" cm="1">
        <f t="array" ref="AE14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4" s="19" cm="1">
        <f t="array" ref="AF14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-1.5</v>
      </c>
      <c r="AG14" s="19" cm="1">
        <f t="array" ref="AG14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-1.5</v>
      </c>
      <c r="AH14" s="19" cm="1">
        <f t="array" ref="AH14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-1.7</v>
      </c>
      <c r="AI14" s="19" cm="1">
        <f t="array" ref="AI14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-1.85</v>
      </c>
      <c r="AJ14" s="19" cm="1">
        <f t="array" ref="AJ14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-1.85</v>
      </c>
      <c r="AK14" s="19" cm="1">
        <f t="array" ref="AK14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4" s="19" cm="1">
        <f t="array" ref="AL14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4" s="19" cm="1">
        <f t="array" ref="AM14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-1.85</v>
      </c>
      <c r="AN14" s="19" cm="1">
        <f t="array" ref="AN14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-1.85</v>
      </c>
      <c r="AO14" s="19" cm="1">
        <f t="array" ref="AO14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-1.7</v>
      </c>
      <c r="AP14" s="19" cm="1">
        <f t="array" ref="AP14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-1.5</v>
      </c>
      <c r="AQ14" s="19" cm="1">
        <f t="array" ref="AQ14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-1.5</v>
      </c>
    </row>
    <row r="15" spans="1:43">
      <c r="A15">
        <v>82</v>
      </c>
      <c r="B15" s="1" t="str">
        <f>VLOOKUP(DBtendonA[[#This Row],[seg id]],DBsup[],6,0)</f>
        <v>L12</v>
      </c>
      <c r="C15" s="1" t="str">
        <f>VLOOKUP(DBtendonA[[#This Row],[seg id]],DBsup[],7,0)</f>
        <v>S</v>
      </c>
      <c r="D15">
        <v>2</v>
      </c>
      <c r="E15" t="str">
        <f>"A"&amp;DBtendonA[[#This Row],[seg id]]&amp;"-"&amp;DBtendonA[[#This Row],[PT type]]</f>
        <v>A82-2</v>
      </c>
      <c r="F15" s="3" t="s">
        <v>83</v>
      </c>
      <c r="G15" s="18" t="s">
        <v>128</v>
      </c>
      <c r="H15" s="19" cm="1">
        <f t="array" ref="H15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15" s="19" cm="1">
        <f t="array" ref="I15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15" s="19" cm="1">
        <f t="array" ref="J15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15" s="19" cm="1">
        <f t="array" ref="K15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15" s="19" cm="1">
        <f t="array" ref="L15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15" s="19" cm="1">
        <f t="array" ref="M15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15" s="19" cm="1">
        <f t="array" ref="N15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15" s="19" cm="1">
        <f t="array" ref="O15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15" s="19" cm="1">
        <f t="array" ref="P15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15" s="19" cm="1">
        <f t="array" ref="Q15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15" s="19" cm="1">
        <f t="array" ref="R15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15" s="19" cm="1">
        <f t="array" ref="S15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15" s="19" cm="1">
        <f t="array" ref="T15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5" s="19" cm="1">
        <f t="array" ref="U15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5" s="19" cm="1">
        <f t="array" ref="V15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-0.15</v>
      </c>
      <c r="W15" s="19" cm="1">
        <f t="array" ref="W15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-0.15</v>
      </c>
      <c r="X15" s="19" cm="1">
        <f t="array" ref="X15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-0.15</v>
      </c>
      <c r="Y15" s="19" cm="1">
        <f t="array" ref="Y15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-0.15</v>
      </c>
      <c r="Z15" s="19" cm="1">
        <f t="array" ref="Z15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-0.15</v>
      </c>
      <c r="AA15" s="19" cm="1">
        <f t="array" ref="AA15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-0.15</v>
      </c>
      <c r="AB15" s="19" cm="1">
        <f t="array" ref="AB15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-0.15</v>
      </c>
      <c r="AC15" s="19" cm="1">
        <f t="array" ref="AC15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-0.15</v>
      </c>
      <c r="AD15" s="19" cm="1">
        <f t="array" ref="AD15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5" s="19" cm="1">
        <f t="array" ref="AE15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5" s="19" cm="1">
        <f t="array" ref="AF15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-1.04</v>
      </c>
      <c r="AG15" s="19" cm="1">
        <f t="array" ref="AG15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-1.04</v>
      </c>
      <c r="AH15" s="19" cm="1">
        <f t="array" ref="AH15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-1.3140000000000001</v>
      </c>
      <c r="AI15" s="19" cm="1">
        <f t="array" ref="AI15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-1.631</v>
      </c>
      <c r="AJ15" s="19" cm="1">
        <f t="array" ref="AJ15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-1.8360000000000001</v>
      </c>
      <c r="AK15" s="19" cm="1">
        <f t="array" ref="AK15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-1.85</v>
      </c>
      <c r="AL15" s="19" cm="1">
        <f t="array" ref="AL15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-1.85</v>
      </c>
      <c r="AM15" s="19" cm="1">
        <f t="array" ref="AM15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-1.8360000000000001</v>
      </c>
      <c r="AN15" s="19" cm="1">
        <f t="array" ref="AN15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-1.631</v>
      </c>
      <c r="AO15" s="19" cm="1">
        <f t="array" ref="AO15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-1.3140000000000001</v>
      </c>
      <c r="AP15" s="19" cm="1">
        <f t="array" ref="AP15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-1.04</v>
      </c>
      <c r="AQ15" s="19" cm="1">
        <f t="array" ref="AQ15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-1.04</v>
      </c>
    </row>
    <row r="16" spans="1:43">
      <c r="A16">
        <v>82</v>
      </c>
      <c r="B16" s="1" t="str">
        <f>VLOOKUP(DBtendonA[[#This Row],[seg id]],DBsup[],6,0)</f>
        <v>L12</v>
      </c>
      <c r="C16" s="1" t="str">
        <f>VLOOKUP(DBtendonA[[#This Row],[seg id]],DBsup[],7,0)</f>
        <v>S</v>
      </c>
      <c r="D16">
        <v>3</v>
      </c>
      <c r="E16" t="str">
        <f>"A"&amp;DBtendonA[[#This Row],[seg id]]&amp;"-"&amp;DBtendonA[[#This Row],[PT type]]</f>
        <v>A82-3</v>
      </c>
      <c r="F16" s="3" t="s">
        <v>83</v>
      </c>
      <c r="G16" s="18" t="s">
        <v>128</v>
      </c>
      <c r="H16" s="19" cm="1">
        <f t="array" ref="H16">INDEX(PTprofA[],MATCH(1,(LEFT(LEFT(DBtendonA[[#This Row],[pier type start]],1),1)=PTprofA[Ptyp_s])*(LEFT(LEFT(DBtendonA[[#This Row],[pier type end]],1),1)=PTprofA[Ptyp_e])*(DBtendonA[[#This Row],[PT type]]=PTprofA[PT type]),0),MATCH(DBtendonA[[#Headers],[dLez1]],PTprofA[#Headers],0))</f>
        <v>0.14000000000000001</v>
      </c>
      <c r="I16" s="19" cm="1">
        <f t="array" ref="I16">INDEX(PTprofA[],MATCH(1,(LEFT(DBtendonA[[#This Row],[pier type start]],1)=PTprofA[Ptyp_s])*(LEFT(DBtendonA[[#This Row],[pier type end]],1)=PTprofA[Ptyp_e])*(DBtendonA[[#This Row],[PT type]]=PTprofA[PT type]),0),MATCH(DBtendonA[[#Headers],[dLez2]],PTprofA[#Headers],0))</f>
        <v>1.375</v>
      </c>
      <c r="J16" s="19" cm="1">
        <f t="array" ref="J16">INDEX(PTprofA[],MATCH(1,(LEFT(DBtendonA[[#This Row],[pier type start]],1)=PTprofA[Ptyp_s])*(LEFT(DBtendonA[[#This Row],[pier type end]],1)=PTprofA[Ptyp_e])*(DBtendonA[[#This Row],[PT type]]=PTprofA[PT type]),0),MATCH(DBtendonA[[#Headers],[dLez3]],PTprofA[#Headers],0))</f>
        <v>1.4850000000000001</v>
      </c>
      <c r="K16" s="19" cm="1">
        <f t="array" ref="K16">INDEX(PTprofA[],MATCH(1,(LEFT(DBtendonA[[#This Row],[pier type start]],1)=PTprofA[Ptyp_s])*(LEFT(DBtendonA[[#This Row],[pier type end]],1)=PTprofA[Ptyp_e])*(DBtendonA[[#This Row],[PT type]]=PTprofA[PT type]),0),MATCH(DBtendonA[[#Headers],[dLez4]],PTprofA[#Headers],0))</f>
        <v>1</v>
      </c>
      <c r="L16" s="19" cm="1">
        <f t="array" ref="L16">INDEX(PTprofA[],MATCH(1,(LEFT(DBtendonA[[#This Row],[pier type start]],1)=PTprofA[Ptyp_s])*(LEFT(DBtendonA[[#This Row],[pier type end]],1)=PTprofA[Ptyp_e])*(DBtendonA[[#This Row],[PT type]]=PTprofA[PT type]),0),MATCH(DBtendonA[[#Headers],[dLez5]],PTprofA[#Headers],0))</f>
        <v>1.75</v>
      </c>
      <c r="M16" s="19" cm="1">
        <f t="array" ref="M16">INDEX(PTprofA[],MATCH(1,(LEFT(DBtendonA[[#This Row],[pier type start]],1)=PTprofA[Ptyp_s])*(LEFT(DBtendonA[[#This Row],[pier type end]],1)=PTprofA[Ptyp_e])*(DBtendonA[[#This Row],[PT type]]=PTprofA[PT type]),0),MATCH(DBtendonA[[#Headers],[dLez6]],PTprofA[#Headers],0))</f>
        <v>0.75</v>
      </c>
      <c r="N16" s="19" cm="1">
        <f t="array" ref="N16">INDEX(PTprofA[],MATCH(1,(LEFT(DBtendonA[[#This Row],[pier type start]],1)=PTprofA[Ptyp_s])*(LEFT(DBtendonA[[#This Row],[pier type end]],1)=PTprofA[Ptyp_e])*(DBtendonA[[#This Row],[PT type]]=PTprofA[PT type]),0),MATCH(DBtendonA[[#Headers],[dLez7]],PTprofA[#Headers],0))</f>
        <v>0.75</v>
      </c>
      <c r="O16" s="19" cm="1">
        <f t="array" ref="O16">INDEX(PTprofA[],MATCH(1,(LEFT(DBtendonA[[#This Row],[pier type start]],1)=PTprofA[Ptyp_s])*(LEFT(DBtendonA[[#This Row],[pier type end]],1)=PTprofA[Ptyp_e])*(DBtendonA[[#This Row],[PT type]]=PTprofA[PT type]),0),MATCH(DBtendonA[[#Headers],[dLez8]],PTprofA[#Headers],0))</f>
        <v>1.75</v>
      </c>
      <c r="P16" s="19" cm="1">
        <f t="array" ref="P16">INDEX(PTprofA[],MATCH(1,(LEFT(DBtendonA[[#This Row],[pier type start]],1)=PTprofA[Ptyp_s])*(LEFT(DBtendonA[[#This Row],[pier type end]],1)=PTprofA[Ptyp_e])*(DBtendonA[[#This Row],[PT type]]=PTprofA[PT type]),0),MATCH(DBtendonA[[#Headers],[dLez9]],PTprofA[#Headers],0))</f>
        <v>1</v>
      </c>
      <c r="Q16" s="19" cm="1">
        <f t="array" ref="Q16">INDEX(PTprofA[],MATCH(1,(LEFT(DBtendonA[[#This Row],[pier type start]],1)=PTprofA[Ptyp_s])*(LEFT(DBtendonA[[#This Row],[pier type end]],1)=PTprofA[Ptyp_e])*(DBtendonA[[#This Row],[PT type]]=PTprofA[PT type]),0),MATCH(DBtendonA[[#Headers],[dLez10]],PTprofA[#Headers],0))</f>
        <v>1.4850000000000001</v>
      </c>
      <c r="R16" s="19" cm="1">
        <f t="array" ref="R16">INDEX(PTprofA[],MATCH(1,(LEFT(DBtendonA[[#This Row],[pier type start]],1)=PTprofA[Ptyp_s])*(LEFT(DBtendonA[[#This Row],[pier type end]],1)=PTprofA[Ptyp_e])*(DBtendonA[[#This Row],[PT type]]=PTprofA[PT type]),0),MATCH(DBtendonA[[#Headers],[dLez11]],PTprofA[#Headers],0))</f>
        <v>1.375</v>
      </c>
      <c r="S16" s="19" cm="1">
        <f t="array" ref="S16">INDEX(PTprofA[],MATCH(1,(LEFT(DBtendonA[[#This Row],[pier type start]],1)=PTprofA[Ptyp_s])*(LEFT(DBtendonA[[#This Row],[pier type end]],1)=PTprofA[Ptyp_e])*(DBtendonA[[#This Row],[PT type]]=PTprofA[PT type]),0),MATCH(DBtendonA[[#Headers],[dLez12]],PTprofA[#Headers],0))</f>
        <v>0.14000000000000001</v>
      </c>
      <c r="T16" s="19" cm="1">
        <f t="array" ref="T16">INDEX(PTprofA[],MATCH(1,(LEFT(DBtendonA[[#This Row],[pier type start]],1)=PTprofA[Ptyp_s])*(LEFT(DBtendonA[[#This Row],[pier type end]],1)=PTprofA[Ptyp_e])*(DBtendonA[[#This Row],[PT type]]=PTprofA[PT type]),0),MATCH(DBtendonA[[#Headers],[ey1]],PTprofA[#Headers],0))</f>
        <v>0</v>
      </c>
      <c r="U16" s="19" cm="1">
        <f t="array" ref="U16">INDEX(PTprofA[],MATCH(1,(LEFT(DBtendonA[[#This Row],[pier type start]],1)=PTprofA[Ptyp_s])*(LEFT(DBtendonA[[#This Row],[pier type end]],1)=PTprofA[Ptyp_e])*(DBtendonA[[#This Row],[PT type]]=PTprofA[PT type]),0),MATCH(DBtendonA[[#Headers],[ey2]],PTprofA[#Headers],0))</f>
        <v>0</v>
      </c>
      <c r="V16" s="19" cm="1">
        <f t="array" ref="V16">INDEX(PTprofA[],MATCH(1,(LEFT(DBtendonA[[#This Row],[pier type start]],1)=PTprofA[Ptyp_s])*(LEFT(DBtendonA[[#This Row],[pier type end]],1)=PTprofA[Ptyp_e])*(DBtendonA[[#This Row],[PT type]]=PTprofA[PT type]),0),MATCH(DBtendonA[[#Headers],[ey3]],PTprofA[#Headers],0))</f>
        <v>0</v>
      </c>
      <c r="W16" s="19" cm="1">
        <f t="array" ref="W16">INDEX(PTprofA[],MATCH(1,(LEFT(DBtendonA[[#This Row],[pier type start]],1)=PTprofA[Ptyp_s])*(LEFT(DBtendonA[[#This Row],[pier type end]],1)=PTprofA[Ptyp_e])*(DBtendonA[[#This Row],[PT type]]=PTprofA[PT type]),0),MATCH(DBtendonA[[#Headers],[ey4]],PTprofA[#Headers],0))</f>
        <v>0</v>
      </c>
      <c r="X16" s="19" cm="1">
        <f t="array" ref="X16">INDEX(PTprofA[],MATCH(1,(LEFT(DBtendonA[[#This Row],[pier type start]],1)=PTprofA[Ptyp_s])*(LEFT(DBtendonA[[#This Row],[pier type end]],1)=PTprofA[Ptyp_e])*(DBtendonA[[#This Row],[PT type]]=PTprofA[PT type]),0),MATCH(DBtendonA[[#Headers],[ey5]],PTprofA[#Headers],0))</f>
        <v>0</v>
      </c>
      <c r="Y16" s="19" cm="1">
        <f t="array" ref="Y16">INDEX(PTprofA[],MATCH(1,(LEFT(DBtendonA[[#This Row],[pier type start]],1)=PTprofA[Ptyp_s])*(LEFT(DBtendonA[[#This Row],[pier type end]],1)=PTprofA[Ptyp_e])*(DBtendonA[[#This Row],[PT type]]=PTprofA[PT type]),0),MATCH(DBtendonA[[#Headers],[ey6]],PTprofA[#Headers],0))</f>
        <v>0</v>
      </c>
      <c r="Z16" s="19" cm="1">
        <f t="array" ref="Z16">INDEX(PTprofA[],MATCH(1,(LEFT(DBtendonA[[#This Row],[pier type start]],1)=PTprofA[Ptyp_s])*(LEFT(DBtendonA[[#This Row],[pier type end]],1)=PTprofA[Ptyp_e])*(DBtendonA[[#This Row],[PT type]]=PTprofA[PT type]),0),MATCH(DBtendonA[[#Headers],[ey7]],PTprofA[#Headers],0))</f>
        <v>0</v>
      </c>
      <c r="AA16" s="19" cm="1">
        <f t="array" ref="AA16">INDEX(PTprofA[],MATCH(1,(LEFT(DBtendonA[[#This Row],[pier type start]],1)=PTprofA[Ptyp_s])*(LEFT(DBtendonA[[#This Row],[pier type end]],1)=PTprofA[Ptyp_e])*(DBtendonA[[#This Row],[PT type]]=PTprofA[PT type]),0),MATCH(DBtendonA[[#Headers],[ey8]],PTprofA[#Headers],0))</f>
        <v>0</v>
      </c>
      <c r="AB16" s="19" cm="1">
        <f t="array" ref="AB16">INDEX(PTprofA[],MATCH(1,(LEFT(DBtendonA[[#This Row],[pier type start]],1)=PTprofA[Ptyp_s])*(LEFT(DBtendonA[[#This Row],[pier type end]],1)=PTprofA[Ptyp_e])*(DBtendonA[[#This Row],[PT type]]=PTprofA[PT type]),0),MATCH(DBtendonA[[#Headers],[ey9]],PTprofA[#Headers],0))</f>
        <v>0</v>
      </c>
      <c r="AC16" s="19" cm="1">
        <f t="array" ref="AC16">INDEX(PTprofA[],MATCH(1,(LEFT(DBtendonA[[#This Row],[pier type start]],1)=PTprofA[Ptyp_s])*(LEFT(DBtendonA[[#This Row],[pier type end]],1)=PTprofA[Ptyp_e])*(DBtendonA[[#This Row],[PT type]]=PTprofA[PT type]),0),MATCH(DBtendonA[[#Headers],[ey10]],PTprofA[#Headers],0))</f>
        <v>0</v>
      </c>
      <c r="AD16" s="19" cm="1">
        <f t="array" ref="AD16">INDEX(PTprofA[],MATCH(1,(LEFT(DBtendonA[[#This Row],[pier type start]],1)=PTprofA[Ptyp_s])*(LEFT(DBtendonA[[#This Row],[pier type end]],1)=PTprofA[Ptyp_e])*(DBtendonA[[#This Row],[PT type]]=PTprofA[PT type]),0),MATCH(DBtendonA[[#Headers],[ey11]],PTprofA[#Headers],0))</f>
        <v>0</v>
      </c>
      <c r="AE16" s="19" cm="1">
        <f t="array" ref="AE16">INDEX(PTprofA[],MATCH(1,(LEFT(DBtendonA[[#This Row],[pier type start]],1)=PTprofA[Ptyp_s])*(LEFT(DBtendonA[[#This Row],[pier type end]],1)=PTprofA[Ptyp_e])*(DBtendonA[[#This Row],[PT type]]=PTprofA[PT type]),0),MATCH(DBtendonA[[#Headers],[ey12]],PTprofA[#Headers],0))</f>
        <v>0</v>
      </c>
      <c r="AF16" s="19" cm="1">
        <f t="array" ref="AF16">INDEX(PTprofA[],MATCH(1,(LEFT(DBtendonA[[#This Row],[pier type start]],1)=PTprofA[Ptyp_s])*(LEFT(DBtendonA[[#This Row],[pier type end]],1)=PTprofA[Ptyp_e])*(DBtendonA[[#This Row],[PT type]]=PTprofA[PT type]),0),MATCH(DBtendonA[[#Headers],[ez1]],PTprofA[#Headers],0))</f>
        <v>-0.5</v>
      </c>
      <c r="AG16" s="19" cm="1">
        <f t="array" ref="AG16">INDEX(PTprofA[],MATCH(1,(LEFT(DBtendonA[[#This Row],[pier type start]],1)=PTprofA[Ptyp_s])*(LEFT(DBtendonA[[#This Row],[pier type end]],1)=PTprofA[Ptyp_e])*(DBtendonA[[#This Row],[PT type]]=PTprofA[PT type]),0),MATCH(DBtendonA[[#Headers],[ez2]],PTprofA[#Headers],0))</f>
        <v>-0.5</v>
      </c>
      <c r="AH16" s="19" cm="1">
        <f t="array" ref="AH16">INDEX(PTprofA[],MATCH(1,(LEFT(DBtendonA[[#This Row],[pier type start]],1)=PTprofA[Ptyp_s])*(LEFT(DBtendonA[[#This Row],[pier type end]],1)=PTprofA[Ptyp_e])*(DBtendonA[[#This Row],[PT type]]=PTprofA[PT type]),0),MATCH(DBtendonA[[#Headers],[ez3]],PTprofA[#Headers],0))</f>
        <v>-0.439</v>
      </c>
      <c r="AI16" s="19" cm="1">
        <f t="array" ref="AI16">INDEX(PTprofA[],MATCH(1,(LEFT(DBtendonA[[#This Row],[pier type start]],1)=PTprofA[Ptyp_s])*(LEFT(DBtendonA[[#This Row],[pier type end]],1)=PTprofA[Ptyp_e])*(DBtendonA[[#This Row],[PT type]]=PTprofA[PT type]),0),MATCH(DBtendonA[[#Headers],[ez4]],PTprofA[#Headers],0))</f>
        <v>-0.33300000000000002</v>
      </c>
      <c r="AJ16" s="19" cm="1">
        <f t="array" ref="AJ16">INDEX(PTprofA[],MATCH(1,(LEFT(DBtendonA[[#This Row],[pier type start]],1)=PTprofA[Ptyp_s])*(LEFT(DBtendonA[[#This Row],[pier type end]],1)=PTprofA[Ptyp_e])*(DBtendonA[[#This Row],[PT type]]=PTprofA[PT type]),0),MATCH(DBtendonA[[#Headers],[ez5]],PTprofA[#Headers],0))</f>
        <v>-0.15</v>
      </c>
      <c r="AK16" s="19" cm="1">
        <f t="array" ref="AK16">INDEX(PTprofA[],MATCH(1,(LEFT(DBtendonA[[#This Row],[pier type start]],1)=PTprofA[Ptyp_s])*(LEFT(DBtendonA[[#This Row],[pier type end]],1)=PTprofA[Ptyp_e])*(DBtendonA[[#This Row],[PT type]]=PTprofA[PT type]),0),MATCH(DBtendonA[[#Headers],[ez6]],PTprofA[#Headers],0))</f>
        <v>-0.15</v>
      </c>
      <c r="AL16" s="19" cm="1">
        <f t="array" ref="AL16">INDEX(PTprofA[],MATCH(1,(LEFT(DBtendonA[[#This Row],[pier type start]],1)=PTprofA[Ptyp_s])*(LEFT(DBtendonA[[#This Row],[pier type end]],1)=PTprofA[Ptyp_e])*(DBtendonA[[#This Row],[PT type]]=PTprofA[PT type]),0),MATCH(DBtendonA[[#Headers],[ez7]],PTprofA[#Headers],0))</f>
        <v>-0.15</v>
      </c>
      <c r="AM16" s="19" cm="1">
        <f t="array" ref="AM16">INDEX(PTprofA[],MATCH(1,(LEFT(DBtendonA[[#This Row],[pier type start]],1)=PTprofA[Ptyp_s])*(LEFT(DBtendonA[[#This Row],[pier type end]],1)=PTprofA[Ptyp_e])*(DBtendonA[[#This Row],[PT type]]=PTprofA[PT type]),0),MATCH(DBtendonA[[#Headers],[ez8]],PTprofA[#Headers],0))</f>
        <v>-0.15</v>
      </c>
      <c r="AN16" s="19" cm="1">
        <f t="array" ref="AN16">INDEX(PTprofA[],MATCH(1,(LEFT(DBtendonA[[#This Row],[pier type start]],1)=PTprofA[Ptyp_s])*(LEFT(DBtendonA[[#This Row],[pier type end]],1)=PTprofA[Ptyp_e])*(DBtendonA[[#This Row],[PT type]]=PTprofA[PT type]),0),MATCH(DBtendonA[[#Headers],[ez9]],PTprofA[#Headers],0))</f>
        <v>-0.33300000000000002</v>
      </c>
      <c r="AO16" s="19" cm="1">
        <f t="array" ref="AO16">INDEX(PTprofA[],MATCH(1,(LEFT(DBtendonA[[#This Row],[pier type start]],1)=PTprofA[Ptyp_s])*(LEFT(DBtendonA[[#This Row],[pier type end]],1)=PTprofA[Ptyp_e])*(DBtendonA[[#This Row],[PT type]]=PTprofA[PT type]),0),MATCH(DBtendonA[[#Headers],[ez10]],PTprofA[#Headers],0))</f>
        <v>-0.439</v>
      </c>
      <c r="AP16" s="19" cm="1">
        <f t="array" ref="AP16">INDEX(PTprofA[],MATCH(1,(LEFT(DBtendonA[[#This Row],[pier type start]],1)=PTprofA[Ptyp_s])*(LEFT(DBtendonA[[#This Row],[pier type end]],1)=PTprofA[Ptyp_e])*(DBtendonA[[#This Row],[PT type]]=PTprofA[PT type]),0),MATCH(DBtendonA[[#Headers],[ez11]],PTprofA[#Headers],0))</f>
        <v>-0.5</v>
      </c>
      <c r="AQ16" s="19" cm="1">
        <f t="array" ref="AQ16">INDEX(PTprofA[],MATCH(1,(LEFT(DBtendonA[[#This Row],[pier type start]],1)=PTprofA[Ptyp_s])*(LEFT(DBtendonA[[#This Row],[pier type end]],1)=PTprofA[Ptyp_e])*(DBtendonA[[#This Row],[PT type]]=PTprofA[PT type]),0),MATCH(DBtendonA[[#Headers],[ez12]],PTprofA[#Headers],0))</f>
        <v>-0.5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A7598-AEB3-4B73-A504-450F7453C97E}">
  <dimension ref="A1:AQ13"/>
  <sheetViews>
    <sheetView workbookViewId="0">
      <selection activeCell="H2" sqref="H2:AQ13"/>
    </sheetView>
  </sheetViews>
  <sheetFormatPr defaultRowHeight="11.25"/>
  <cols>
    <col min="6" max="6" width="16.25" bestFit="1" customWidth="1"/>
  </cols>
  <sheetData>
    <row r="1" spans="1:43">
      <c r="A1" t="s">
        <v>125</v>
      </c>
      <c r="B1" t="s">
        <v>47</v>
      </c>
      <c r="C1" t="s">
        <v>48</v>
      </c>
      <c r="D1" t="s">
        <v>126</v>
      </c>
      <c r="E1" t="s">
        <v>124</v>
      </c>
      <c r="F1" s="2" t="s">
        <v>82</v>
      </c>
      <c r="G1" s="9" t="s">
        <v>127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0" t="s">
        <v>118</v>
      </c>
      <c r="S1" s="10" t="s">
        <v>119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120</v>
      </c>
      <c r="AE1" s="10" t="s">
        <v>121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0" t="s">
        <v>95</v>
      </c>
      <c r="AP1" s="10" t="s">
        <v>122</v>
      </c>
      <c r="AQ1" s="10" t="s">
        <v>123</v>
      </c>
    </row>
    <row r="2" spans="1:43">
      <c r="A2">
        <v>76</v>
      </c>
      <c r="B2" s="1" t="str">
        <f>VLOOKUP(DBtendonB[[#This Row],[seg id]],DBsup[],6,0)</f>
        <v>L21</v>
      </c>
      <c r="C2" s="1" t="str">
        <f>VLOOKUP(DBtendonB[[#This Row],[seg id]],DBsup[],7,0)</f>
        <v>M</v>
      </c>
      <c r="D2" t="s">
        <v>52</v>
      </c>
      <c r="E2" s="1" t="str">
        <f>"B"&amp;VLOOKUP(DBtendonB[[#This Row],[seg id]],DBsup[],9,0)&amp;"-"&amp;DBtendonB[[#This Row],[PT type]]</f>
        <v>B19-R</v>
      </c>
      <c r="F2" s="11" t="s">
        <v>84</v>
      </c>
      <c r="G2" s="18" t="s">
        <v>130</v>
      </c>
      <c r="H2" s="8" cm="1">
        <f t="array" ref="H2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2" s="8" cm="1">
        <f t="array" ref="I2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2" s="8" cm="1">
        <f t="array" ref="J2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2" s="8" cm="1">
        <f t="array" ref="K2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2" s="8" cm="1">
        <f t="array" ref="L2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2" s="8" cm="1">
        <f t="array" ref="M2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2" s="8" cm="1">
        <f t="array" ref="N2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2" s="8" cm="1">
        <f t="array" ref="O2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2" s="8" cm="1">
        <f t="array" ref="P2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2" s="8" cm="1">
        <f t="array" ref="Q2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2" s="8" cm="1">
        <f t="array" ref="R2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2" s="8" cm="1">
        <f t="array" ref="S2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2" s="8" cm="1">
        <f t="array" ref="T2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-0.16750000000000001</v>
      </c>
      <c r="U2" s="8" cm="1">
        <f t="array" ref="U2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-0.16750000000000001</v>
      </c>
      <c r="V2" s="8" cm="1">
        <f t="array" ref="V2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-0.16750000000000001</v>
      </c>
      <c r="W2" s="8" cm="1">
        <f t="array" ref="W2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2" s="8" cm="1">
        <f t="array" ref="X2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2" s="8" cm="1">
        <f t="array" ref="Y2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2" s="8" cm="1">
        <f t="array" ref="Z2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2" s="8" cm="1">
        <f t="array" ref="AA2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2" s="8" cm="1">
        <f t="array" ref="AB2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2" s="8" cm="1">
        <f t="array" ref="AC2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2" s="8" cm="1">
        <f t="array" ref="AD2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2" s="8" cm="1">
        <f t="array" ref="AE2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2" s="8" cm="1">
        <f t="array" ref="AF2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2" s="8" cm="1">
        <f t="array" ref="AG2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2" s="8" cm="1">
        <f t="array" ref="AH2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2" s="8" cm="1">
        <f t="array" ref="AI2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2" s="8" cm="1">
        <f t="array" ref="AJ2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2" s="8" cm="1">
        <f t="array" ref="AK2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2" s="8" cm="1">
        <f t="array" ref="AL2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2" s="8" cm="1">
        <f t="array" ref="AM2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2" s="8" cm="1">
        <f t="array" ref="AN2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2" s="8" cm="1">
        <f t="array" ref="AO2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2" s="8" cm="1">
        <f t="array" ref="AP2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2" s="8" cm="1">
        <f t="array" ref="AQ2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3" spans="1:43">
      <c r="A3">
        <f>A2+1</f>
        <v>77</v>
      </c>
      <c r="B3" s="1" t="str">
        <f>VLOOKUP(DBtendonB[[#This Row],[seg id]],DBsup[],6,0)</f>
        <v>M</v>
      </c>
      <c r="C3" s="1" t="str">
        <f>VLOOKUP(DBtendonB[[#This Row],[seg id]],DBsup[],7,0)</f>
        <v>M</v>
      </c>
      <c r="D3" t="s">
        <v>52</v>
      </c>
      <c r="E3" s="1" t="str">
        <f>"B"&amp;VLOOKUP(DBtendonB[[#This Row],[seg id]],DBsup[],9,0)&amp;"-"&amp;DBtendonB[[#This Row],[PT type]]</f>
        <v>B19-R</v>
      </c>
      <c r="F3" s="11" t="s">
        <v>84</v>
      </c>
      <c r="G3" s="18" t="s">
        <v>130</v>
      </c>
      <c r="H3" s="8" cm="1">
        <f t="array" ref="H3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3" s="8" cm="1">
        <f t="array" ref="I3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3" s="8" cm="1">
        <f t="array" ref="J3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3" s="8" cm="1">
        <f t="array" ref="K3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3" s="8" cm="1">
        <f t="array" ref="L3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3" s="8" cm="1">
        <f t="array" ref="M3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3" s="8" cm="1">
        <f t="array" ref="N3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3" s="8" cm="1">
        <f t="array" ref="O3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3" s="8" cm="1">
        <f t="array" ref="P3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3" s="8" cm="1">
        <f t="array" ref="Q3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3" s="8" cm="1">
        <f t="array" ref="R3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3" s="8" cm="1">
        <f t="array" ref="S3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3" s="8" cm="1">
        <f t="array" ref="T3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3" s="8" cm="1">
        <f t="array" ref="U3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3" s="8" cm="1">
        <f t="array" ref="V3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3" s="8" cm="1">
        <f t="array" ref="W3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3" s="8" cm="1">
        <f t="array" ref="X3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3" s="8" cm="1">
        <f t="array" ref="Y3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3" s="8" cm="1">
        <f t="array" ref="Z3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3" s="8" cm="1">
        <f t="array" ref="AA3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3" s="8" cm="1">
        <f t="array" ref="AB3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3" s="8" cm="1">
        <f t="array" ref="AC3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3" s="8" cm="1">
        <f t="array" ref="AD3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3" s="8" cm="1">
        <f t="array" ref="AE3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3" s="8" cm="1">
        <f t="array" ref="AF3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3" s="8" cm="1">
        <f t="array" ref="AG3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3" s="8" cm="1">
        <f t="array" ref="AH3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3" s="8" cm="1">
        <f t="array" ref="AI3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3" s="8" cm="1">
        <f t="array" ref="AJ3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3" s="8" cm="1">
        <f t="array" ref="AK3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3" s="8" cm="1">
        <f t="array" ref="AL3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3" s="8" cm="1">
        <f t="array" ref="AM3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3" s="8" cm="1">
        <f t="array" ref="AN3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3" s="8" cm="1">
        <f t="array" ref="AO3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3" s="8" cm="1">
        <f t="array" ref="AP3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3" s="8" cm="1">
        <f t="array" ref="AQ3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4" spans="1:43">
      <c r="A4">
        <f t="shared" ref="A4:A7" si="0">A3+1</f>
        <v>78</v>
      </c>
      <c r="B4" s="1" t="str">
        <f>VLOOKUP(DBtendonB[[#This Row],[seg id]],DBsup[],6,0)</f>
        <v>M</v>
      </c>
      <c r="C4" s="1" t="str">
        <f>VLOOKUP(DBtendonB[[#This Row],[seg id]],DBsup[],7,0)</f>
        <v>L11</v>
      </c>
      <c r="D4" t="s">
        <v>52</v>
      </c>
      <c r="E4" s="1" t="str">
        <f>"B"&amp;VLOOKUP(DBtendonB[[#This Row],[seg id]],DBsup[],9,0)&amp;"-"&amp;DBtendonB[[#This Row],[PT type]]</f>
        <v>B19-R</v>
      </c>
      <c r="F4" s="11" t="s">
        <v>84</v>
      </c>
      <c r="G4" s="18" t="s">
        <v>130</v>
      </c>
      <c r="H4" s="8" cm="1">
        <f t="array" ref="H4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4" s="8" cm="1">
        <f t="array" ref="I4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4" s="8" cm="1">
        <f t="array" ref="J4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4" s="8" cm="1">
        <f t="array" ref="K4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4" s="8" cm="1">
        <f t="array" ref="L4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4" s="8" cm="1">
        <f t="array" ref="M4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4" s="8" cm="1">
        <f t="array" ref="N4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4" s="8" cm="1">
        <f t="array" ref="O4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4" s="8" cm="1">
        <f t="array" ref="P4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4" s="8" cm="1">
        <f t="array" ref="Q4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4" s="8" cm="1">
        <f t="array" ref="R4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4" s="8" cm="1">
        <f t="array" ref="S4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4" s="8" cm="1">
        <f t="array" ref="T4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4" s="8" cm="1">
        <f t="array" ref="U4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4" s="8" cm="1">
        <f t="array" ref="V4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4" s="8" cm="1">
        <f t="array" ref="W4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4" s="8" cm="1">
        <f t="array" ref="X4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4" s="8" cm="1">
        <f t="array" ref="Y4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4" s="8" cm="1">
        <f t="array" ref="Z4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4" s="8" cm="1">
        <f t="array" ref="AA4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4" s="8" cm="1">
        <f t="array" ref="AB4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4" s="8" cm="1">
        <f t="array" ref="AC4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-0.16750000000000001</v>
      </c>
      <c r="AD4" s="8" cm="1">
        <f t="array" ref="AD4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-0.16750000000000001</v>
      </c>
      <c r="AE4" s="8" cm="1">
        <f t="array" ref="AE4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-0.16750000000000001</v>
      </c>
      <c r="AF4" s="8" cm="1">
        <f t="array" ref="AF4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4" s="8" cm="1">
        <f t="array" ref="AG4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4" s="8" cm="1">
        <f t="array" ref="AH4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4" s="8" cm="1">
        <f t="array" ref="AI4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4" s="8" cm="1">
        <f t="array" ref="AJ4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4" s="8" cm="1">
        <f t="array" ref="AK4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4" s="8" cm="1">
        <f t="array" ref="AL4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4" s="8" cm="1">
        <f t="array" ref="AM4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4" s="8" cm="1">
        <f t="array" ref="AN4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4" s="8" cm="1">
        <f t="array" ref="AO4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4" s="8" cm="1">
        <f t="array" ref="AP4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4" s="8" cm="1">
        <f t="array" ref="AQ4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  <row r="5" spans="1:43">
      <c r="A5">
        <f t="shared" si="0"/>
        <v>79</v>
      </c>
      <c r="B5" s="1" t="str">
        <f>VLOOKUP(DBtendonB[[#This Row],[seg id]],DBsup[],6,0)</f>
        <v>L11</v>
      </c>
      <c r="C5" s="1" t="str">
        <f>VLOOKUP(DBtendonB[[#This Row],[seg id]],DBsup[],7,0)</f>
        <v>M</v>
      </c>
      <c r="D5" t="s">
        <v>52</v>
      </c>
      <c r="E5" s="1" t="str">
        <f>"B"&amp;VLOOKUP(DBtendonB[[#This Row],[seg id]],DBsup[],9,0)&amp;"-"&amp;DBtendonB[[#This Row],[PT type]]</f>
        <v>B20-R</v>
      </c>
      <c r="F5" s="11" t="s">
        <v>84</v>
      </c>
      <c r="G5" s="18" t="s">
        <v>130</v>
      </c>
      <c r="H5" s="8" cm="1">
        <f t="array" ref="H5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5" s="8" cm="1">
        <f t="array" ref="I5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5" s="8" cm="1">
        <f t="array" ref="J5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5" s="8" cm="1">
        <f t="array" ref="K5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5" s="8" cm="1">
        <f t="array" ref="L5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5" s="8" cm="1">
        <f t="array" ref="M5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5" s="8" cm="1">
        <f t="array" ref="N5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5" s="8" cm="1">
        <f t="array" ref="O5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5" s="8" cm="1">
        <f t="array" ref="P5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5" s="8" cm="1">
        <f t="array" ref="Q5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5" s="8" cm="1">
        <f t="array" ref="R5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5" s="8" cm="1">
        <f t="array" ref="S5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5" s="8" cm="1">
        <f t="array" ref="T5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-0.16750000000000001</v>
      </c>
      <c r="U5" s="8" cm="1">
        <f t="array" ref="U5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-0.16750000000000001</v>
      </c>
      <c r="V5" s="8" cm="1">
        <f t="array" ref="V5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-0.16750000000000001</v>
      </c>
      <c r="W5" s="8" cm="1">
        <f t="array" ref="W5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5" s="8" cm="1">
        <f t="array" ref="X5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5" s="8" cm="1">
        <f t="array" ref="Y5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5" s="8" cm="1">
        <f t="array" ref="Z5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5" s="8" cm="1">
        <f t="array" ref="AA5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5" s="8" cm="1">
        <f t="array" ref="AB5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5" s="8" cm="1">
        <f t="array" ref="AC5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5" s="8" cm="1">
        <f t="array" ref="AD5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5" s="8" cm="1">
        <f t="array" ref="AE5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5" s="8" cm="1">
        <f t="array" ref="AF5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5" s="8" cm="1">
        <f t="array" ref="AG5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5" s="8" cm="1">
        <f t="array" ref="AH5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5" s="8" cm="1">
        <f t="array" ref="AI5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5" s="8" cm="1">
        <f t="array" ref="AJ5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5" s="8" cm="1">
        <f t="array" ref="AK5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5" s="8" cm="1">
        <f t="array" ref="AL5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5" s="8" cm="1">
        <f t="array" ref="AM5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5" s="8" cm="1">
        <f t="array" ref="AN5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5" s="8" cm="1">
        <f t="array" ref="AO5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5" s="8" cm="1">
        <f t="array" ref="AP5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5" s="8" cm="1">
        <f t="array" ref="AQ5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6" spans="1:43">
      <c r="A6">
        <f t="shared" si="0"/>
        <v>80</v>
      </c>
      <c r="B6" s="1" t="str">
        <f>VLOOKUP(DBtendonB[[#This Row],[seg id]],DBsup[],6,0)</f>
        <v>M</v>
      </c>
      <c r="C6" s="1" t="str">
        <f>VLOOKUP(DBtendonB[[#This Row],[seg id]],DBsup[],7,0)</f>
        <v>M</v>
      </c>
      <c r="D6" t="s">
        <v>52</v>
      </c>
      <c r="E6" s="1" t="str">
        <f>"B"&amp;VLOOKUP(DBtendonB[[#This Row],[seg id]],DBsup[],9,0)&amp;"-"&amp;DBtendonB[[#This Row],[PT type]]</f>
        <v>B20-R</v>
      </c>
      <c r="F6" s="11" t="s">
        <v>84</v>
      </c>
      <c r="G6" s="18" t="s">
        <v>130</v>
      </c>
      <c r="H6" s="8" cm="1">
        <f t="array" ref="H6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6" s="8" cm="1">
        <f t="array" ref="I6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6" s="8" cm="1">
        <f t="array" ref="J6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6" s="8" cm="1">
        <f t="array" ref="K6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6" s="8" cm="1">
        <f t="array" ref="L6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6" s="8" cm="1">
        <f t="array" ref="M6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6" s="8" cm="1">
        <f t="array" ref="N6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6" s="8" cm="1">
        <f t="array" ref="O6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6" s="8" cm="1">
        <f t="array" ref="P6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6" s="8" cm="1">
        <f t="array" ref="Q6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6" s="8" cm="1">
        <f t="array" ref="R6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6" s="8" cm="1">
        <f t="array" ref="S6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6" s="8" cm="1">
        <f t="array" ref="T6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6" s="8" cm="1">
        <f t="array" ref="U6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6" s="8" cm="1">
        <f t="array" ref="V6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6" s="8" cm="1">
        <f t="array" ref="W6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6" s="8" cm="1">
        <f t="array" ref="X6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6" s="8" cm="1">
        <f t="array" ref="Y6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6" s="8" cm="1">
        <f t="array" ref="Z6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6" s="8" cm="1">
        <f t="array" ref="AA6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6" s="8" cm="1">
        <f t="array" ref="AB6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6" s="8" cm="1">
        <f t="array" ref="AC6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-0.23</v>
      </c>
      <c r="AD6" s="8" cm="1">
        <f t="array" ref="AD6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-0.23</v>
      </c>
      <c r="AE6" s="8" cm="1">
        <f t="array" ref="AE6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-0.23</v>
      </c>
      <c r="AF6" s="8" cm="1">
        <f t="array" ref="AF6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6" s="8" cm="1">
        <f t="array" ref="AG6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6" s="8" cm="1">
        <f t="array" ref="AH6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6" s="8" cm="1">
        <f t="array" ref="AI6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6" s="8" cm="1">
        <f t="array" ref="AJ6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6" s="8" cm="1">
        <f t="array" ref="AK6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6" s="8" cm="1">
        <f t="array" ref="AL6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6" s="8" cm="1">
        <f t="array" ref="AM6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6" s="8" cm="1">
        <f t="array" ref="AN6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6" s="8" cm="1">
        <f t="array" ref="AO6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6" s="8" cm="1">
        <f t="array" ref="AP6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6" s="8" cm="1">
        <f t="array" ref="AQ6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7" spans="1:43">
      <c r="A7">
        <f t="shared" si="0"/>
        <v>81</v>
      </c>
      <c r="B7" s="1" t="str">
        <f>VLOOKUP(DBtendonB[[#This Row],[seg id]],DBsup[],6,0)</f>
        <v>M</v>
      </c>
      <c r="C7" s="1" t="str">
        <f>VLOOKUP(DBtendonB[[#This Row],[seg id]],DBsup[],7,0)</f>
        <v>L12</v>
      </c>
      <c r="D7" t="s">
        <v>52</v>
      </c>
      <c r="E7" s="1" t="str">
        <f>"B"&amp;VLOOKUP(DBtendonB[[#This Row],[seg id]],DBsup[],9,0)&amp;"-"&amp;DBtendonB[[#This Row],[PT type]]</f>
        <v>B20-R</v>
      </c>
      <c r="F7" s="11" t="s">
        <v>84</v>
      </c>
      <c r="G7" s="18" t="s">
        <v>130</v>
      </c>
      <c r="H7" s="8" cm="1">
        <f t="array" ref="H7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7" s="8" cm="1">
        <f t="array" ref="I7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7" s="8" cm="1">
        <f t="array" ref="J7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7" s="8" cm="1">
        <f t="array" ref="K7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7" s="8" cm="1">
        <f t="array" ref="L7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7" s="8" cm="1">
        <f t="array" ref="M7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7" s="8" cm="1">
        <f t="array" ref="N7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7" s="8" cm="1">
        <f t="array" ref="O7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7" s="8" cm="1">
        <f t="array" ref="P7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7" s="8" cm="1">
        <f t="array" ref="Q7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7" s="8" cm="1">
        <f t="array" ref="R7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7" s="8" cm="1">
        <f t="array" ref="S7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7" s="8" cm="1">
        <f t="array" ref="T7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-0.23</v>
      </c>
      <c r="U7" s="8" cm="1">
        <f t="array" ref="U7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-0.23</v>
      </c>
      <c r="V7" s="8" cm="1">
        <f t="array" ref="V7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-0.23</v>
      </c>
      <c r="W7" s="8" cm="1">
        <f t="array" ref="W7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-0.23</v>
      </c>
      <c r="X7" s="8" cm="1">
        <f t="array" ref="X7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-0.23</v>
      </c>
      <c r="Y7" s="8" cm="1">
        <f t="array" ref="Y7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-0.23</v>
      </c>
      <c r="Z7" s="8" cm="1">
        <f t="array" ref="Z7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-0.23</v>
      </c>
      <c r="AA7" s="8" cm="1">
        <f t="array" ref="AA7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-0.23</v>
      </c>
      <c r="AB7" s="8" cm="1">
        <f t="array" ref="AB7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-0.23</v>
      </c>
      <c r="AC7" s="8" cm="1">
        <f t="array" ref="AC7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-0.16750000000000001</v>
      </c>
      <c r="AD7" s="8" cm="1">
        <f t="array" ref="AD7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-0.16750000000000001</v>
      </c>
      <c r="AE7" s="8" cm="1">
        <f t="array" ref="AE7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-0.16750000000000001</v>
      </c>
      <c r="AF7" s="8" cm="1">
        <f t="array" ref="AF7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7" s="8" cm="1">
        <f t="array" ref="AG7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7" s="8" cm="1">
        <f t="array" ref="AH7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7" s="8" cm="1">
        <f t="array" ref="AI7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7" s="8" cm="1">
        <f t="array" ref="AJ7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7" s="8" cm="1">
        <f t="array" ref="AK7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7" s="8" cm="1">
        <f t="array" ref="AL7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7" s="8" cm="1">
        <f t="array" ref="AM7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7" s="8" cm="1">
        <f t="array" ref="AN7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7" s="8" cm="1">
        <f t="array" ref="AO7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7" s="8" cm="1">
        <f t="array" ref="AP7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7" s="8" cm="1">
        <f t="array" ref="AQ7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  <row r="8" spans="1:43">
      <c r="A8">
        <f t="shared" ref="A8:A13" si="1">A2</f>
        <v>76</v>
      </c>
      <c r="B8" s="1" t="str">
        <f>VLOOKUP(DBtendonB[[#This Row],[seg id]],DBsup[],6,0)</f>
        <v>L21</v>
      </c>
      <c r="C8" s="1" t="str">
        <f>VLOOKUP(DBtendonB[[#This Row],[seg id]],DBsup[],7,0)</f>
        <v>M</v>
      </c>
      <c r="D8" t="s">
        <v>40</v>
      </c>
      <c r="E8" s="1" t="str">
        <f>"B"&amp;VLOOKUP(DBtendonB[[#This Row],[seg id]],DBsup[],9,0)&amp;"-"&amp;DBtendonB[[#This Row],[PT type]]</f>
        <v>B19-L</v>
      </c>
      <c r="F8" s="26" t="s">
        <v>84</v>
      </c>
      <c r="G8" s="18" t="s">
        <v>130</v>
      </c>
      <c r="H8" s="8" cm="1">
        <f t="array" ref="H8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8" s="8" cm="1">
        <f t="array" ref="I8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8" s="8" cm="1">
        <f t="array" ref="J8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8" s="8" cm="1">
        <f t="array" ref="K8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8" s="8" cm="1">
        <f t="array" ref="L8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8" s="8" cm="1">
        <f t="array" ref="M8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8" s="8" cm="1">
        <f t="array" ref="N8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8" s="8" cm="1">
        <f t="array" ref="O8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8" s="8" cm="1">
        <f t="array" ref="P8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8" s="8" cm="1">
        <f t="array" ref="Q8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8" s="8" cm="1">
        <f t="array" ref="R8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8" s="8" cm="1">
        <f t="array" ref="S8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8" s="8" cm="1">
        <f t="array" ref="T8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0.16750000000000001</v>
      </c>
      <c r="U8" s="8" cm="1">
        <f t="array" ref="U8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0.16750000000000001</v>
      </c>
      <c r="V8" s="8" cm="1">
        <f t="array" ref="V8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0.16750000000000001</v>
      </c>
      <c r="W8" s="8" cm="1">
        <f t="array" ref="W8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8" s="8" cm="1">
        <f t="array" ref="X8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8" s="8" cm="1">
        <f t="array" ref="Y8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8" s="8" cm="1">
        <f t="array" ref="Z8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8" s="8" cm="1">
        <f t="array" ref="AA8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8" s="8" cm="1">
        <f t="array" ref="AB8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8" s="8" cm="1">
        <f t="array" ref="AC8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8" s="8" cm="1">
        <f t="array" ref="AD8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8" s="8" cm="1">
        <f t="array" ref="AE8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8" s="8" cm="1">
        <f t="array" ref="AF8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8" s="8" cm="1">
        <f t="array" ref="AG8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8" s="8" cm="1">
        <f t="array" ref="AH8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8" s="8" cm="1">
        <f t="array" ref="AI8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8" s="8" cm="1">
        <f t="array" ref="AJ8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8" s="8" cm="1">
        <f t="array" ref="AK8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8" s="8" cm="1">
        <f t="array" ref="AL8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8" s="8" cm="1">
        <f t="array" ref="AM8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8" s="8" cm="1">
        <f t="array" ref="AN8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8" s="8" cm="1">
        <f t="array" ref="AO8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8" s="8" cm="1">
        <f t="array" ref="AP8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8" s="8" cm="1">
        <f t="array" ref="AQ8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9" spans="1:43">
      <c r="A9">
        <f t="shared" si="1"/>
        <v>77</v>
      </c>
      <c r="B9" s="1" t="str">
        <f>VLOOKUP(DBtendonB[[#This Row],[seg id]],DBsup[],6,0)</f>
        <v>M</v>
      </c>
      <c r="C9" s="1" t="str">
        <f>VLOOKUP(DBtendonB[[#This Row],[seg id]],DBsup[],7,0)</f>
        <v>M</v>
      </c>
      <c r="D9" t="s">
        <v>40</v>
      </c>
      <c r="E9" s="1" t="str">
        <f>"B"&amp;VLOOKUP(DBtendonB[[#This Row],[seg id]],DBsup[],9,0)&amp;"-"&amp;DBtendonB[[#This Row],[PT type]]</f>
        <v>B19-L</v>
      </c>
      <c r="F9" s="26" t="s">
        <v>84</v>
      </c>
      <c r="G9" s="18" t="s">
        <v>130</v>
      </c>
      <c r="H9" s="8" cm="1">
        <f t="array" ref="H9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9" s="8" cm="1">
        <f t="array" ref="I9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9" s="8" cm="1">
        <f t="array" ref="J9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9" s="8" cm="1">
        <f t="array" ref="K9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9" s="8" cm="1">
        <f t="array" ref="L9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9" s="8" cm="1">
        <f t="array" ref="M9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9" s="8" cm="1">
        <f t="array" ref="N9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9" s="8" cm="1">
        <f t="array" ref="O9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9" s="8" cm="1">
        <f t="array" ref="P9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9" s="8" cm="1">
        <f t="array" ref="Q9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9" s="8" cm="1">
        <f t="array" ref="R9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9" s="8" cm="1">
        <f t="array" ref="S9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9" s="8" cm="1">
        <f t="array" ref="T9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9" s="8" cm="1">
        <f t="array" ref="U9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9" s="8" cm="1">
        <f t="array" ref="V9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9" s="8" cm="1">
        <f t="array" ref="W9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9" s="8" cm="1">
        <f t="array" ref="X9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9" s="8" cm="1">
        <f t="array" ref="Y9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9" s="8" cm="1">
        <f t="array" ref="Z9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9" s="8" cm="1">
        <f t="array" ref="AA9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9" s="8" cm="1">
        <f t="array" ref="AB9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9" s="8" cm="1">
        <f t="array" ref="AC9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9" s="8" cm="1">
        <f t="array" ref="AD9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9" s="8" cm="1">
        <f t="array" ref="AE9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9" s="8" cm="1">
        <f t="array" ref="AF9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9" s="8" cm="1">
        <f t="array" ref="AG9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9" s="8" cm="1">
        <f t="array" ref="AH9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9" s="8" cm="1">
        <f t="array" ref="AI9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9" s="8" cm="1">
        <f t="array" ref="AJ9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9" s="8" cm="1">
        <f t="array" ref="AK9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9" s="8" cm="1">
        <f t="array" ref="AL9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9" s="8" cm="1">
        <f t="array" ref="AM9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9" s="8" cm="1">
        <f t="array" ref="AN9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9" s="8" cm="1">
        <f t="array" ref="AO9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9" s="8" cm="1">
        <f t="array" ref="AP9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9" s="8" cm="1">
        <f t="array" ref="AQ9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10" spans="1:43">
      <c r="A10">
        <f t="shared" si="1"/>
        <v>78</v>
      </c>
      <c r="B10" s="1" t="str">
        <f>VLOOKUP(DBtendonB[[#This Row],[seg id]],DBsup[],6,0)</f>
        <v>M</v>
      </c>
      <c r="C10" s="1" t="str">
        <f>VLOOKUP(DBtendonB[[#This Row],[seg id]],DBsup[],7,0)</f>
        <v>L11</v>
      </c>
      <c r="D10" t="s">
        <v>40</v>
      </c>
      <c r="E10" s="1" t="str">
        <f>"B"&amp;VLOOKUP(DBtendonB[[#This Row],[seg id]],DBsup[],9,0)&amp;"-"&amp;DBtendonB[[#This Row],[PT type]]</f>
        <v>B19-L</v>
      </c>
      <c r="F10" s="26" t="s">
        <v>84</v>
      </c>
      <c r="G10" s="18" t="s">
        <v>130</v>
      </c>
      <c r="H10" s="8" cm="1">
        <f t="array" ref="H10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10" s="8" cm="1">
        <f t="array" ref="I10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10" s="8" cm="1">
        <f t="array" ref="J10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10" s="8" cm="1">
        <f t="array" ref="K10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10" s="8" cm="1">
        <f t="array" ref="L10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10" s="8" cm="1">
        <f t="array" ref="M10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10" s="8" cm="1">
        <f t="array" ref="N10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10" s="8" cm="1">
        <f t="array" ref="O10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10" s="8" cm="1">
        <f t="array" ref="P10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10" s="8" cm="1">
        <f t="array" ref="Q10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10" s="8" cm="1">
        <f t="array" ref="R10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10" s="8" cm="1">
        <f t="array" ref="S10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10" s="8" cm="1">
        <f t="array" ref="T10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10" s="8" cm="1">
        <f t="array" ref="U10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10" s="8" cm="1">
        <f t="array" ref="V10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10" s="8" cm="1">
        <f t="array" ref="W10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0" s="8" cm="1">
        <f t="array" ref="X10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0" s="8" cm="1">
        <f t="array" ref="Y10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0" s="8" cm="1">
        <f t="array" ref="Z10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0" s="8" cm="1">
        <f t="array" ref="AA10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0" s="8" cm="1">
        <f t="array" ref="AB10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0" s="8" cm="1">
        <f t="array" ref="AC10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0.16750000000000001</v>
      </c>
      <c r="AD10" s="8" cm="1">
        <f t="array" ref="AD10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0.16750000000000001</v>
      </c>
      <c r="AE10" s="8" cm="1">
        <f t="array" ref="AE10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0.16750000000000001</v>
      </c>
      <c r="AF10" s="8" cm="1">
        <f t="array" ref="AF10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10" s="8" cm="1">
        <f t="array" ref="AG10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0" s="8" cm="1">
        <f t="array" ref="AH10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10" s="8" cm="1">
        <f t="array" ref="AI10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10" s="8" cm="1">
        <f t="array" ref="AJ10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0" s="8" cm="1">
        <f t="array" ref="AK10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0" s="8" cm="1">
        <f t="array" ref="AL10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0" s="8" cm="1">
        <f t="array" ref="AM10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0" s="8" cm="1">
        <f t="array" ref="AN10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10" s="8" cm="1">
        <f t="array" ref="AO10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10" s="8" cm="1">
        <f t="array" ref="AP10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0" s="8" cm="1">
        <f t="array" ref="AQ10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  <row r="11" spans="1:43">
      <c r="A11">
        <f t="shared" si="1"/>
        <v>79</v>
      </c>
      <c r="B11" s="1" t="str">
        <f>VLOOKUP(DBtendonB[[#This Row],[seg id]],DBsup[],6,0)</f>
        <v>L11</v>
      </c>
      <c r="C11" s="1" t="str">
        <f>VLOOKUP(DBtendonB[[#This Row],[seg id]],DBsup[],7,0)</f>
        <v>M</v>
      </c>
      <c r="D11" t="s">
        <v>40</v>
      </c>
      <c r="E11" s="1" t="str">
        <f>"B"&amp;VLOOKUP(DBtendonB[[#This Row],[seg id]],DBsup[],9,0)&amp;"-"&amp;DBtendonB[[#This Row],[PT type]]</f>
        <v>B20-L</v>
      </c>
      <c r="F11" s="26" t="s">
        <v>84</v>
      </c>
      <c r="G11" s="18" t="s">
        <v>130</v>
      </c>
      <c r="H11" s="8" cm="1">
        <f t="array" ref="H11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0.214</v>
      </c>
      <c r="I11" s="8" cm="1">
        <f t="array" ref="I11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1.46</v>
      </c>
      <c r="J11" s="8" cm="1">
        <f t="array" ref="J11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0.32500000000000001</v>
      </c>
      <c r="K11" s="8" cm="1">
        <f t="array" ref="K11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3.0630000000000002</v>
      </c>
      <c r="L11" s="8" cm="1">
        <f t="array" ref="L11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1.53</v>
      </c>
      <c r="M11" s="8" cm="1">
        <f t="array" ref="M11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1</v>
      </c>
      <c r="N11" s="8" cm="1">
        <f t="array" ref="N11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11" s="8" cm="1">
        <f t="array" ref="O11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11" s="8" cm="1">
        <f t="array" ref="P11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11" s="8" cm="1">
        <f t="array" ref="Q11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11" s="8" cm="1">
        <f t="array" ref="R11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11" s="8" cm="1">
        <f t="array" ref="S11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11" s="8" cm="1">
        <f t="array" ref="T11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0.16750000000000001</v>
      </c>
      <c r="U11" s="8" cm="1">
        <f t="array" ref="U11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0.16750000000000001</v>
      </c>
      <c r="V11" s="8" cm="1">
        <f t="array" ref="V11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0.16750000000000001</v>
      </c>
      <c r="W11" s="8" cm="1">
        <f t="array" ref="W11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1" s="8" cm="1">
        <f t="array" ref="X11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1" s="8" cm="1">
        <f t="array" ref="Y11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1" s="8" cm="1">
        <f t="array" ref="Z11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1" s="8" cm="1">
        <f t="array" ref="AA11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1" s="8" cm="1">
        <f t="array" ref="AB11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1" s="8" cm="1">
        <f t="array" ref="AC11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11" s="8" cm="1">
        <f t="array" ref="AD11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11" s="8" cm="1">
        <f t="array" ref="AE11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11" s="8" cm="1">
        <f t="array" ref="AF11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-0.81100000000000005</v>
      </c>
      <c r="AG11" s="8" cm="1">
        <f t="array" ref="AG11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1" s="8" cm="1">
        <f t="array" ref="AH11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-1.2869999999999999</v>
      </c>
      <c r="AI11" s="8" cm="1">
        <f t="array" ref="AI11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-1.788</v>
      </c>
      <c r="AJ11" s="8" cm="1">
        <f t="array" ref="AJ11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1" s="8" cm="1">
        <f t="array" ref="AK11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1" s="8" cm="1">
        <f t="array" ref="AL11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1" s="8" cm="1">
        <f t="array" ref="AM11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1" s="8" cm="1">
        <f t="array" ref="AN11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11" s="8" cm="1">
        <f t="array" ref="AO11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11" s="8" cm="1">
        <f t="array" ref="AP11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1" s="8" cm="1">
        <f t="array" ref="AQ11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12" spans="1:43">
      <c r="A12">
        <f t="shared" si="1"/>
        <v>80</v>
      </c>
      <c r="B12" s="1" t="str">
        <f>VLOOKUP(DBtendonB[[#This Row],[seg id]],DBsup[],6,0)</f>
        <v>M</v>
      </c>
      <c r="C12" s="1" t="str">
        <f>VLOOKUP(DBtendonB[[#This Row],[seg id]],DBsup[],7,0)</f>
        <v>M</v>
      </c>
      <c r="D12" t="s">
        <v>40</v>
      </c>
      <c r="E12" s="1" t="str">
        <f>"B"&amp;VLOOKUP(DBtendonB[[#This Row],[seg id]],DBsup[],9,0)&amp;"-"&amp;DBtendonB[[#This Row],[PT type]]</f>
        <v>B20-L</v>
      </c>
      <c r="F12" s="26" t="s">
        <v>84</v>
      </c>
      <c r="G12" s="18" t="s">
        <v>130</v>
      </c>
      <c r="H12" s="8" cm="1">
        <f t="array" ref="H12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12" s="8" cm="1">
        <f t="array" ref="I12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12" s="8" cm="1">
        <f t="array" ref="J12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12" s="8" cm="1">
        <f t="array" ref="K12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12" s="8" cm="1">
        <f t="array" ref="L12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12" s="8" cm="1">
        <f t="array" ref="M12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12" s="8" cm="1">
        <f t="array" ref="N12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0.5</v>
      </c>
      <c r="O12" s="8" cm="1">
        <f t="array" ref="O12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0.5</v>
      </c>
      <c r="P12" s="8" cm="1">
        <f t="array" ref="P12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0.5</v>
      </c>
      <c r="Q12" s="8" cm="1">
        <f t="array" ref="Q12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5.0460000000000003</v>
      </c>
      <c r="R12" s="8" cm="1">
        <f t="array" ref="R12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3.532</v>
      </c>
      <c r="S12" s="8" cm="1">
        <f t="array" ref="S12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</v>
      </c>
      <c r="T12" s="8" cm="1">
        <f t="array" ref="T12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12" s="8" cm="1">
        <f t="array" ref="U12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12" s="8" cm="1">
        <f t="array" ref="V12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12" s="8" cm="1">
        <f t="array" ref="W12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2" s="8" cm="1">
        <f t="array" ref="X12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2" s="8" cm="1">
        <f t="array" ref="Y12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2" s="8" cm="1">
        <f t="array" ref="Z12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2" s="8" cm="1">
        <f t="array" ref="AA12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2" s="8" cm="1">
        <f t="array" ref="AB12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2" s="8" cm="1">
        <f t="array" ref="AC12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0.23</v>
      </c>
      <c r="AD12" s="8" cm="1">
        <f t="array" ref="AD12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0.23</v>
      </c>
      <c r="AE12" s="8" cm="1">
        <f t="array" ref="AE12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0.23</v>
      </c>
      <c r="AF12" s="8" cm="1">
        <f t="array" ref="AF12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12" s="8" cm="1">
        <f t="array" ref="AG12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2" s="8" cm="1">
        <f t="array" ref="AH12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12" s="8" cm="1">
        <f t="array" ref="AI12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12" s="8" cm="1">
        <f t="array" ref="AJ12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2" s="8" cm="1">
        <f t="array" ref="AK12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2" s="8" cm="1">
        <f t="array" ref="AL12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2" s="8" cm="1">
        <f t="array" ref="AM12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2" s="8" cm="1">
        <f t="array" ref="AN12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-1.85</v>
      </c>
      <c r="AO12" s="8" cm="1">
        <f t="array" ref="AO12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-1.85</v>
      </c>
      <c r="AP12" s="8" cm="1">
        <f t="array" ref="AP12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2" s="8" cm="1">
        <f t="array" ref="AQ12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-0.75</v>
      </c>
    </row>
    <row r="13" spans="1:43">
      <c r="A13">
        <f t="shared" si="1"/>
        <v>81</v>
      </c>
      <c r="B13" s="1" t="str">
        <f>VLOOKUP(DBtendonB[[#This Row],[seg id]],DBsup[],6,0)</f>
        <v>M</v>
      </c>
      <c r="C13" s="1" t="str">
        <f>VLOOKUP(DBtendonB[[#This Row],[seg id]],DBsup[],7,0)</f>
        <v>L12</v>
      </c>
      <c r="D13" t="s">
        <v>40</v>
      </c>
      <c r="E13" s="1" t="str">
        <f>"B"&amp;VLOOKUP(DBtendonB[[#This Row],[seg id]],DBsup[],9,0)&amp;"-"&amp;DBtendonB[[#This Row],[PT type]]</f>
        <v>B20-L</v>
      </c>
      <c r="F13" s="26" t="s">
        <v>84</v>
      </c>
      <c r="G13" s="18" t="s">
        <v>130</v>
      </c>
      <c r="H13" s="8" cm="1">
        <f t="array" ref="H13">INDEX(PTprofB[],MATCH(1,(LEFT(DBtendonB[[#This Row],[pier type start]],1)=PTprofB[Ptyp_s])*(LEFT(DBtendonB[[#This Row],[pier type end]],1)=PTprofB[Ptyp_e])*(DBtendonB[[#This Row],[PT type]]=PTprofB[PT type]),0),MATCH(DBtendonB[[#Headers],[dLez1]],PTprofB[#Headers],0))</f>
        <v>0</v>
      </c>
      <c r="I13" s="8" cm="1">
        <f t="array" ref="I13">INDEX(PTprofB[],MATCH(1,(LEFT(DBtendonB[[#This Row],[pier type start]],1)=PTprofB[Ptyp_s])*(LEFT(DBtendonB[[#This Row],[pier type end]],1)=PTprofB[Ptyp_e])*(DBtendonB[[#This Row],[PT type]]=PTprofB[PT type]),0),MATCH(DBtendonB[[#Headers],[dLez2]],PTprofB[#Headers],0))</f>
        <v>3.532</v>
      </c>
      <c r="J13" s="8" cm="1">
        <f t="array" ref="J13">INDEX(PTprofB[],MATCH(1,(LEFT(DBtendonB[[#This Row],[pier type start]],1)=PTprofB[Ptyp_s])*(LEFT(DBtendonB[[#This Row],[pier type end]],1)=PTprofB[Ptyp_e])*(DBtendonB[[#This Row],[PT type]]=PTprofB[PT type]),0),MATCH(DBtendonB[[#Headers],[dLez3]],PTprofB[#Headers],0))</f>
        <v>5.0460000000000003</v>
      </c>
      <c r="K13" s="8" cm="1">
        <f t="array" ref="K13">INDEX(PTprofB[],MATCH(1,(LEFT(DBtendonB[[#This Row],[pier type start]],1)=PTprofB[Ptyp_s])*(LEFT(DBtendonB[[#This Row],[pier type end]],1)=PTprofB[Ptyp_e])*(DBtendonB[[#This Row],[PT type]]=PTprofB[PT type]),0),MATCH(DBtendonB[[#Headers],[dLez4]],PTprofB[#Headers],0))</f>
        <v>0.5</v>
      </c>
      <c r="L13" s="8" cm="1">
        <f t="array" ref="L13">INDEX(PTprofB[],MATCH(1,(LEFT(DBtendonB[[#This Row],[pier type start]],1)=PTprofB[Ptyp_s])*(LEFT(DBtendonB[[#This Row],[pier type end]],1)=PTprofB[Ptyp_e])*(DBtendonB[[#This Row],[PT type]]=PTprofB[PT type]),0),MATCH(DBtendonB[[#Headers],[dLez5]],PTprofB[#Headers],0))</f>
        <v>0.5</v>
      </c>
      <c r="M13" s="8" cm="1">
        <f t="array" ref="M13">INDEX(PTprofB[],MATCH(1,(LEFT(DBtendonB[[#This Row],[pier type start]],1)=PTprofB[Ptyp_s])*(LEFT(DBtendonB[[#This Row],[pier type end]],1)=PTprofB[Ptyp_e])*(DBtendonB[[#This Row],[PT type]]=PTprofB[PT type]),0),MATCH(DBtendonB[[#Headers],[dLez6]],PTprofB[#Headers],0))</f>
        <v>0.5</v>
      </c>
      <c r="N13" s="8" cm="1">
        <f t="array" ref="N13">INDEX(PTprofB[],MATCH(1,(LEFT(DBtendonB[[#This Row],[pier type start]],1)=PTprofB[Ptyp_s])*(LEFT(DBtendonB[[#This Row],[pier type end]],1)=PTprofB[Ptyp_e])*(DBtendonB[[#This Row],[PT type]]=PTprofB[PT type]),0),MATCH(DBtendonB[[#Headers],[dLez7]],PTprofB[#Headers],0))</f>
        <v>1</v>
      </c>
      <c r="O13" s="8" cm="1">
        <f t="array" ref="O13">INDEX(PTprofB[],MATCH(1,(LEFT(DBtendonB[[#This Row],[pier type start]],1)=PTprofB[Ptyp_s])*(LEFT(DBtendonB[[#This Row],[pier type end]],1)=PTprofB[Ptyp_e])*(DBtendonB[[#This Row],[PT type]]=PTprofB[PT type]),0),MATCH(DBtendonB[[#Headers],[dLez8]],PTprofB[#Headers],0))</f>
        <v>1.53</v>
      </c>
      <c r="P13" s="8" cm="1">
        <f t="array" ref="P13">INDEX(PTprofB[],MATCH(1,(LEFT(DBtendonB[[#This Row],[pier type start]],1)=PTprofB[Ptyp_s])*(LEFT(DBtendonB[[#This Row],[pier type end]],1)=PTprofB[Ptyp_e])*(DBtendonB[[#This Row],[PT type]]=PTprofB[PT type]),0),MATCH(DBtendonB[[#Headers],[dLez9]],PTprofB[#Headers],0))</f>
        <v>3.0630000000000002</v>
      </c>
      <c r="Q13" s="8" cm="1">
        <f t="array" ref="Q13">INDEX(PTprofB[],MATCH(1,(LEFT(DBtendonB[[#This Row],[pier type start]],1)=PTprofB[Ptyp_s])*(LEFT(DBtendonB[[#This Row],[pier type end]],1)=PTprofB[Ptyp_e])*(DBtendonB[[#This Row],[PT type]]=PTprofB[PT type]),0),MATCH(DBtendonB[[#Headers],[dLez10]],PTprofB[#Headers],0))</f>
        <v>0.32500000000000001</v>
      </c>
      <c r="R13" s="8" cm="1">
        <f t="array" ref="R13">INDEX(PTprofB[],MATCH(1,(LEFT(DBtendonB[[#This Row],[pier type start]],1)=PTprofB[Ptyp_s])*(LEFT(DBtendonB[[#This Row],[pier type end]],1)=PTprofB[Ptyp_e])*(DBtendonB[[#This Row],[PT type]]=PTprofB[PT type]),0),MATCH(DBtendonB[[#Headers],[dLez11]],PTprofB[#Headers],0))</f>
        <v>1.46</v>
      </c>
      <c r="S13" s="8" cm="1">
        <f t="array" ref="S13">INDEX(PTprofB[],MATCH(1,(LEFT(DBtendonB[[#This Row],[pier type start]],1)=PTprofB[Ptyp_s])*(LEFT(DBtendonB[[#This Row],[pier type end]],1)=PTprofB[Ptyp_e])*(DBtendonB[[#This Row],[PT type]]=PTprofB[PT type]),0),MATCH(DBtendonB[[#Headers],[dLez12]],PTprofB[#Headers],0))</f>
        <v>0.214</v>
      </c>
      <c r="T13" s="8" cm="1">
        <f t="array" ref="T13">INDEX(PTprofB[],MATCH(1,(LEFT(DBtendonB[[#This Row],[pier type start]],1)=PTprofB[Ptyp_s])*(LEFT(DBtendonB[[#This Row],[pier type end]],1)=PTprofB[Ptyp_e])*(DBtendonB[[#This Row],[PT type]]=PTprofB[PT type]),0),MATCH(DBtendonB[[#Headers],[ey1]],PTprofB[#Headers],0))</f>
        <v>0.23</v>
      </c>
      <c r="U13" s="8" cm="1">
        <f t="array" ref="U13">INDEX(PTprofB[],MATCH(1,(LEFT(DBtendonB[[#This Row],[pier type start]],1)=PTprofB[Ptyp_s])*(LEFT(DBtendonB[[#This Row],[pier type end]],1)=PTprofB[Ptyp_e])*(DBtendonB[[#This Row],[PT type]]=PTprofB[PT type]),0),MATCH(DBtendonB[[#Headers],[ey2]],PTprofB[#Headers],0))</f>
        <v>0.23</v>
      </c>
      <c r="V13" s="8" cm="1">
        <f t="array" ref="V13">INDEX(PTprofB[],MATCH(1,(LEFT(DBtendonB[[#This Row],[pier type start]],1)=PTprofB[Ptyp_s])*(LEFT(DBtendonB[[#This Row],[pier type end]],1)=PTprofB[Ptyp_e])*(DBtendonB[[#This Row],[PT type]]=PTprofB[PT type]),0),MATCH(DBtendonB[[#Headers],[ey3]],PTprofB[#Headers],0))</f>
        <v>0.23</v>
      </c>
      <c r="W13" s="8" cm="1">
        <f t="array" ref="W13">INDEX(PTprofB[],MATCH(1,(LEFT(DBtendonB[[#This Row],[pier type start]],1)=PTprofB[Ptyp_s])*(LEFT(DBtendonB[[#This Row],[pier type end]],1)=PTprofB[Ptyp_e])*(DBtendonB[[#This Row],[PT type]]=PTprofB[PT type]),0),MATCH(DBtendonB[[#Headers],[ey4]],PTprofB[#Headers],0))</f>
        <v>0.23</v>
      </c>
      <c r="X13" s="8" cm="1">
        <f t="array" ref="X13">INDEX(PTprofB[],MATCH(1,(LEFT(DBtendonB[[#This Row],[pier type start]],1)=PTprofB[Ptyp_s])*(LEFT(DBtendonB[[#This Row],[pier type end]],1)=PTprofB[Ptyp_e])*(DBtendonB[[#This Row],[PT type]]=PTprofB[PT type]),0),MATCH(DBtendonB[[#Headers],[ey5]],PTprofB[#Headers],0))</f>
        <v>0.23</v>
      </c>
      <c r="Y13" s="8" cm="1">
        <f t="array" ref="Y13">INDEX(PTprofB[],MATCH(1,(LEFT(DBtendonB[[#This Row],[pier type start]],1)=PTprofB[Ptyp_s])*(LEFT(DBtendonB[[#This Row],[pier type end]],1)=PTprofB[Ptyp_e])*(DBtendonB[[#This Row],[PT type]]=PTprofB[PT type]),0),MATCH(DBtendonB[[#Headers],[ey6]],PTprofB[#Headers],0))</f>
        <v>0.23</v>
      </c>
      <c r="Z13" s="8" cm="1">
        <f t="array" ref="Z13">INDEX(PTprofB[],MATCH(1,(LEFT(DBtendonB[[#This Row],[pier type start]],1)=PTprofB[Ptyp_s])*(LEFT(DBtendonB[[#This Row],[pier type end]],1)=PTprofB[Ptyp_e])*(DBtendonB[[#This Row],[PT type]]=PTprofB[PT type]),0),MATCH(DBtendonB[[#Headers],[ey7]],PTprofB[#Headers],0))</f>
        <v>0.23</v>
      </c>
      <c r="AA13" s="8" cm="1">
        <f t="array" ref="AA13">INDEX(PTprofB[],MATCH(1,(LEFT(DBtendonB[[#This Row],[pier type start]],1)=PTprofB[Ptyp_s])*(LEFT(DBtendonB[[#This Row],[pier type end]],1)=PTprofB[Ptyp_e])*(DBtendonB[[#This Row],[PT type]]=PTprofB[PT type]),0),MATCH(DBtendonB[[#Headers],[ey8]],PTprofB[#Headers],0))</f>
        <v>0.23</v>
      </c>
      <c r="AB13" s="8" cm="1">
        <f t="array" ref="AB13">INDEX(PTprofB[],MATCH(1,(LEFT(DBtendonB[[#This Row],[pier type start]],1)=PTprofB[Ptyp_s])*(LEFT(DBtendonB[[#This Row],[pier type end]],1)=PTprofB[Ptyp_e])*(DBtendonB[[#This Row],[PT type]]=PTprofB[PT type]),0),MATCH(DBtendonB[[#Headers],[ey9]],PTprofB[#Headers],0))</f>
        <v>0.23</v>
      </c>
      <c r="AC13" s="8" cm="1">
        <f t="array" ref="AC13">INDEX(PTprofB[],MATCH(1,(LEFT(DBtendonB[[#This Row],[pier type start]],1)=PTprofB[Ptyp_s])*(LEFT(DBtendonB[[#This Row],[pier type end]],1)=PTprofB[Ptyp_e])*(DBtendonB[[#This Row],[PT type]]=PTprofB[PT type]),0),MATCH(DBtendonB[[#Headers],[ey10]],PTprofB[#Headers],0))</f>
        <v>0.16750000000000001</v>
      </c>
      <c r="AD13" s="8" cm="1">
        <f t="array" ref="AD13">INDEX(PTprofB[],MATCH(1,(LEFT(DBtendonB[[#This Row],[pier type start]],1)=PTprofB[Ptyp_s])*(LEFT(DBtendonB[[#This Row],[pier type end]],1)=PTprofB[Ptyp_e])*(DBtendonB[[#This Row],[PT type]]=PTprofB[PT type]),0),MATCH(DBtendonB[[#Headers],[ey11]],PTprofB[#Headers],0))</f>
        <v>0.16750000000000001</v>
      </c>
      <c r="AE13" s="8" cm="1">
        <f t="array" ref="AE13">INDEX(PTprofB[],MATCH(1,(LEFT(DBtendonB[[#This Row],[pier type start]],1)=PTprofB[Ptyp_s])*(LEFT(DBtendonB[[#This Row],[pier type end]],1)=PTprofB[Ptyp_e])*(DBtendonB[[#This Row],[PT type]]=PTprofB[PT type]),0),MATCH(DBtendonB[[#Headers],[ey12]],PTprofB[#Headers],0))</f>
        <v>0.16750000000000001</v>
      </c>
      <c r="AF13" s="8" cm="1">
        <f t="array" ref="AF13">INDEX(PTprofB[],MATCH(1,(LEFT(DBtendonB[[#This Row],[pier type start]],1)=PTprofB[Ptyp_s])*(LEFT(DBtendonB[[#This Row],[pier type end]],1)=PTprofB[Ptyp_e])*(DBtendonB[[#This Row],[PT type]]=PTprofB[PT type]),0),MATCH(DBtendonB[[#Headers],[ez1]],PTprofB[#Headers],0))</f>
        <v>-0.75</v>
      </c>
      <c r="AG13" s="8" cm="1">
        <f t="array" ref="AG13">INDEX(PTprofB[],MATCH(1,(LEFT(DBtendonB[[#This Row],[pier type start]],1)=PTprofB[Ptyp_s])*(LEFT(DBtendonB[[#This Row],[pier type end]],1)=PTprofB[Ptyp_e])*(DBtendonB[[#This Row],[PT type]]=PTprofB[PT type]),0),MATCH(DBtendonB[[#Headers],[ez2]],PTprofB[#Headers],0))</f>
        <v>-1.2030000000000001</v>
      </c>
      <c r="AH13" s="8" cm="1">
        <f t="array" ref="AH13">INDEX(PTprofB[],MATCH(1,(LEFT(DBtendonB[[#This Row],[pier type start]],1)=PTprofB[Ptyp_s])*(LEFT(DBtendonB[[#This Row],[pier type end]],1)=PTprofB[Ptyp_e])*(DBtendonB[[#This Row],[PT type]]=PTprofB[PT type]),0),MATCH(DBtendonB[[#Headers],[ez3]],PTprofB[#Headers],0))</f>
        <v>-1.85</v>
      </c>
      <c r="AI13" s="8" cm="1">
        <f t="array" ref="AI13">INDEX(PTprofB[],MATCH(1,(LEFT(DBtendonB[[#This Row],[pier type start]],1)=PTprofB[Ptyp_s])*(LEFT(DBtendonB[[#This Row],[pier type end]],1)=PTprofB[Ptyp_e])*(DBtendonB[[#This Row],[PT type]]=PTprofB[PT type]),0),MATCH(DBtendonB[[#Headers],[ez4]],PTprofB[#Headers],0))</f>
        <v>-1.85</v>
      </c>
      <c r="AJ13" s="8" cm="1">
        <f t="array" ref="AJ13">INDEX(PTprofB[],MATCH(1,(LEFT(DBtendonB[[#This Row],[pier type start]],1)=PTprofB[Ptyp_s])*(LEFT(DBtendonB[[#This Row],[pier type end]],1)=PTprofB[Ptyp_e])*(DBtendonB[[#This Row],[PT type]]=PTprofB[PT type]),0),MATCH(DBtendonB[[#Headers],[ez5]],PTprofB[#Headers],0))</f>
        <v>-1.85</v>
      </c>
      <c r="AK13" s="8" cm="1">
        <f t="array" ref="AK13">INDEX(PTprofB[],MATCH(1,(LEFT(DBtendonB[[#This Row],[pier type start]],1)=PTprofB[Ptyp_s])*(LEFT(DBtendonB[[#This Row],[pier type end]],1)=PTprofB[Ptyp_e])*(DBtendonB[[#This Row],[PT type]]=PTprofB[PT type]),0),MATCH(DBtendonB[[#Headers],[ez6]],PTprofB[#Headers],0))</f>
        <v>-1.85</v>
      </c>
      <c r="AL13" s="8" cm="1">
        <f t="array" ref="AL13">INDEX(PTprofB[],MATCH(1,(LEFT(DBtendonB[[#This Row],[pier type start]],1)=PTprofB[Ptyp_s])*(LEFT(DBtendonB[[#This Row],[pier type end]],1)=PTprofB[Ptyp_e])*(DBtendonB[[#This Row],[PT type]]=PTprofB[PT type]),0),MATCH(DBtendonB[[#Headers],[ez7]],PTprofB[#Headers],0))</f>
        <v>-1.85</v>
      </c>
      <c r="AM13" s="8" cm="1">
        <f t="array" ref="AM13">INDEX(PTprofB[],MATCH(1,(LEFT(DBtendonB[[#This Row],[pier type start]],1)=PTprofB[Ptyp_s])*(LEFT(DBtendonB[[#This Row],[pier type end]],1)=PTprofB[Ptyp_e])*(DBtendonB[[#This Row],[PT type]]=PTprofB[PT type]),0),MATCH(DBtendonB[[#Headers],[ez8]],PTprofB[#Headers],0))</f>
        <v>-1.85</v>
      </c>
      <c r="AN13" s="8" cm="1">
        <f t="array" ref="AN13">INDEX(PTprofB[],MATCH(1,(LEFT(DBtendonB[[#This Row],[pier type start]],1)=PTprofB[Ptyp_s])*(LEFT(DBtendonB[[#This Row],[pier type end]],1)=PTprofB[Ptyp_e])*(DBtendonB[[#This Row],[PT type]]=PTprofB[PT type]),0),MATCH(DBtendonB[[#Headers],[ez9]],PTprofB[#Headers],0))</f>
        <v>-1.788</v>
      </c>
      <c r="AO13" s="8" cm="1">
        <f t="array" ref="AO13">INDEX(PTprofB[],MATCH(1,(LEFT(DBtendonB[[#This Row],[pier type start]],1)=PTprofB[Ptyp_s])*(LEFT(DBtendonB[[#This Row],[pier type end]],1)=PTprofB[Ptyp_e])*(DBtendonB[[#This Row],[PT type]]=PTprofB[PT type]),0),MATCH(DBtendonB[[#Headers],[ez10]],PTprofB[#Headers],0))</f>
        <v>-1.2869999999999999</v>
      </c>
      <c r="AP13" s="8" cm="1">
        <f t="array" ref="AP13">INDEX(PTprofB[],MATCH(1,(LEFT(DBtendonB[[#This Row],[pier type start]],1)=PTprofB[Ptyp_s])*(LEFT(DBtendonB[[#This Row],[pier type end]],1)=PTprofB[Ptyp_e])*(DBtendonB[[#This Row],[PT type]]=PTprofB[PT type]),0),MATCH(DBtendonB[[#Headers],[ez11]],PTprofB[#Headers],0))</f>
        <v>-1.2030000000000001</v>
      </c>
      <c r="AQ13" s="8" cm="1">
        <f t="array" ref="AQ13">INDEX(PTprofB[],MATCH(1,(LEFT(DBtendonB[[#This Row],[pier type start]],1)=PTprofB[Ptyp_s])*(LEFT(DBtendonB[[#This Row],[pier type end]],1)=PTprofB[Ptyp_e])*(DBtendonB[[#This Row],[PT type]]=PTprofB[PT type]),0),MATCH(DBtendonB[[#Headers],[ez12]],PTprofB[#Headers],0))</f>
        <v>-0.81100000000000005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16DD-B433-4022-BEC8-6B68D4FC6B89}">
  <dimension ref="A1:AQ13"/>
  <sheetViews>
    <sheetView workbookViewId="0">
      <selection activeCell="H36" sqref="H36"/>
    </sheetView>
  </sheetViews>
  <sheetFormatPr defaultRowHeight="11.25"/>
  <cols>
    <col min="6" max="6" width="16.25" bestFit="1" customWidth="1"/>
  </cols>
  <sheetData>
    <row r="1" spans="1:43">
      <c r="A1" t="s">
        <v>125</v>
      </c>
      <c r="B1" t="s">
        <v>47</v>
      </c>
      <c r="C1" t="s">
        <v>48</v>
      </c>
      <c r="D1" t="s">
        <v>126</v>
      </c>
      <c r="E1" t="s">
        <v>124</v>
      </c>
      <c r="F1" s="2" t="s">
        <v>82</v>
      </c>
      <c r="G1" s="9" t="s">
        <v>127</v>
      </c>
      <c r="H1" s="17" t="s">
        <v>100</v>
      </c>
      <c r="I1" s="17" t="s">
        <v>101</v>
      </c>
      <c r="J1" s="17" t="s">
        <v>102</v>
      </c>
      <c r="K1" s="17" t="s">
        <v>103</v>
      </c>
      <c r="L1" s="17" t="s">
        <v>104</v>
      </c>
      <c r="M1" s="17" t="s">
        <v>105</v>
      </c>
      <c r="N1" s="17" t="s">
        <v>106</v>
      </c>
      <c r="O1" s="17" t="s">
        <v>107</v>
      </c>
      <c r="P1" s="17" t="s">
        <v>108</v>
      </c>
      <c r="Q1" s="17" t="s">
        <v>109</v>
      </c>
      <c r="R1" s="10" t="s">
        <v>118</v>
      </c>
      <c r="S1" s="10" t="s">
        <v>119</v>
      </c>
      <c r="T1" s="10" t="s">
        <v>96</v>
      </c>
      <c r="U1" s="10" t="s">
        <v>97</v>
      </c>
      <c r="V1" s="10" t="s">
        <v>98</v>
      </c>
      <c r="W1" s="10" t="s">
        <v>99</v>
      </c>
      <c r="X1" s="10" t="s">
        <v>112</v>
      </c>
      <c r="Y1" s="10" t="s">
        <v>113</v>
      </c>
      <c r="Z1" s="10" t="s">
        <v>114</v>
      </c>
      <c r="AA1" s="10" t="s">
        <v>115</v>
      </c>
      <c r="AB1" s="10" t="s">
        <v>116</v>
      </c>
      <c r="AC1" s="10" t="s">
        <v>117</v>
      </c>
      <c r="AD1" s="10" t="s">
        <v>120</v>
      </c>
      <c r="AE1" s="10" t="s">
        <v>121</v>
      </c>
      <c r="AF1" s="10" t="s">
        <v>86</v>
      </c>
      <c r="AG1" s="10" t="s">
        <v>87</v>
      </c>
      <c r="AH1" s="10" t="s">
        <v>88</v>
      </c>
      <c r="AI1" s="10" t="s">
        <v>89</v>
      </c>
      <c r="AJ1" s="10" t="s">
        <v>90</v>
      </c>
      <c r="AK1" s="10" t="s">
        <v>91</v>
      </c>
      <c r="AL1" s="10" t="s">
        <v>92</v>
      </c>
      <c r="AM1" s="10" t="s">
        <v>93</v>
      </c>
      <c r="AN1" s="10" t="s">
        <v>94</v>
      </c>
      <c r="AO1" s="10" t="s">
        <v>95</v>
      </c>
      <c r="AP1" s="10" t="s">
        <v>122</v>
      </c>
      <c r="AQ1" s="10" t="s">
        <v>123</v>
      </c>
    </row>
    <row r="2" spans="1:43">
      <c r="A2">
        <v>76</v>
      </c>
      <c r="B2" s="1" t="str">
        <f>VLOOKUP(DBtendonC[[#This Row],[seg id]],DBsup[],6,0)</f>
        <v>L21</v>
      </c>
      <c r="C2" s="1" t="str">
        <f>VLOOKUP(DBtendonC[[#This Row],[seg id]],DBsup[],7,0)</f>
        <v>M</v>
      </c>
      <c r="D2" t="s">
        <v>52</v>
      </c>
      <c r="E2" s="1" t="str">
        <f>"C"&amp;VLOOKUP(DBtendonC[[#This Row],[seg id]],DBsup[],9,0)&amp;"-"&amp;DBtendonC[[#This Row],[PT type]]</f>
        <v>C19-R</v>
      </c>
      <c r="F2" s="11" t="s">
        <v>85</v>
      </c>
      <c r="G2" s="18" t="s">
        <v>129</v>
      </c>
      <c r="H2" s="8" cm="1">
        <f t="array" ref="H2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2" s="8" cm="1">
        <f t="array" ref="I2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2" s="8" cm="1">
        <f t="array" ref="J2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2" s="8" cm="1">
        <f t="array" ref="K2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2" s="8" cm="1">
        <f t="array" ref="L2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2" s="8" cm="1">
        <f t="array" ref="M2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2" s="8" cm="1">
        <f t="array" ref="N2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2" s="8" cm="1">
        <f t="array" ref="O2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2" s="8" cm="1">
        <f t="array" ref="P2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2" s="8" cm="1">
        <f t="array" ref="Q2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2" s="8" cm="1">
        <f t="array" ref="R2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2" s="8" cm="1">
        <f t="array" ref="S2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2" s="8" cm="1">
        <f t="array" ref="T2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-0.16750000000000001</v>
      </c>
      <c r="U2" s="8" cm="1">
        <f t="array" ref="U2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-0.16750000000000001</v>
      </c>
      <c r="V2" s="8" cm="1">
        <f t="array" ref="V2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-0.16750000000000001</v>
      </c>
      <c r="W2" s="8" cm="1">
        <f t="array" ref="W2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2" s="8" cm="1">
        <f t="array" ref="X2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2" s="8" cm="1">
        <f t="array" ref="Y2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2" s="8" cm="1">
        <f t="array" ref="Z2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2" s="8" cm="1">
        <f t="array" ref="AA2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2" s="8" cm="1">
        <f t="array" ref="AB2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2" s="8" cm="1">
        <f t="array" ref="AC2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2" s="8" cm="1">
        <f t="array" ref="AD2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2" s="8" cm="1">
        <f t="array" ref="AE2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2" s="8" cm="1">
        <f t="array" ref="AF2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2" s="8" cm="1">
        <f t="array" ref="AG2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2" s="8" cm="1">
        <f t="array" ref="AH2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2" s="8" cm="1">
        <f t="array" ref="AI2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2" s="8" cm="1">
        <f t="array" ref="AJ2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2" s="8" cm="1">
        <f t="array" ref="AK2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2" s="8" cm="1">
        <f t="array" ref="AL2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2" s="8" cm="1">
        <f t="array" ref="AM2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2" s="8" cm="1">
        <f t="array" ref="AN2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2" s="8" cm="1">
        <f t="array" ref="AO2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2" s="8" cm="1">
        <f t="array" ref="AP2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2" s="8" cm="1">
        <f t="array" ref="AQ2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3" spans="1:43">
      <c r="A3">
        <f>A2+1</f>
        <v>77</v>
      </c>
      <c r="B3" s="1" t="str">
        <f>VLOOKUP(DBtendonC[[#This Row],[seg id]],DBsup[],6,0)</f>
        <v>M</v>
      </c>
      <c r="C3" s="1" t="str">
        <f>VLOOKUP(DBtendonC[[#This Row],[seg id]],DBsup[],7,0)</f>
        <v>M</v>
      </c>
      <c r="D3" t="s">
        <v>52</v>
      </c>
      <c r="E3" s="1" t="str">
        <f>"C"&amp;VLOOKUP(DBtendonC[[#This Row],[seg id]],DBsup[],9,0)&amp;"-"&amp;DBtendonC[[#This Row],[PT type]]</f>
        <v>C19-R</v>
      </c>
      <c r="F3" s="11" t="s">
        <v>85</v>
      </c>
      <c r="G3" s="18" t="s">
        <v>129</v>
      </c>
      <c r="H3" s="8" cm="1">
        <f t="array" ref="H3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3" s="8" cm="1">
        <f t="array" ref="I3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3" s="8" cm="1">
        <f t="array" ref="J3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3" s="8" cm="1">
        <f t="array" ref="K3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3" s="8" cm="1">
        <f t="array" ref="L3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3" s="8" cm="1">
        <f t="array" ref="M3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3" s="8" cm="1">
        <f t="array" ref="N3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3" s="8" cm="1">
        <f t="array" ref="O3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3" s="8" cm="1">
        <f t="array" ref="P3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3" s="8" cm="1">
        <f t="array" ref="Q3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3" s="8" cm="1">
        <f t="array" ref="R3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3" s="8" cm="1">
        <f t="array" ref="S3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3" s="8" cm="1">
        <f t="array" ref="T3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3" s="8" cm="1">
        <f t="array" ref="U3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3" s="8" cm="1">
        <f t="array" ref="V3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3" s="8" cm="1">
        <f t="array" ref="W3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3" s="8" cm="1">
        <f t="array" ref="X3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3" s="8" cm="1">
        <f t="array" ref="Y3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3" s="8" cm="1">
        <f t="array" ref="Z3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3" s="8" cm="1">
        <f t="array" ref="AA3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3" s="8" cm="1">
        <f t="array" ref="AB3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3" s="8" cm="1">
        <f t="array" ref="AC3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3" s="8" cm="1">
        <f t="array" ref="AD3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3" s="8" cm="1">
        <f t="array" ref="AE3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3" s="8" cm="1">
        <f t="array" ref="AF3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3" s="8" cm="1">
        <f t="array" ref="AG3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3" s="8" cm="1">
        <f t="array" ref="AH3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3" s="8" cm="1">
        <f t="array" ref="AI3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3" s="8" cm="1">
        <f t="array" ref="AJ3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3" s="8" cm="1">
        <f t="array" ref="AK3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3" s="8" cm="1">
        <f t="array" ref="AL3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3" s="8" cm="1">
        <f t="array" ref="AM3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3" s="8" cm="1">
        <f t="array" ref="AN3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3" s="8" cm="1">
        <f t="array" ref="AO3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3" s="8" cm="1">
        <f t="array" ref="AP3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3" s="8" cm="1">
        <f t="array" ref="AQ3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4" spans="1:43">
      <c r="A4">
        <f t="shared" ref="A4:A7" si="0">A3+1</f>
        <v>78</v>
      </c>
      <c r="B4" s="1" t="str">
        <f>VLOOKUP(DBtendonC[[#This Row],[seg id]],DBsup[],6,0)</f>
        <v>M</v>
      </c>
      <c r="C4" s="1" t="str">
        <f>VLOOKUP(DBtendonC[[#This Row],[seg id]],DBsup[],7,0)</f>
        <v>L11</v>
      </c>
      <c r="D4" t="s">
        <v>52</v>
      </c>
      <c r="E4" s="1" t="str">
        <f>"C"&amp;VLOOKUP(DBtendonC[[#This Row],[seg id]],DBsup[],9,0)&amp;"-"&amp;DBtendonC[[#This Row],[PT type]]</f>
        <v>C19-R</v>
      </c>
      <c r="F4" s="11" t="s">
        <v>85</v>
      </c>
      <c r="G4" s="18" t="s">
        <v>129</v>
      </c>
      <c r="H4" s="8" cm="1">
        <f t="array" ref="H4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4" s="8" cm="1">
        <f t="array" ref="I4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4" s="8" cm="1">
        <f t="array" ref="J4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4" s="8" cm="1">
        <f t="array" ref="K4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4" s="8" cm="1">
        <f t="array" ref="L4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4" s="8" cm="1">
        <f t="array" ref="M4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4" s="8" cm="1">
        <f t="array" ref="N4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4" s="8" cm="1">
        <f t="array" ref="O4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4" s="8" cm="1">
        <f t="array" ref="P4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4" s="8" cm="1">
        <f t="array" ref="Q4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4" s="8" cm="1">
        <f t="array" ref="R4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4" s="8" cm="1">
        <f t="array" ref="S4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4" s="8" cm="1">
        <f t="array" ref="T4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4" s="8" cm="1">
        <f t="array" ref="U4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4" s="8" cm="1">
        <f t="array" ref="V4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4" s="8" cm="1">
        <f t="array" ref="W4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4" s="8" cm="1">
        <f t="array" ref="X4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4" s="8" cm="1">
        <f t="array" ref="Y4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4" s="8" cm="1">
        <f t="array" ref="Z4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4" s="8" cm="1">
        <f t="array" ref="AA4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4" s="8" cm="1">
        <f t="array" ref="AB4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4" s="8" cm="1">
        <f t="array" ref="AC4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-0.16750000000000001</v>
      </c>
      <c r="AD4" s="8" cm="1">
        <f t="array" ref="AD4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-0.16750000000000001</v>
      </c>
      <c r="AE4" s="8" cm="1">
        <f t="array" ref="AE4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-0.16750000000000001</v>
      </c>
      <c r="AF4" s="8" cm="1">
        <f t="array" ref="AF4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4" s="8" cm="1">
        <f t="array" ref="AG4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4" s="8" cm="1">
        <f t="array" ref="AH4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4" s="8" cm="1">
        <f t="array" ref="AI4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4" s="8" cm="1">
        <f t="array" ref="AJ4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4" s="8" cm="1">
        <f t="array" ref="AK4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4" s="8" cm="1">
        <f t="array" ref="AL4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4" s="8" cm="1">
        <f t="array" ref="AM4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4" s="8" cm="1">
        <f t="array" ref="AN4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4" s="8" cm="1">
        <f t="array" ref="AO4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4" s="8" cm="1">
        <f t="array" ref="AP4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4" s="8" cm="1">
        <f t="array" ref="AQ4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  <row r="5" spans="1:43">
      <c r="A5">
        <f t="shared" si="0"/>
        <v>79</v>
      </c>
      <c r="B5" s="1" t="str">
        <f>VLOOKUP(DBtendonC[[#This Row],[seg id]],DBsup[],6,0)</f>
        <v>L11</v>
      </c>
      <c r="C5" s="1" t="str">
        <f>VLOOKUP(DBtendonC[[#This Row],[seg id]],DBsup[],7,0)</f>
        <v>M</v>
      </c>
      <c r="D5" t="s">
        <v>52</v>
      </c>
      <c r="E5" s="1" t="str">
        <f>"C"&amp;VLOOKUP(DBtendonC[[#This Row],[seg id]],DBsup[],9,0)&amp;"-"&amp;DBtendonC[[#This Row],[PT type]]</f>
        <v>C20-R</v>
      </c>
      <c r="F5" s="11" t="s">
        <v>85</v>
      </c>
      <c r="G5" s="18" t="s">
        <v>129</v>
      </c>
      <c r="H5" s="8" cm="1">
        <f t="array" ref="H5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5" s="8" cm="1">
        <f t="array" ref="I5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5" s="8" cm="1">
        <f t="array" ref="J5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5" s="8" cm="1">
        <f t="array" ref="K5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5" s="8" cm="1">
        <f t="array" ref="L5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5" s="8" cm="1">
        <f t="array" ref="M5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5" s="8" cm="1">
        <f t="array" ref="N5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5" s="8" cm="1">
        <f t="array" ref="O5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5" s="8" cm="1">
        <f t="array" ref="P5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5" s="8" cm="1">
        <f t="array" ref="Q5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5" s="8" cm="1">
        <f t="array" ref="R5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5" s="8" cm="1">
        <f t="array" ref="S5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5" s="8" cm="1">
        <f t="array" ref="T5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-0.16750000000000001</v>
      </c>
      <c r="U5" s="8" cm="1">
        <f t="array" ref="U5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-0.16750000000000001</v>
      </c>
      <c r="V5" s="8" cm="1">
        <f t="array" ref="V5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-0.16750000000000001</v>
      </c>
      <c r="W5" s="8" cm="1">
        <f t="array" ref="W5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5" s="8" cm="1">
        <f t="array" ref="X5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5" s="8" cm="1">
        <f t="array" ref="Y5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5" s="8" cm="1">
        <f t="array" ref="Z5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5" s="8" cm="1">
        <f t="array" ref="AA5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5" s="8" cm="1">
        <f t="array" ref="AB5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5" s="8" cm="1">
        <f t="array" ref="AC5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5" s="8" cm="1">
        <f t="array" ref="AD5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5" s="8" cm="1">
        <f t="array" ref="AE5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5" s="8" cm="1">
        <f t="array" ref="AF5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5" s="8" cm="1">
        <f t="array" ref="AG5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5" s="8" cm="1">
        <f t="array" ref="AH5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5" s="8" cm="1">
        <f t="array" ref="AI5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5" s="8" cm="1">
        <f t="array" ref="AJ5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5" s="8" cm="1">
        <f t="array" ref="AK5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5" s="8" cm="1">
        <f t="array" ref="AL5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5" s="8" cm="1">
        <f t="array" ref="AM5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5" s="8" cm="1">
        <f t="array" ref="AN5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5" s="8" cm="1">
        <f t="array" ref="AO5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5" s="8" cm="1">
        <f t="array" ref="AP5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5" s="8" cm="1">
        <f t="array" ref="AQ5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6" spans="1:43">
      <c r="A6">
        <f t="shared" si="0"/>
        <v>80</v>
      </c>
      <c r="B6" s="1" t="str">
        <f>VLOOKUP(DBtendonC[[#This Row],[seg id]],DBsup[],6,0)</f>
        <v>M</v>
      </c>
      <c r="C6" s="1" t="str">
        <f>VLOOKUP(DBtendonC[[#This Row],[seg id]],DBsup[],7,0)</f>
        <v>M</v>
      </c>
      <c r="D6" t="s">
        <v>52</v>
      </c>
      <c r="E6" s="1" t="str">
        <f>"C"&amp;VLOOKUP(DBtendonC[[#This Row],[seg id]],DBsup[],9,0)&amp;"-"&amp;DBtendonC[[#This Row],[PT type]]</f>
        <v>C20-R</v>
      </c>
      <c r="F6" s="11" t="s">
        <v>85</v>
      </c>
      <c r="G6" s="18" t="s">
        <v>129</v>
      </c>
      <c r="H6" s="8" cm="1">
        <f t="array" ref="H6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6" s="8" cm="1">
        <f t="array" ref="I6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6" s="8" cm="1">
        <f t="array" ref="J6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6" s="8" cm="1">
        <f t="array" ref="K6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6" s="8" cm="1">
        <f t="array" ref="L6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6" s="8" cm="1">
        <f t="array" ref="M6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6" s="8" cm="1">
        <f t="array" ref="N6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6" s="8" cm="1">
        <f t="array" ref="O6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6" s="8" cm="1">
        <f t="array" ref="P6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6" s="8" cm="1">
        <f t="array" ref="Q6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6" s="8" cm="1">
        <f t="array" ref="R6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6" s="8" cm="1">
        <f t="array" ref="S6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6" s="8" cm="1">
        <f t="array" ref="T6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6" s="8" cm="1">
        <f t="array" ref="U6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6" s="8" cm="1">
        <f t="array" ref="V6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6" s="8" cm="1">
        <f t="array" ref="W6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6" s="8" cm="1">
        <f t="array" ref="X6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6" s="8" cm="1">
        <f t="array" ref="Y6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6" s="8" cm="1">
        <f t="array" ref="Z6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6" s="8" cm="1">
        <f t="array" ref="AA6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6" s="8" cm="1">
        <f t="array" ref="AB6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6" s="8" cm="1">
        <f t="array" ref="AC6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-0.105</v>
      </c>
      <c r="AD6" s="8" cm="1">
        <f t="array" ref="AD6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-0.105</v>
      </c>
      <c r="AE6" s="8" cm="1">
        <f t="array" ref="AE6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-0.105</v>
      </c>
      <c r="AF6" s="8" cm="1">
        <f t="array" ref="AF6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6" s="8" cm="1">
        <f t="array" ref="AG6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6" s="8" cm="1">
        <f t="array" ref="AH6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6" s="8" cm="1">
        <f t="array" ref="AI6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6" s="8" cm="1">
        <f t="array" ref="AJ6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6" s="8" cm="1">
        <f t="array" ref="AK6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6" s="8" cm="1">
        <f t="array" ref="AL6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6" s="8" cm="1">
        <f t="array" ref="AM6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6" s="8" cm="1">
        <f t="array" ref="AN6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6" s="8" cm="1">
        <f t="array" ref="AO6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6" s="8" cm="1">
        <f t="array" ref="AP6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6" s="8" cm="1">
        <f t="array" ref="AQ6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7" spans="1:43">
      <c r="A7">
        <f t="shared" si="0"/>
        <v>81</v>
      </c>
      <c r="B7" s="1" t="str">
        <f>VLOOKUP(DBtendonC[[#This Row],[seg id]],DBsup[],6,0)</f>
        <v>M</v>
      </c>
      <c r="C7" s="1" t="str">
        <f>VLOOKUP(DBtendonC[[#This Row],[seg id]],DBsup[],7,0)</f>
        <v>L12</v>
      </c>
      <c r="D7" t="s">
        <v>52</v>
      </c>
      <c r="E7" s="1" t="str">
        <f>"C"&amp;VLOOKUP(DBtendonC[[#This Row],[seg id]],DBsup[],9,0)&amp;"-"&amp;DBtendonC[[#This Row],[PT type]]</f>
        <v>C20-R</v>
      </c>
      <c r="F7" s="11" t="s">
        <v>85</v>
      </c>
      <c r="G7" s="18" t="s">
        <v>129</v>
      </c>
      <c r="H7" s="8" cm="1">
        <f t="array" ref="H7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7" s="8" cm="1">
        <f t="array" ref="I7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7" s="8" cm="1">
        <f t="array" ref="J7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7" s="8" cm="1">
        <f t="array" ref="K7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7" s="8" cm="1">
        <f t="array" ref="L7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7" s="8" cm="1">
        <f t="array" ref="M7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7" s="8" cm="1">
        <f t="array" ref="N7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7" s="8" cm="1">
        <f t="array" ref="O7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7" s="8" cm="1">
        <f t="array" ref="P7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7" s="8" cm="1">
        <f t="array" ref="Q7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7" s="8" cm="1">
        <f t="array" ref="R7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7" s="8" cm="1">
        <f t="array" ref="S7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7" s="8" cm="1">
        <f t="array" ref="T7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-0.105</v>
      </c>
      <c r="U7" s="8" cm="1">
        <f t="array" ref="U7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-0.105</v>
      </c>
      <c r="V7" s="8" cm="1">
        <f t="array" ref="V7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-0.105</v>
      </c>
      <c r="W7" s="8" cm="1">
        <f t="array" ref="W7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-0.105</v>
      </c>
      <c r="X7" s="8" cm="1">
        <f t="array" ref="X7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-0.105</v>
      </c>
      <c r="Y7" s="8" cm="1">
        <f t="array" ref="Y7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-0.105</v>
      </c>
      <c r="Z7" s="8" cm="1">
        <f t="array" ref="Z7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-0.105</v>
      </c>
      <c r="AA7" s="8" cm="1">
        <f t="array" ref="AA7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-0.105</v>
      </c>
      <c r="AB7" s="8" cm="1">
        <f t="array" ref="AB7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-0.105</v>
      </c>
      <c r="AC7" s="8" cm="1">
        <f t="array" ref="AC7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-0.16750000000000001</v>
      </c>
      <c r="AD7" s="8" cm="1">
        <f t="array" ref="AD7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-0.16750000000000001</v>
      </c>
      <c r="AE7" s="8" cm="1">
        <f t="array" ref="AE7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-0.16750000000000001</v>
      </c>
      <c r="AF7" s="8" cm="1">
        <f t="array" ref="AF7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7" s="8" cm="1">
        <f t="array" ref="AG7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7" s="8" cm="1">
        <f t="array" ref="AH7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7" s="8" cm="1">
        <f t="array" ref="AI7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7" s="8" cm="1">
        <f t="array" ref="AJ7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7" s="8" cm="1">
        <f t="array" ref="AK7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7" s="8" cm="1">
        <f t="array" ref="AL7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7" s="8" cm="1">
        <f t="array" ref="AM7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7" s="8" cm="1">
        <f t="array" ref="AN7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7" s="8" cm="1">
        <f t="array" ref="AO7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7" s="8" cm="1">
        <f t="array" ref="AP7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7" s="8" cm="1">
        <f t="array" ref="AQ7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  <row r="8" spans="1:43">
      <c r="A8">
        <f t="shared" ref="A8:A13" si="1">A2</f>
        <v>76</v>
      </c>
      <c r="B8" s="1" t="str">
        <f>VLOOKUP(DBtendonC[[#This Row],[seg id]],DBsup[],6,0)</f>
        <v>L21</v>
      </c>
      <c r="C8" s="1" t="str">
        <f>VLOOKUP(DBtendonC[[#This Row],[seg id]],DBsup[],7,0)</f>
        <v>M</v>
      </c>
      <c r="D8" t="s">
        <v>40</v>
      </c>
      <c r="E8" s="1" t="str">
        <f>"C"&amp;VLOOKUP(DBtendonC[[#This Row],[seg id]],DBsup[],9,0)&amp;"-"&amp;DBtendonC[[#This Row],[PT type]]</f>
        <v>C19-L</v>
      </c>
      <c r="F8" s="11" t="s">
        <v>85</v>
      </c>
      <c r="G8" s="18" t="s">
        <v>129</v>
      </c>
      <c r="H8" s="8" cm="1">
        <f t="array" ref="H8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8" s="8" cm="1">
        <f t="array" ref="I8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8" s="8" cm="1">
        <f t="array" ref="J8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8" s="8" cm="1">
        <f t="array" ref="K8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8" s="8" cm="1">
        <f t="array" ref="L8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8" s="8" cm="1">
        <f t="array" ref="M8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8" s="8" cm="1">
        <f t="array" ref="N8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8" s="8" cm="1">
        <f t="array" ref="O8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8" s="8" cm="1">
        <f t="array" ref="P8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8" s="8" cm="1">
        <f t="array" ref="Q8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8" s="8" cm="1">
        <f t="array" ref="R8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8" s="8" cm="1">
        <f t="array" ref="S8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8" s="8" cm="1">
        <f t="array" ref="T8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0.16750000000000001</v>
      </c>
      <c r="U8" s="8" cm="1">
        <f t="array" ref="U8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0.16750000000000001</v>
      </c>
      <c r="V8" s="8" cm="1">
        <f t="array" ref="V8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0.16750000000000001</v>
      </c>
      <c r="W8" s="8" cm="1">
        <f t="array" ref="W8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8" s="8" cm="1">
        <f t="array" ref="X8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8" s="8" cm="1">
        <f t="array" ref="Y8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8" s="8" cm="1">
        <f t="array" ref="Z8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8" s="8" cm="1">
        <f t="array" ref="AA8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8" s="8" cm="1">
        <f t="array" ref="AB8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8" s="8" cm="1">
        <f t="array" ref="AC8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8" s="8" cm="1">
        <f t="array" ref="AD8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8" s="8" cm="1">
        <f t="array" ref="AE8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8" s="8" cm="1">
        <f t="array" ref="AF8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8" s="8" cm="1">
        <f t="array" ref="AG8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8" s="8" cm="1">
        <f t="array" ref="AH8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8" s="8" cm="1">
        <f t="array" ref="AI8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8" s="8" cm="1">
        <f t="array" ref="AJ8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8" s="8" cm="1">
        <f t="array" ref="AK8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8" s="8" cm="1">
        <f t="array" ref="AL8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8" s="8" cm="1">
        <f t="array" ref="AM8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8" s="8" cm="1">
        <f t="array" ref="AN8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8" s="8" cm="1">
        <f t="array" ref="AO8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8" s="8" cm="1">
        <f t="array" ref="AP8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8" s="8" cm="1">
        <f t="array" ref="AQ8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9" spans="1:43">
      <c r="A9">
        <f t="shared" si="1"/>
        <v>77</v>
      </c>
      <c r="B9" s="1" t="str">
        <f>VLOOKUP(DBtendonC[[#This Row],[seg id]],DBsup[],6,0)</f>
        <v>M</v>
      </c>
      <c r="C9" s="1" t="str">
        <f>VLOOKUP(DBtendonC[[#This Row],[seg id]],DBsup[],7,0)</f>
        <v>M</v>
      </c>
      <c r="D9" t="s">
        <v>40</v>
      </c>
      <c r="E9" s="1" t="str">
        <f>"C"&amp;VLOOKUP(DBtendonC[[#This Row],[seg id]],DBsup[],9,0)&amp;"-"&amp;DBtendonC[[#This Row],[PT type]]</f>
        <v>C19-L</v>
      </c>
      <c r="F9" s="11" t="s">
        <v>85</v>
      </c>
      <c r="G9" s="18" t="s">
        <v>129</v>
      </c>
      <c r="H9" s="8" cm="1">
        <f t="array" ref="H9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9" s="8" cm="1">
        <f t="array" ref="I9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9" s="8" cm="1">
        <f t="array" ref="J9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9" s="8" cm="1">
        <f t="array" ref="K9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9" s="8" cm="1">
        <f t="array" ref="L9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9" s="8" cm="1">
        <f t="array" ref="M9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9" s="8" cm="1">
        <f t="array" ref="N9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9" s="8" cm="1">
        <f t="array" ref="O9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9" s="8" cm="1">
        <f t="array" ref="P9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9" s="8" cm="1">
        <f t="array" ref="Q9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9" s="8" cm="1">
        <f t="array" ref="R9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9" s="8" cm="1">
        <f t="array" ref="S9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9" s="8" cm="1">
        <f t="array" ref="T9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9" s="8" cm="1">
        <f t="array" ref="U9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9" s="8" cm="1">
        <f t="array" ref="V9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9" s="8" cm="1">
        <f t="array" ref="W9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9" s="8" cm="1">
        <f t="array" ref="X9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9" s="8" cm="1">
        <f t="array" ref="Y9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9" s="8" cm="1">
        <f t="array" ref="Z9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9" s="8" cm="1">
        <f t="array" ref="AA9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9" s="8" cm="1">
        <f t="array" ref="AB9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9" s="8" cm="1">
        <f t="array" ref="AC9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9" s="8" cm="1">
        <f t="array" ref="AD9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9" s="8" cm="1">
        <f t="array" ref="AE9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9" s="8" cm="1">
        <f t="array" ref="AF9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9" s="8" cm="1">
        <f t="array" ref="AG9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9" s="8" cm="1">
        <f t="array" ref="AH9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9" s="8" cm="1">
        <f t="array" ref="AI9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9" s="8" cm="1">
        <f t="array" ref="AJ9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9" s="8" cm="1">
        <f t="array" ref="AK9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9" s="8" cm="1">
        <f t="array" ref="AL9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9" s="8" cm="1">
        <f t="array" ref="AM9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9" s="8" cm="1">
        <f t="array" ref="AN9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9" s="8" cm="1">
        <f t="array" ref="AO9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9" s="8" cm="1">
        <f t="array" ref="AP9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9" s="8" cm="1">
        <f t="array" ref="AQ9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10" spans="1:43">
      <c r="A10">
        <f t="shared" si="1"/>
        <v>78</v>
      </c>
      <c r="B10" s="1" t="str">
        <f>VLOOKUP(DBtendonC[[#This Row],[seg id]],DBsup[],6,0)</f>
        <v>M</v>
      </c>
      <c r="C10" s="1" t="str">
        <f>VLOOKUP(DBtendonC[[#This Row],[seg id]],DBsup[],7,0)</f>
        <v>L11</v>
      </c>
      <c r="D10" t="s">
        <v>40</v>
      </c>
      <c r="E10" s="1" t="str">
        <f>"C"&amp;VLOOKUP(DBtendonC[[#This Row],[seg id]],DBsup[],9,0)&amp;"-"&amp;DBtendonC[[#This Row],[PT type]]</f>
        <v>C19-L</v>
      </c>
      <c r="F10" s="11" t="s">
        <v>85</v>
      </c>
      <c r="G10" s="18" t="s">
        <v>129</v>
      </c>
      <c r="H10" s="8" cm="1">
        <f t="array" ref="H10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10" s="8" cm="1">
        <f t="array" ref="I10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10" s="8" cm="1">
        <f t="array" ref="J10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10" s="8" cm="1">
        <f t="array" ref="K10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10" s="8" cm="1">
        <f t="array" ref="L10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0" s="8" cm="1">
        <f t="array" ref="M10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0" s="8" cm="1">
        <f t="array" ref="N10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0" s="8" cm="1">
        <f t="array" ref="O10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0" s="8" cm="1">
        <f t="array" ref="P10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10" s="8" cm="1">
        <f t="array" ref="Q10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10" s="8" cm="1">
        <f t="array" ref="R10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10" s="8" cm="1">
        <f t="array" ref="S10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10" s="8" cm="1">
        <f t="array" ref="T10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10" s="8" cm="1">
        <f t="array" ref="U10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10" s="8" cm="1">
        <f t="array" ref="V10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10" s="8" cm="1">
        <f t="array" ref="W10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0" s="8" cm="1">
        <f t="array" ref="X10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0" s="8" cm="1">
        <f t="array" ref="Y10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0" s="8" cm="1">
        <f t="array" ref="Z10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0" s="8" cm="1">
        <f t="array" ref="AA10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0" s="8" cm="1">
        <f t="array" ref="AB10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0" s="8" cm="1">
        <f t="array" ref="AC10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0.16750000000000001</v>
      </c>
      <c r="AD10" s="8" cm="1">
        <f t="array" ref="AD10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0.16750000000000001</v>
      </c>
      <c r="AE10" s="8" cm="1">
        <f t="array" ref="AE10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0.16750000000000001</v>
      </c>
      <c r="AF10" s="8" cm="1">
        <f t="array" ref="AF10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10" s="8" cm="1">
        <f t="array" ref="AG10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10" s="8" cm="1">
        <f t="array" ref="AH10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10" s="8" cm="1">
        <f t="array" ref="AI10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0" s="8" cm="1">
        <f t="array" ref="AJ10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0" s="8" cm="1">
        <f t="array" ref="AK10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0" s="8" cm="1">
        <f t="array" ref="AL10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0" s="8" cm="1">
        <f t="array" ref="AM10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0" s="8" cm="1">
        <f t="array" ref="AN10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0" s="8" cm="1">
        <f t="array" ref="AO10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10" s="8" cm="1">
        <f t="array" ref="AP10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10" s="8" cm="1">
        <f t="array" ref="AQ10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  <row r="11" spans="1:43">
      <c r="A11">
        <f t="shared" si="1"/>
        <v>79</v>
      </c>
      <c r="B11" s="1" t="str">
        <f>VLOOKUP(DBtendonC[[#This Row],[seg id]],DBsup[],6,0)</f>
        <v>L11</v>
      </c>
      <c r="C11" s="1" t="str">
        <f>VLOOKUP(DBtendonC[[#This Row],[seg id]],DBsup[],7,0)</f>
        <v>M</v>
      </c>
      <c r="D11" t="s">
        <v>40</v>
      </c>
      <c r="E11" s="1" t="str">
        <f>"C"&amp;VLOOKUP(DBtendonC[[#This Row],[seg id]],DBsup[],9,0)&amp;"-"&amp;DBtendonC[[#This Row],[PT type]]</f>
        <v>C20-L</v>
      </c>
      <c r="F11" s="11" t="s">
        <v>85</v>
      </c>
      <c r="G11" s="18" t="s">
        <v>129</v>
      </c>
      <c r="H11" s="8" cm="1">
        <f t="array" ref="H11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0.35399999999999998</v>
      </c>
      <c r="I11" s="8" cm="1">
        <f t="array" ref="I11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1.645</v>
      </c>
      <c r="J11" s="8" cm="1">
        <f t="array" ref="J11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3.0710000000000002</v>
      </c>
      <c r="K11" s="8" cm="1">
        <f t="array" ref="K11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3.2959999999999998</v>
      </c>
      <c r="L11" s="8" cm="1">
        <f t="array" ref="L11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1" s="8" cm="1">
        <f t="array" ref="M11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1" s="8" cm="1">
        <f t="array" ref="N11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1" s="8" cm="1">
        <f t="array" ref="O11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1" s="8" cm="1">
        <f t="array" ref="P11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11" s="8" cm="1">
        <f t="array" ref="Q11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11" s="8" cm="1">
        <f t="array" ref="R11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11" s="8" cm="1">
        <f t="array" ref="S11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11" s="8" cm="1">
        <f t="array" ref="T11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0.16750000000000001</v>
      </c>
      <c r="U11" s="8" cm="1">
        <f t="array" ref="U11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0.16750000000000001</v>
      </c>
      <c r="V11" s="8" cm="1">
        <f t="array" ref="V11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0.16750000000000001</v>
      </c>
      <c r="W11" s="8" cm="1">
        <f t="array" ref="W11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1" s="8" cm="1">
        <f t="array" ref="X11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1" s="8" cm="1">
        <f t="array" ref="Y11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1" s="8" cm="1">
        <f t="array" ref="Z11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1" s="8" cm="1">
        <f t="array" ref="AA11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1" s="8" cm="1">
        <f t="array" ref="AB11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1" s="8" cm="1">
        <f t="array" ref="AC11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11" s="8" cm="1">
        <f t="array" ref="AD11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11" s="8" cm="1">
        <f t="array" ref="AE11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11" s="8" cm="1">
        <f t="array" ref="AF11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-0.28999999999999998</v>
      </c>
      <c r="AG11" s="8" cm="1">
        <f t="array" ref="AG11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-0.73099999999999998</v>
      </c>
      <c r="AH11" s="8" cm="1">
        <f t="array" ref="AH11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-0.66500000000000004</v>
      </c>
      <c r="AI11" s="8" cm="1">
        <f t="array" ref="AI11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1" s="8" cm="1">
        <f t="array" ref="AJ11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1" s="8" cm="1">
        <f t="array" ref="AK11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1" s="8" cm="1">
        <f t="array" ref="AL11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1" s="8" cm="1">
        <f t="array" ref="AM11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1" s="8" cm="1">
        <f t="array" ref="AN11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1" s="8" cm="1">
        <f t="array" ref="AO11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11" s="8" cm="1">
        <f t="array" ref="AP11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11" s="8" cm="1">
        <f t="array" ref="AQ11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12" spans="1:43">
      <c r="A12">
        <f t="shared" si="1"/>
        <v>80</v>
      </c>
      <c r="B12" s="1" t="str">
        <f>VLOOKUP(DBtendonC[[#This Row],[seg id]],DBsup[],6,0)</f>
        <v>M</v>
      </c>
      <c r="C12" s="1" t="str">
        <f>VLOOKUP(DBtendonC[[#This Row],[seg id]],DBsup[],7,0)</f>
        <v>M</v>
      </c>
      <c r="D12" t="s">
        <v>40</v>
      </c>
      <c r="E12" s="1" t="str">
        <f>"C"&amp;VLOOKUP(DBtendonC[[#This Row],[seg id]],DBsup[],9,0)&amp;"-"&amp;DBtendonC[[#This Row],[PT type]]</f>
        <v>C20-L</v>
      </c>
      <c r="F12" s="11" t="s">
        <v>85</v>
      </c>
      <c r="G12" s="18" t="s">
        <v>129</v>
      </c>
      <c r="H12" s="8" cm="1">
        <f t="array" ref="H12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12" s="8" cm="1">
        <f t="array" ref="I12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12" s="8" cm="1">
        <f t="array" ref="J12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12" s="8" cm="1">
        <f t="array" ref="K12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12" s="8" cm="1">
        <f t="array" ref="L12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2" s="8" cm="1">
        <f t="array" ref="M12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2" s="8" cm="1">
        <f t="array" ref="N12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2" s="8" cm="1">
        <f t="array" ref="O12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2" s="8" cm="1">
        <f t="array" ref="P12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1</v>
      </c>
      <c r="Q12" s="8" cm="1">
        <f t="array" ref="Q12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1</v>
      </c>
      <c r="R12" s="8" cm="1">
        <f t="array" ref="R12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</v>
      </c>
      <c r="S12" s="8" cm="1">
        <f t="array" ref="S12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</v>
      </c>
      <c r="T12" s="8" cm="1">
        <f t="array" ref="T12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12" s="8" cm="1">
        <f t="array" ref="U12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12" s="8" cm="1">
        <f t="array" ref="V12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12" s="8" cm="1">
        <f t="array" ref="W12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2" s="8" cm="1">
        <f t="array" ref="X12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2" s="8" cm="1">
        <f t="array" ref="Y12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2" s="8" cm="1">
        <f t="array" ref="Z12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2" s="8" cm="1">
        <f t="array" ref="AA12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2" s="8" cm="1">
        <f t="array" ref="AB12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2" s="8" cm="1">
        <f t="array" ref="AC12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0.105</v>
      </c>
      <c r="AD12" s="8" cm="1">
        <f t="array" ref="AD12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0.105</v>
      </c>
      <c r="AE12" s="8" cm="1">
        <f t="array" ref="AE12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0.105</v>
      </c>
      <c r="AF12" s="8" cm="1">
        <f t="array" ref="AF12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12" s="8" cm="1">
        <f t="array" ref="AG12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12" s="8" cm="1">
        <f t="array" ref="AH12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12" s="8" cm="1">
        <f t="array" ref="AI12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2" s="8" cm="1">
        <f t="array" ref="AJ12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2" s="8" cm="1">
        <f t="array" ref="AK12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2" s="8" cm="1">
        <f t="array" ref="AL12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2" s="8" cm="1">
        <f t="array" ref="AM12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2" s="8" cm="1">
        <f t="array" ref="AN12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2" s="8" cm="1">
        <f t="array" ref="AO12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-0.16</v>
      </c>
      <c r="AP12" s="8" cm="1">
        <f t="array" ref="AP12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-0.16</v>
      </c>
      <c r="AQ12" s="8" cm="1">
        <f t="array" ref="AQ12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-0.16</v>
      </c>
    </row>
    <row r="13" spans="1:43">
      <c r="A13">
        <f t="shared" si="1"/>
        <v>81</v>
      </c>
      <c r="B13" s="1" t="str">
        <f>VLOOKUP(DBtendonC[[#This Row],[seg id]],DBsup[],6,0)</f>
        <v>M</v>
      </c>
      <c r="C13" s="1" t="str">
        <f>VLOOKUP(DBtendonC[[#This Row],[seg id]],DBsup[],7,0)</f>
        <v>L12</v>
      </c>
      <c r="D13" t="s">
        <v>40</v>
      </c>
      <c r="E13" s="1" t="str">
        <f>"C"&amp;VLOOKUP(DBtendonC[[#This Row],[seg id]],DBsup[],9,0)&amp;"-"&amp;DBtendonC[[#This Row],[PT type]]</f>
        <v>C20-L</v>
      </c>
      <c r="F13" s="11" t="s">
        <v>85</v>
      </c>
      <c r="G13" s="18" t="s">
        <v>129</v>
      </c>
      <c r="H13" s="8" cm="1">
        <f t="array" ref="H13">INDEX(PTprofC[],MATCH(1,(LEFT(DBtendonC[[#This Row],[pier type start]],1)=PTprofC[Ptyp_s])*(LEFT(DBtendonC[[#This Row],[pier type end]],1)=PTprofC[Ptyp_e])*(DBtendonC[[#This Row],[PT type]]=PTprofC[PT type]),0),MATCH(DBtendonC[[#Headers],[dLez1]],PTprofC[#Headers],0))</f>
        <v>0</v>
      </c>
      <c r="I13" s="8" cm="1">
        <f t="array" ref="I13">INDEX(PTprofC[],MATCH(1,(LEFT(DBtendonC[[#This Row],[pier type start]],1)=PTprofC[Ptyp_s])*(LEFT(DBtendonC[[#This Row],[pier type end]],1)=PTprofC[Ptyp_e])*(DBtendonC[[#This Row],[PT type]]=PTprofC[PT type]),0),MATCH(DBtendonC[[#Headers],[dLez2]],PTprofC[#Headers],0))</f>
        <v>1</v>
      </c>
      <c r="J13" s="8" cm="1">
        <f t="array" ref="J13">INDEX(PTprofC[],MATCH(1,(LEFT(DBtendonC[[#This Row],[pier type start]],1)=PTprofC[Ptyp_s])*(LEFT(DBtendonC[[#This Row],[pier type end]],1)=PTprofC[Ptyp_e])*(DBtendonC[[#This Row],[PT type]]=PTprofC[PT type]),0),MATCH(DBtendonC[[#Headers],[dLez3]],PTprofC[#Headers],0))</f>
        <v>1</v>
      </c>
      <c r="K13" s="8" cm="1">
        <f t="array" ref="K13">INDEX(PTprofC[],MATCH(1,(LEFT(DBtendonC[[#This Row],[pier type start]],1)=PTprofC[Ptyp_s])*(LEFT(DBtendonC[[#This Row],[pier type end]],1)=PTprofC[Ptyp_e])*(DBtendonC[[#This Row],[PT type]]=PTprofC[PT type]),0),MATCH(DBtendonC[[#Headers],[dLez4]],PTprofC[#Headers],0))</f>
        <v>1</v>
      </c>
      <c r="L13" s="8" cm="1">
        <f t="array" ref="L13">INDEX(PTprofC[],MATCH(1,(LEFT(DBtendonC[[#This Row],[pier type start]],1)=PTprofC[Ptyp_s])*(LEFT(DBtendonC[[#This Row],[pier type end]],1)=PTprofC[Ptyp_e])*(DBtendonC[[#This Row],[PT type]]=PTprofC[PT type]),0),MATCH(DBtendonC[[#Headers],[dLez5]],PTprofC[#Headers],0))</f>
        <v>1</v>
      </c>
      <c r="M13" s="8" cm="1">
        <f t="array" ref="M13">INDEX(PTprofC[],MATCH(1,(LEFT(DBtendonC[[#This Row],[pier type start]],1)=PTprofC[Ptyp_s])*(LEFT(DBtendonC[[#This Row],[pier type end]],1)=PTprofC[Ptyp_e])*(DBtendonC[[#This Row],[PT type]]=PTprofC[PT type]),0),MATCH(DBtendonC[[#Headers],[dLez6]],PTprofC[#Headers],0))</f>
        <v>1</v>
      </c>
      <c r="N13" s="8" cm="1">
        <f t="array" ref="N13">INDEX(PTprofC[],MATCH(1,(LEFT(DBtendonC[[#This Row],[pier type start]],1)=PTprofC[Ptyp_s])*(LEFT(DBtendonC[[#This Row],[pier type end]],1)=PTprofC[Ptyp_e])*(DBtendonC[[#This Row],[PT type]]=PTprofC[PT type]),0),MATCH(DBtendonC[[#Headers],[dLez7]],PTprofC[#Headers],0))</f>
        <v>1</v>
      </c>
      <c r="O13" s="8" cm="1">
        <f t="array" ref="O13">INDEX(PTprofC[],MATCH(1,(LEFT(DBtendonC[[#This Row],[pier type start]],1)=PTprofC[Ptyp_s])*(LEFT(DBtendonC[[#This Row],[pier type end]],1)=PTprofC[Ptyp_e])*(DBtendonC[[#This Row],[PT type]]=PTprofC[PT type]),0),MATCH(DBtendonC[[#Headers],[dLez8]],PTprofC[#Headers],0))</f>
        <v>1</v>
      </c>
      <c r="P13" s="8" cm="1">
        <f t="array" ref="P13">INDEX(PTprofC[],MATCH(1,(LEFT(DBtendonC[[#This Row],[pier type start]],1)=PTprofC[Ptyp_s])*(LEFT(DBtendonC[[#This Row],[pier type end]],1)=PTprofC[Ptyp_e])*(DBtendonC[[#This Row],[PT type]]=PTprofC[PT type]),0),MATCH(DBtendonC[[#Headers],[dLez9]],PTprofC[#Headers],0))</f>
        <v>3.2959999999999998</v>
      </c>
      <c r="Q13" s="8" cm="1">
        <f t="array" ref="Q13">INDEX(PTprofC[],MATCH(1,(LEFT(DBtendonC[[#This Row],[pier type start]],1)=PTprofC[Ptyp_s])*(LEFT(DBtendonC[[#This Row],[pier type end]],1)=PTprofC[Ptyp_e])*(DBtendonC[[#This Row],[PT type]]=PTprofC[PT type]),0),MATCH(DBtendonC[[#Headers],[dLez10]],PTprofC[#Headers],0))</f>
        <v>3.0710000000000002</v>
      </c>
      <c r="R13" s="8" cm="1">
        <f t="array" ref="R13">INDEX(PTprofC[],MATCH(1,(LEFT(DBtendonC[[#This Row],[pier type start]],1)=PTprofC[Ptyp_s])*(LEFT(DBtendonC[[#This Row],[pier type end]],1)=PTprofC[Ptyp_e])*(DBtendonC[[#This Row],[PT type]]=PTprofC[PT type]),0),MATCH(DBtendonC[[#Headers],[dLez11]],PTprofC[#Headers],0))</f>
        <v>1.645</v>
      </c>
      <c r="S13" s="8" cm="1">
        <f t="array" ref="S13">INDEX(PTprofC[],MATCH(1,(LEFT(DBtendonC[[#This Row],[pier type start]],1)=PTprofC[Ptyp_s])*(LEFT(DBtendonC[[#This Row],[pier type end]],1)=PTprofC[Ptyp_e])*(DBtendonC[[#This Row],[PT type]]=PTprofC[PT type]),0),MATCH(DBtendonC[[#Headers],[dLez12]],PTprofC[#Headers],0))</f>
        <v>0.35399999999999998</v>
      </c>
      <c r="T13" s="8" cm="1">
        <f t="array" ref="T13">INDEX(PTprofC[],MATCH(1,(LEFT(DBtendonC[[#This Row],[pier type start]],1)=PTprofC[Ptyp_s])*(LEFT(DBtendonC[[#This Row],[pier type end]],1)=PTprofC[Ptyp_e])*(DBtendonC[[#This Row],[PT type]]=PTprofC[PT type]),0),MATCH(DBtendonC[[#Headers],[ey1]],PTprofC[#Headers],0))</f>
        <v>0.105</v>
      </c>
      <c r="U13" s="8" cm="1">
        <f t="array" ref="U13">INDEX(PTprofC[],MATCH(1,(LEFT(DBtendonC[[#This Row],[pier type start]],1)=PTprofC[Ptyp_s])*(LEFT(DBtendonC[[#This Row],[pier type end]],1)=PTprofC[Ptyp_e])*(DBtendonC[[#This Row],[PT type]]=PTprofC[PT type]),0),MATCH(DBtendonC[[#Headers],[ey2]],PTprofC[#Headers],0))</f>
        <v>0.105</v>
      </c>
      <c r="V13" s="8" cm="1">
        <f t="array" ref="V13">INDEX(PTprofC[],MATCH(1,(LEFT(DBtendonC[[#This Row],[pier type start]],1)=PTprofC[Ptyp_s])*(LEFT(DBtendonC[[#This Row],[pier type end]],1)=PTprofC[Ptyp_e])*(DBtendonC[[#This Row],[PT type]]=PTprofC[PT type]),0),MATCH(DBtendonC[[#Headers],[ey3]],PTprofC[#Headers],0))</f>
        <v>0.105</v>
      </c>
      <c r="W13" s="8" cm="1">
        <f t="array" ref="W13">INDEX(PTprofC[],MATCH(1,(LEFT(DBtendonC[[#This Row],[pier type start]],1)=PTprofC[Ptyp_s])*(LEFT(DBtendonC[[#This Row],[pier type end]],1)=PTprofC[Ptyp_e])*(DBtendonC[[#This Row],[PT type]]=PTprofC[PT type]),0),MATCH(DBtendonC[[#Headers],[ey4]],PTprofC[#Headers],0))</f>
        <v>0.105</v>
      </c>
      <c r="X13" s="8" cm="1">
        <f t="array" ref="X13">INDEX(PTprofC[],MATCH(1,(LEFT(DBtendonC[[#This Row],[pier type start]],1)=PTprofC[Ptyp_s])*(LEFT(DBtendonC[[#This Row],[pier type end]],1)=PTprofC[Ptyp_e])*(DBtendonC[[#This Row],[PT type]]=PTprofC[PT type]),0),MATCH(DBtendonC[[#Headers],[ey5]],PTprofC[#Headers],0))</f>
        <v>0.105</v>
      </c>
      <c r="Y13" s="8" cm="1">
        <f t="array" ref="Y13">INDEX(PTprofC[],MATCH(1,(LEFT(DBtendonC[[#This Row],[pier type start]],1)=PTprofC[Ptyp_s])*(LEFT(DBtendonC[[#This Row],[pier type end]],1)=PTprofC[Ptyp_e])*(DBtendonC[[#This Row],[PT type]]=PTprofC[PT type]),0),MATCH(DBtendonC[[#Headers],[ey6]],PTprofC[#Headers],0))</f>
        <v>0.105</v>
      </c>
      <c r="Z13" s="8" cm="1">
        <f t="array" ref="Z13">INDEX(PTprofC[],MATCH(1,(LEFT(DBtendonC[[#This Row],[pier type start]],1)=PTprofC[Ptyp_s])*(LEFT(DBtendonC[[#This Row],[pier type end]],1)=PTprofC[Ptyp_e])*(DBtendonC[[#This Row],[PT type]]=PTprofC[PT type]),0),MATCH(DBtendonC[[#Headers],[ey7]],PTprofC[#Headers],0))</f>
        <v>0.105</v>
      </c>
      <c r="AA13" s="8" cm="1">
        <f t="array" ref="AA13">INDEX(PTprofC[],MATCH(1,(LEFT(DBtendonC[[#This Row],[pier type start]],1)=PTprofC[Ptyp_s])*(LEFT(DBtendonC[[#This Row],[pier type end]],1)=PTprofC[Ptyp_e])*(DBtendonC[[#This Row],[PT type]]=PTprofC[PT type]),0),MATCH(DBtendonC[[#Headers],[ey8]],PTprofC[#Headers],0))</f>
        <v>0.105</v>
      </c>
      <c r="AB13" s="8" cm="1">
        <f t="array" ref="AB13">INDEX(PTprofC[],MATCH(1,(LEFT(DBtendonC[[#This Row],[pier type start]],1)=PTprofC[Ptyp_s])*(LEFT(DBtendonC[[#This Row],[pier type end]],1)=PTprofC[Ptyp_e])*(DBtendonC[[#This Row],[PT type]]=PTprofC[PT type]),0),MATCH(DBtendonC[[#Headers],[ey9]],PTprofC[#Headers],0))</f>
        <v>0.105</v>
      </c>
      <c r="AC13" s="8" cm="1">
        <f t="array" ref="AC13">INDEX(PTprofC[],MATCH(1,(LEFT(DBtendonC[[#This Row],[pier type start]],1)=PTprofC[Ptyp_s])*(LEFT(DBtendonC[[#This Row],[pier type end]],1)=PTprofC[Ptyp_e])*(DBtendonC[[#This Row],[PT type]]=PTprofC[PT type]),0),MATCH(DBtendonC[[#Headers],[ey10]],PTprofC[#Headers],0))</f>
        <v>0.16750000000000001</v>
      </c>
      <c r="AD13" s="8" cm="1">
        <f t="array" ref="AD13">INDEX(PTprofC[],MATCH(1,(LEFT(DBtendonC[[#This Row],[pier type start]],1)=PTprofC[Ptyp_s])*(LEFT(DBtendonC[[#This Row],[pier type end]],1)=PTprofC[Ptyp_e])*(DBtendonC[[#This Row],[PT type]]=PTprofC[PT type]),0),MATCH(DBtendonC[[#Headers],[ey11]],PTprofC[#Headers],0))</f>
        <v>0.16750000000000001</v>
      </c>
      <c r="AE13" s="8" cm="1">
        <f t="array" ref="AE13">INDEX(PTprofC[],MATCH(1,(LEFT(DBtendonC[[#This Row],[pier type start]],1)=PTprofC[Ptyp_s])*(LEFT(DBtendonC[[#This Row],[pier type end]],1)=PTprofC[Ptyp_e])*(DBtendonC[[#This Row],[PT type]]=PTprofC[PT type]),0),MATCH(DBtendonC[[#Headers],[ey12]],PTprofC[#Headers],0))</f>
        <v>0.16750000000000001</v>
      </c>
      <c r="AF13" s="8" cm="1">
        <f t="array" ref="AF13">INDEX(PTprofC[],MATCH(1,(LEFT(DBtendonC[[#This Row],[pier type start]],1)=PTprofC[Ptyp_s])*(LEFT(DBtendonC[[#This Row],[pier type end]],1)=PTprofC[Ptyp_e])*(DBtendonC[[#This Row],[PT type]]=PTprofC[PT type]),0),MATCH(DBtendonC[[#Headers],[ez1]],PTprofC[#Headers],0))</f>
        <v>-0.16</v>
      </c>
      <c r="AG13" s="8" cm="1">
        <f t="array" ref="AG13">INDEX(PTprofC[],MATCH(1,(LEFT(DBtendonC[[#This Row],[pier type start]],1)=PTprofC[Ptyp_s])*(LEFT(DBtendonC[[#This Row],[pier type end]],1)=PTprofC[Ptyp_e])*(DBtendonC[[#This Row],[PT type]]=PTprofC[PT type]),0),MATCH(DBtendonC[[#Headers],[ez2]],PTprofC[#Headers],0))</f>
        <v>-0.16</v>
      </c>
      <c r="AH13" s="8" cm="1">
        <f t="array" ref="AH13">INDEX(PTprofC[],MATCH(1,(LEFT(DBtendonC[[#This Row],[pier type start]],1)=PTprofC[Ptyp_s])*(LEFT(DBtendonC[[#This Row],[pier type end]],1)=PTprofC[Ptyp_e])*(DBtendonC[[#This Row],[PT type]]=PTprofC[PT type]),0),MATCH(DBtendonC[[#Headers],[ez3]],PTprofC[#Headers],0))</f>
        <v>-0.16</v>
      </c>
      <c r="AI13" s="8" cm="1">
        <f t="array" ref="AI13">INDEX(PTprofC[],MATCH(1,(LEFT(DBtendonC[[#This Row],[pier type start]],1)=PTprofC[Ptyp_s])*(LEFT(DBtendonC[[#This Row],[pier type end]],1)=PTprofC[Ptyp_e])*(DBtendonC[[#This Row],[PT type]]=PTprofC[PT type]),0),MATCH(DBtendonC[[#Headers],[ez4]],PTprofC[#Headers],0))</f>
        <v>-0.16</v>
      </c>
      <c r="AJ13" s="8" cm="1">
        <f t="array" ref="AJ13">INDEX(PTprofC[],MATCH(1,(LEFT(DBtendonC[[#This Row],[pier type start]],1)=PTprofC[Ptyp_s])*(LEFT(DBtendonC[[#This Row],[pier type end]],1)=PTprofC[Ptyp_e])*(DBtendonC[[#This Row],[PT type]]=PTprofC[PT type]),0),MATCH(DBtendonC[[#Headers],[ez5]],PTprofC[#Headers],0))</f>
        <v>-0.16</v>
      </c>
      <c r="AK13" s="8" cm="1">
        <f t="array" ref="AK13">INDEX(PTprofC[],MATCH(1,(LEFT(DBtendonC[[#This Row],[pier type start]],1)=PTprofC[Ptyp_s])*(LEFT(DBtendonC[[#This Row],[pier type end]],1)=PTprofC[Ptyp_e])*(DBtendonC[[#This Row],[PT type]]=PTprofC[PT type]),0),MATCH(DBtendonC[[#Headers],[ez6]],PTprofC[#Headers],0))</f>
        <v>-0.16</v>
      </c>
      <c r="AL13" s="8" cm="1">
        <f t="array" ref="AL13">INDEX(PTprofC[],MATCH(1,(LEFT(DBtendonC[[#This Row],[pier type start]],1)=PTprofC[Ptyp_s])*(LEFT(DBtendonC[[#This Row],[pier type end]],1)=PTprofC[Ptyp_e])*(DBtendonC[[#This Row],[PT type]]=PTprofC[PT type]),0),MATCH(DBtendonC[[#Headers],[ez7]],PTprofC[#Headers],0))</f>
        <v>-0.16</v>
      </c>
      <c r="AM13" s="8" cm="1">
        <f t="array" ref="AM13">INDEX(PTprofC[],MATCH(1,(LEFT(DBtendonC[[#This Row],[pier type start]],1)=PTprofC[Ptyp_s])*(LEFT(DBtendonC[[#This Row],[pier type end]],1)=PTprofC[Ptyp_e])*(DBtendonC[[#This Row],[PT type]]=PTprofC[PT type]),0),MATCH(DBtendonC[[#Headers],[ez8]],PTprofC[#Headers],0))</f>
        <v>-0.16</v>
      </c>
      <c r="AN13" s="8" cm="1">
        <f t="array" ref="AN13">INDEX(PTprofC[],MATCH(1,(LEFT(DBtendonC[[#This Row],[pier type start]],1)=PTprofC[Ptyp_s])*(LEFT(DBtendonC[[#This Row],[pier type end]],1)=PTprofC[Ptyp_e])*(DBtendonC[[#This Row],[PT type]]=PTprofC[PT type]),0),MATCH(DBtendonC[[#Headers],[ez9]],PTprofC[#Headers],0))</f>
        <v>-0.16</v>
      </c>
      <c r="AO13" s="8" cm="1">
        <f t="array" ref="AO13">INDEX(PTprofC[],MATCH(1,(LEFT(DBtendonC[[#This Row],[pier type start]],1)=PTprofC[Ptyp_s])*(LEFT(DBtendonC[[#This Row],[pier type end]],1)=PTprofC[Ptyp_e])*(DBtendonC[[#This Row],[PT type]]=PTprofC[PT type]),0),MATCH(DBtendonC[[#Headers],[ez10]],PTprofC[#Headers],0))</f>
        <v>-0.66500000000000004</v>
      </c>
      <c r="AP13" s="8" cm="1">
        <f t="array" ref="AP13">INDEX(PTprofC[],MATCH(1,(LEFT(DBtendonC[[#This Row],[pier type start]],1)=PTprofC[Ptyp_s])*(LEFT(DBtendonC[[#This Row],[pier type end]],1)=PTprofC[Ptyp_e])*(DBtendonC[[#This Row],[PT type]]=PTprofC[PT type]),0),MATCH(DBtendonC[[#Headers],[ez11]],PTprofC[#Headers],0))</f>
        <v>-0.73099999999999998</v>
      </c>
      <c r="AQ13" s="8" cm="1">
        <f t="array" ref="AQ13">INDEX(PTprofC[],MATCH(1,(LEFT(DBtendonC[[#This Row],[pier type start]],1)=PTprofC[Ptyp_s])*(LEFT(DBtendonC[[#This Row],[pier type end]],1)=PTprofC[Ptyp_e])*(DBtendonC[[#This Row],[PT type]]=PTprofC[PT type]),0),MATCH(DBtendonC[[#Headers],[ez12]],PTprofC[#Headers],0))</f>
        <v>-0.28999999999999998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D31"/>
  <sheetViews>
    <sheetView workbookViewId="0">
      <selection activeCell="K8" sqref="K8"/>
    </sheetView>
  </sheetViews>
  <sheetFormatPr defaultRowHeight="11.25"/>
  <cols>
    <col min="3" max="3" width="9.25" customWidth="1"/>
    <col min="6" max="6" width="19.125" bestFit="1" customWidth="1"/>
    <col min="9" max="9" width="9.125" bestFit="1" customWidth="1"/>
    <col min="10" max="10" width="9.125" customWidth="1"/>
    <col min="11" max="15" width="7.875" bestFit="1" customWidth="1"/>
    <col min="16" max="17" width="7.875" customWidth="1"/>
    <col min="18" max="19" width="7.875" bestFit="1" customWidth="1"/>
    <col min="20" max="21" width="8.625" customWidth="1"/>
    <col min="23" max="31" width="6.125" bestFit="1" customWidth="1"/>
    <col min="32" max="32" width="7.125" bestFit="1" customWidth="1"/>
    <col min="33" max="34" width="7.125" customWidth="1"/>
    <col min="35" max="39" width="6.5" bestFit="1" customWidth="1"/>
    <col min="40" max="41" width="6.5" customWidth="1"/>
    <col min="42" max="43" width="6.5" bestFit="1" customWidth="1"/>
    <col min="44" max="45" width="6.625" customWidth="1"/>
    <col min="46" max="46" width="7" bestFit="1" customWidth="1"/>
    <col min="47" max="47" width="6.75" bestFit="1" customWidth="1"/>
    <col min="48" max="50" width="6.5" bestFit="1" customWidth="1"/>
    <col min="51" max="51" width="6.75" bestFit="1" customWidth="1"/>
    <col min="52" max="56" width="6.5" bestFit="1" customWidth="1"/>
  </cols>
  <sheetData>
    <row r="1" spans="2:56">
      <c r="H1" t="s">
        <v>131</v>
      </c>
    </row>
    <row r="2" spans="2:56">
      <c r="B2" t="s">
        <v>7</v>
      </c>
      <c r="C2" t="s">
        <v>9</v>
      </c>
      <c r="E2" t="s">
        <v>7</v>
      </c>
      <c r="F2" t="s">
        <v>8</v>
      </c>
      <c r="H2" s="17" t="s">
        <v>110</v>
      </c>
      <c r="I2" s="17" t="s">
        <v>111</v>
      </c>
      <c r="J2" s="17" t="s">
        <v>126</v>
      </c>
      <c r="K2" s="17" t="s">
        <v>100</v>
      </c>
      <c r="L2" s="17" t="s">
        <v>101</v>
      </c>
      <c r="M2" s="17" t="s">
        <v>102</v>
      </c>
      <c r="N2" s="17" t="s">
        <v>103</v>
      </c>
      <c r="O2" s="17" t="s">
        <v>104</v>
      </c>
      <c r="P2" s="17" t="s">
        <v>105</v>
      </c>
      <c r="Q2" s="17" t="s">
        <v>106</v>
      </c>
      <c r="R2" s="17" t="s">
        <v>107</v>
      </c>
      <c r="S2" s="17" t="s">
        <v>108</v>
      </c>
      <c r="T2" s="17" t="s">
        <v>109</v>
      </c>
      <c r="U2" s="17" t="s">
        <v>118</v>
      </c>
      <c r="V2" s="17" t="s">
        <v>119</v>
      </c>
      <c r="W2" s="17" t="s">
        <v>96</v>
      </c>
      <c r="X2" s="17" t="s">
        <v>97</v>
      </c>
      <c r="Y2" s="17" t="s">
        <v>98</v>
      </c>
      <c r="Z2" s="17" t="s">
        <v>99</v>
      </c>
      <c r="AA2" s="17" t="s">
        <v>112</v>
      </c>
      <c r="AB2" s="17" t="s">
        <v>113</v>
      </c>
      <c r="AC2" s="17" t="s">
        <v>114</v>
      </c>
      <c r="AD2" s="17" t="s">
        <v>115</v>
      </c>
      <c r="AE2" s="17" t="s">
        <v>116</v>
      </c>
      <c r="AF2" s="17" t="s">
        <v>117</v>
      </c>
      <c r="AG2" s="17" t="s">
        <v>120</v>
      </c>
      <c r="AH2" s="17" t="s">
        <v>121</v>
      </c>
      <c r="AI2" s="17" t="s">
        <v>86</v>
      </c>
      <c r="AJ2" s="17" t="s">
        <v>87</v>
      </c>
      <c r="AK2" s="17" t="s">
        <v>88</v>
      </c>
      <c r="AL2" s="17" t="s">
        <v>89</v>
      </c>
      <c r="AM2" s="17" t="s">
        <v>90</v>
      </c>
      <c r="AN2" s="17" t="s">
        <v>91</v>
      </c>
      <c r="AO2" s="17" t="s">
        <v>92</v>
      </c>
      <c r="AP2" s="17" t="s">
        <v>93</v>
      </c>
      <c r="AQ2" s="17" t="s">
        <v>94</v>
      </c>
      <c r="AR2" s="17" t="s">
        <v>95</v>
      </c>
      <c r="AS2" s="17" t="s">
        <v>122</v>
      </c>
      <c r="AT2" s="17" t="s">
        <v>123</v>
      </c>
    </row>
    <row r="3" spans="2:56">
      <c r="B3">
        <v>1</v>
      </c>
      <c r="C3" t="s">
        <v>10</v>
      </c>
      <c r="E3">
        <v>1</v>
      </c>
      <c r="F3" t="s">
        <v>14</v>
      </c>
      <c r="H3" s="14" t="s">
        <v>40</v>
      </c>
      <c r="I3" s="14" t="s">
        <v>41</v>
      </c>
      <c r="J3" s="14">
        <v>1</v>
      </c>
      <c r="K3" s="15">
        <v>7.2999999999999995E-2</v>
      </c>
      <c r="L3" s="15">
        <v>1.518</v>
      </c>
      <c r="M3" s="15">
        <v>2.0840000000000001</v>
      </c>
      <c r="N3" s="15">
        <v>2.9159999999999999</v>
      </c>
      <c r="O3" s="15">
        <v>1</v>
      </c>
      <c r="P3" s="15">
        <v>0.5</v>
      </c>
      <c r="Q3" s="15">
        <v>0.5</v>
      </c>
      <c r="R3" s="15">
        <v>1</v>
      </c>
      <c r="S3" s="15">
        <v>4.016</v>
      </c>
      <c r="T3" s="15">
        <v>2.0539999999999998</v>
      </c>
      <c r="U3" s="15">
        <v>1.643</v>
      </c>
      <c r="V3" s="15">
        <v>8.5000000000000006E-2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-1.4</v>
      </c>
      <c r="AJ3" s="15">
        <v>-1.6679999999999999</v>
      </c>
      <c r="AK3" s="15">
        <v>-1.85</v>
      </c>
      <c r="AL3" s="15">
        <v>-1.85</v>
      </c>
      <c r="AM3" s="15">
        <v>-1.85</v>
      </c>
      <c r="AN3" s="15">
        <v>-1.85</v>
      </c>
      <c r="AO3" s="15">
        <v>-1.85</v>
      </c>
      <c r="AP3" s="15">
        <v>-1.85</v>
      </c>
      <c r="AQ3" s="15">
        <v>-1.85</v>
      </c>
      <c r="AR3" s="15">
        <v>-1.85</v>
      </c>
      <c r="AS3" s="15">
        <v>-1.6679999999999999</v>
      </c>
      <c r="AT3" s="15">
        <v>-1.3779999999999999</v>
      </c>
    </row>
    <row r="4" spans="2:56">
      <c r="B4">
        <v>2</v>
      </c>
      <c r="C4" t="s">
        <v>11</v>
      </c>
      <c r="E4">
        <v>2</v>
      </c>
      <c r="F4" t="s">
        <v>15</v>
      </c>
      <c r="H4" s="14" t="s">
        <v>41</v>
      </c>
      <c r="I4" s="14" t="s">
        <v>40</v>
      </c>
      <c r="J4" s="14">
        <v>1</v>
      </c>
      <c r="K4" s="15">
        <v>8.5000000000000006E-2</v>
      </c>
      <c r="L4" s="15">
        <v>1.643</v>
      </c>
      <c r="M4" s="15">
        <v>2.0539999999999998</v>
      </c>
      <c r="N4" s="15">
        <v>4.016</v>
      </c>
      <c r="O4" s="15">
        <v>1</v>
      </c>
      <c r="P4" s="15">
        <v>0.5</v>
      </c>
      <c r="Q4" s="15">
        <v>0.5</v>
      </c>
      <c r="R4" s="15">
        <v>1</v>
      </c>
      <c r="S4" s="15">
        <v>2.9159999999999999</v>
      </c>
      <c r="T4" s="15">
        <v>2.0840000000000001</v>
      </c>
      <c r="U4" s="15">
        <v>1.518</v>
      </c>
      <c r="V4" s="15">
        <v>7.2999999999999995E-2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-1.3779999999999999</v>
      </c>
      <c r="AJ4" s="15">
        <v>-1.6679999999999999</v>
      </c>
      <c r="AK4" s="15">
        <v>-1.85</v>
      </c>
      <c r="AL4" s="15">
        <v>-1.85</v>
      </c>
      <c r="AM4" s="15">
        <v>-1.85</v>
      </c>
      <c r="AN4" s="15">
        <v>-1.85</v>
      </c>
      <c r="AO4" s="15">
        <v>-1.85</v>
      </c>
      <c r="AP4" s="15">
        <v>-1.85</v>
      </c>
      <c r="AQ4" s="15">
        <v>-1.85</v>
      </c>
      <c r="AR4" s="15">
        <v>-1.85</v>
      </c>
      <c r="AS4" s="15">
        <v>-1.6679999999999999</v>
      </c>
      <c r="AT4" s="15">
        <v>-1.4</v>
      </c>
    </row>
    <row r="5" spans="2:56">
      <c r="B5">
        <v>3</v>
      </c>
      <c r="C5" t="s">
        <v>12</v>
      </c>
      <c r="E5">
        <v>3</v>
      </c>
      <c r="F5" t="s">
        <v>16</v>
      </c>
      <c r="H5" s="14" t="s">
        <v>41</v>
      </c>
      <c r="I5" s="14" t="s">
        <v>41</v>
      </c>
      <c r="J5" s="14">
        <v>1</v>
      </c>
      <c r="K5" s="15">
        <v>8.5000000000000006E-2</v>
      </c>
      <c r="L5" s="15">
        <v>1.643</v>
      </c>
      <c r="M5" s="15">
        <v>2.0539999999999998</v>
      </c>
      <c r="N5" s="15">
        <v>4.016</v>
      </c>
      <c r="O5" s="15">
        <v>1</v>
      </c>
      <c r="P5" s="15">
        <v>0.5</v>
      </c>
      <c r="Q5" s="15">
        <v>0.5</v>
      </c>
      <c r="R5" s="15">
        <v>1</v>
      </c>
      <c r="S5" s="15">
        <v>4.016</v>
      </c>
      <c r="T5" s="15">
        <v>2.0539999999999998</v>
      </c>
      <c r="U5" s="15">
        <v>1.643</v>
      </c>
      <c r="V5" s="15">
        <v>8.5000000000000006E-2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-1.3779999999999999</v>
      </c>
      <c r="AJ5" s="15">
        <v>-1.6679999999999999</v>
      </c>
      <c r="AK5" s="15">
        <v>-1.85</v>
      </c>
      <c r="AL5" s="15">
        <v>-1.85</v>
      </c>
      <c r="AM5" s="15">
        <v>-1.85</v>
      </c>
      <c r="AN5" s="15">
        <v>-1.85</v>
      </c>
      <c r="AO5" s="15">
        <v>-1.85</v>
      </c>
      <c r="AP5" s="15">
        <v>-1.85</v>
      </c>
      <c r="AQ5" s="15">
        <v>-1.85</v>
      </c>
      <c r="AR5" s="15">
        <v>-1.85</v>
      </c>
      <c r="AS5" s="15">
        <v>-1.6679999999999999</v>
      </c>
      <c r="AT5" s="15">
        <v>-1.3779999999999999</v>
      </c>
    </row>
    <row r="6" spans="2:56">
      <c r="B6">
        <v>4</v>
      </c>
      <c r="C6" t="s">
        <v>13</v>
      </c>
      <c r="E6">
        <v>4</v>
      </c>
      <c r="F6" t="s">
        <v>17</v>
      </c>
      <c r="H6" s="14" t="s">
        <v>53</v>
      </c>
      <c r="I6" s="14" t="s">
        <v>40</v>
      </c>
      <c r="J6" s="14">
        <v>1</v>
      </c>
      <c r="K6" s="15">
        <v>0.14000000000000001</v>
      </c>
      <c r="L6" s="15">
        <v>1.375</v>
      </c>
      <c r="M6" s="15">
        <v>1.4850000000000001</v>
      </c>
      <c r="N6" s="15">
        <v>1</v>
      </c>
      <c r="O6" s="15">
        <v>1.75</v>
      </c>
      <c r="P6" s="15">
        <v>0.75</v>
      </c>
      <c r="Q6" s="15">
        <v>0.75</v>
      </c>
      <c r="R6" s="15">
        <v>1.75</v>
      </c>
      <c r="S6" s="15">
        <v>1</v>
      </c>
      <c r="T6" s="15">
        <v>1.4850000000000001</v>
      </c>
      <c r="U6" s="15">
        <v>1.375</v>
      </c>
      <c r="V6" s="15">
        <v>0.14000000000000001</v>
      </c>
      <c r="W6" s="15">
        <v>0</v>
      </c>
      <c r="X6" s="15">
        <v>0</v>
      </c>
      <c r="Y6" s="15">
        <v>0.15</v>
      </c>
      <c r="Z6" s="15">
        <v>0.15</v>
      </c>
      <c r="AA6" s="15">
        <v>0.15</v>
      </c>
      <c r="AB6" s="15">
        <v>0.15</v>
      </c>
      <c r="AC6" s="15">
        <v>0.15</v>
      </c>
      <c r="AD6" s="15">
        <v>0.15</v>
      </c>
      <c r="AE6" s="15">
        <v>0.15</v>
      </c>
      <c r="AF6" s="15">
        <v>0.15</v>
      </c>
      <c r="AG6" s="16">
        <v>0</v>
      </c>
      <c r="AH6" s="16">
        <v>0</v>
      </c>
      <c r="AI6" s="15">
        <v>-1.5</v>
      </c>
      <c r="AJ6" s="15">
        <v>-1.5</v>
      </c>
      <c r="AK6" s="15">
        <v>-1.7</v>
      </c>
      <c r="AL6" s="15">
        <v>-1.85</v>
      </c>
      <c r="AM6" s="15">
        <v>-1.85</v>
      </c>
      <c r="AN6" s="15">
        <v>-1.85</v>
      </c>
      <c r="AO6" s="15">
        <v>-1.85</v>
      </c>
      <c r="AP6" s="15">
        <v>-1.85</v>
      </c>
      <c r="AQ6" s="15">
        <v>-1.85</v>
      </c>
      <c r="AR6" s="15">
        <v>-1.7</v>
      </c>
      <c r="AS6" s="15">
        <v>-1.5</v>
      </c>
      <c r="AT6" s="15">
        <v>-1.5</v>
      </c>
    </row>
    <row r="7" spans="2:56">
      <c r="E7">
        <v>5</v>
      </c>
      <c r="F7" t="s">
        <v>18</v>
      </c>
      <c r="H7" s="14" t="s">
        <v>40</v>
      </c>
      <c r="I7" s="14" t="s">
        <v>53</v>
      </c>
      <c r="J7" s="14">
        <v>1</v>
      </c>
      <c r="K7" s="15">
        <v>0.14000000000000001</v>
      </c>
      <c r="L7" s="15">
        <v>1.375</v>
      </c>
      <c r="M7" s="15">
        <v>1.4850000000000001</v>
      </c>
      <c r="N7" s="15">
        <v>1</v>
      </c>
      <c r="O7" s="15">
        <v>1.75</v>
      </c>
      <c r="P7" s="15">
        <v>0.75</v>
      </c>
      <c r="Q7" s="15">
        <v>0.75</v>
      </c>
      <c r="R7" s="15">
        <v>1.75</v>
      </c>
      <c r="S7" s="15">
        <v>1</v>
      </c>
      <c r="T7" s="15">
        <v>1.4850000000000001</v>
      </c>
      <c r="U7" s="15">
        <v>1.375</v>
      </c>
      <c r="V7" s="15">
        <v>0.14000000000000001</v>
      </c>
      <c r="W7" s="15">
        <v>0</v>
      </c>
      <c r="X7" s="15">
        <v>0</v>
      </c>
      <c r="Y7" s="15">
        <v>0.15</v>
      </c>
      <c r="Z7" s="15">
        <v>0.15</v>
      </c>
      <c r="AA7" s="15">
        <v>0.15</v>
      </c>
      <c r="AB7" s="15">
        <v>0.15</v>
      </c>
      <c r="AC7" s="15">
        <v>0.15</v>
      </c>
      <c r="AD7" s="15">
        <v>0.15</v>
      </c>
      <c r="AE7" s="15">
        <v>0.15</v>
      </c>
      <c r="AF7" s="15">
        <v>0.15</v>
      </c>
      <c r="AG7" s="16">
        <v>0</v>
      </c>
      <c r="AH7" s="16">
        <v>0</v>
      </c>
      <c r="AI7" s="15">
        <v>-1.5</v>
      </c>
      <c r="AJ7" s="15">
        <v>-1.5</v>
      </c>
      <c r="AK7" s="15">
        <v>-1.7</v>
      </c>
      <c r="AL7" s="15">
        <v>-1.85</v>
      </c>
      <c r="AM7" s="15">
        <v>-1.85</v>
      </c>
      <c r="AN7" s="15">
        <v>-1.85</v>
      </c>
      <c r="AO7" s="15">
        <v>-1.85</v>
      </c>
      <c r="AP7" s="15">
        <v>-1.85</v>
      </c>
      <c r="AQ7" s="15">
        <v>-1.85</v>
      </c>
      <c r="AR7" s="15">
        <v>-1.7</v>
      </c>
      <c r="AS7" s="15">
        <v>-1.5</v>
      </c>
      <c r="AT7" s="15">
        <v>-1.5</v>
      </c>
    </row>
    <row r="8" spans="2:56">
      <c r="E8">
        <v>6</v>
      </c>
      <c r="F8" t="s">
        <v>19</v>
      </c>
      <c r="H8" s="20" t="s">
        <v>40</v>
      </c>
      <c r="I8" s="20" t="s">
        <v>40</v>
      </c>
      <c r="J8" s="20">
        <v>1</v>
      </c>
      <c r="K8" s="22">
        <v>7.2999999999999995E-2</v>
      </c>
      <c r="L8" s="22">
        <f>1.518/2</f>
        <v>0.75900000000000001</v>
      </c>
      <c r="M8" s="22">
        <f>2.084/2</f>
        <v>1.042</v>
      </c>
      <c r="N8" s="22">
        <f>2.916/2</f>
        <v>1.458</v>
      </c>
      <c r="O8" s="22">
        <v>0.5</v>
      </c>
      <c r="P8" s="22">
        <v>0.1</v>
      </c>
      <c r="Q8" s="22">
        <v>0.1</v>
      </c>
      <c r="R8" s="22">
        <v>0.1</v>
      </c>
      <c r="S8" s="22">
        <f>2.916/2</f>
        <v>1.458</v>
      </c>
      <c r="T8" s="22">
        <f>2.084/2</f>
        <v>1.042</v>
      </c>
      <c r="U8" s="22">
        <f>1.518/2</f>
        <v>0.75900000000000001</v>
      </c>
      <c r="V8" s="22">
        <v>7.2999999999999995E-2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-1.4</v>
      </c>
      <c r="AJ8" s="21">
        <v>-1.6679999999999999</v>
      </c>
      <c r="AK8" s="21">
        <v>-1.85</v>
      </c>
      <c r="AL8" s="21">
        <v>-1.85</v>
      </c>
      <c r="AM8" s="21">
        <v>-1.85</v>
      </c>
      <c r="AN8" s="21">
        <v>-1.85</v>
      </c>
      <c r="AO8" s="21">
        <v>-1.85</v>
      </c>
      <c r="AP8" s="21">
        <v>-1.85</v>
      </c>
      <c r="AQ8" s="21">
        <v>-1.85</v>
      </c>
      <c r="AR8" s="21">
        <v>-1.85</v>
      </c>
      <c r="AS8" s="21">
        <v>-1.6679999999999999</v>
      </c>
      <c r="AT8" s="21">
        <v>-1.4</v>
      </c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2:56">
      <c r="E9">
        <v>7</v>
      </c>
      <c r="F9" t="s">
        <v>20</v>
      </c>
      <c r="H9" s="14" t="s">
        <v>53</v>
      </c>
      <c r="I9" s="14" t="s">
        <v>40</v>
      </c>
      <c r="J9" s="14">
        <v>2</v>
      </c>
      <c r="K9" s="15">
        <v>0.14000000000000001</v>
      </c>
      <c r="L9" s="15">
        <v>1.375</v>
      </c>
      <c r="M9" s="15">
        <v>1.4850000000000001</v>
      </c>
      <c r="N9" s="15">
        <v>1</v>
      </c>
      <c r="O9" s="15">
        <v>1.75</v>
      </c>
      <c r="P9" s="15">
        <v>0.75</v>
      </c>
      <c r="Q9" s="15">
        <v>0.75</v>
      </c>
      <c r="R9" s="15">
        <v>1.75</v>
      </c>
      <c r="S9" s="15">
        <v>1</v>
      </c>
      <c r="T9" s="15">
        <v>1.4850000000000001</v>
      </c>
      <c r="U9" s="15">
        <v>1.375</v>
      </c>
      <c r="V9" s="15">
        <v>0.14000000000000001</v>
      </c>
      <c r="W9" s="15">
        <v>0</v>
      </c>
      <c r="X9" s="15">
        <v>0</v>
      </c>
      <c r="Y9" s="15">
        <v>-0.15</v>
      </c>
      <c r="Z9" s="15">
        <v>-0.15</v>
      </c>
      <c r="AA9" s="15">
        <v>-0.15</v>
      </c>
      <c r="AB9" s="15">
        <v>-0.15</v>
      </c>
      <c r="AC9" s="15">
        <v>-0.15</v>
      </c>
      <c r="AD9" s="15">
        <v>-0.15</v>
      </c>
      <c r="AE9" s="15">
        <v>-0.15</v>
      </c>
      <c r="AF9" s="15">
        <v>-0.15</v>
      </c>
      <c r="AG9" s="15">
        <v>0</v>
      </c>
      <c r="AH9" s="15">
        <v>0</v>
      </c>
      <c r="AI9" s="15">
        <v>-1.04</v>
      </c>
      <c r="AJ9" s="15">
        <v>-1.04</v>
      </c>
      <c r="AK9" s="15">
        <v>-1.3140000000000001</v>
      </c>
      <c r="AL9" s="16">
        <v>-1.631</v>
      </c>
      <c r="AM9" s="16">
        <v>-1.8360000000000001</v>
      </c>
      <c r="AN9" s="16">
        <v>-1.85</v>
      </c>
      <c r="AO9" s="16">
        <v>-1.85</v>
      </c>
      <c r="AP9" s="16">
        <v>-1.8360000000000001</v>
      </c>
      <c r="AQ9" s="16">
        <v>-1.631</v>
      </c>
      <c r="AR9" s="16">
        <v>-1.3140000000000001</v>
      </c>
      <c r="AS9" s="16">
        <v>-1.04</v>
      </c>
      <c r="AT9" s="16">
        <v>-1.04</v>
      </c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2:56">
      <c r="E10">
        <v>8</v>
      </c>
      <c r="F10" t="s">
        <v>21</v>
      </c>
      <c r="H10" s="14" t="s">
        <v>40</v>
      </c>
      <c r="I10" s="14" t="s">
        <v>53</v>
      </c>
      <c r="J10" s="14">
        <v>2</v>
      </c>
      <c r="K10" s="15">
        <v>0.14000000000000001</v>
      </c>
      <c r="L10" s="15">
        <v>1.375</v>
      </c>
      <c r="M10" s="15">
        <v>1.4850000000000001</v>
      </c>
      <c r="N10" s="15">
        <v>1</v>
      </c>
      <c r="O10" s="15">
        <v>1.75</v>
      </c>
      <c r="P10" s="15">
        <v>0.75</v>
      </c>
      <c r="Q10" s="15">
        <v>0.75</v>
      </c>
      <c r="R10" s="15">
        <v>1.75</v>
      </c>
      <c r="S10" s="15">
        <v>1</v>
      </c>
      <c r="T10" s="15">
        <v>1.4850000000000001</v>
      </c>
      <c r="U10" s="15">
        <v>1.375</v>
      </c>
      <c r="V10" s="15">
        <v>0.14000000000000001</v>
      </c>
      <c r="W10" s="15">
        <v>0</v>
      </c>
      <c r="X10" s="15">
        <v>0</v>
      </c>
      <c r="Y10" s="15">
        <v>-0.15</v>
      </c>
      <c r="Z10" s="15">
        <v>-0.15</v>
      </c>
      <c r="AA10" s="15">
        <v>-0.15</v>
      </c>
      <c r="AB10" s="15">
        <v>-0.15</v>
      </c>
      <c r="AC10" s="15">
        <v>-0.15</v>
      </c>
      <c r="AD10" s="15">
        <v>-0.15</v>
      </c>
      <c r="AE10" s="15">
        <v>-0.15</v>
      </c>
      <c r="AF10" s="15">
        <v>-0.15</v>
      </c>
      <c r="AG10" s="15">
        <v>0</v>
      </c>
      <c r="AH10" s="15">
        <v>0</v>
      </c>
      <c r="AI10" s="15">
        <v>-1.04</v>
      </c>
      <c r="AJ10" s="15">
        <v>-1.04</v>
      </c>
      <c r="AK10" s="15">
        <v>-1.3140000000000001</v>
      </c>
      <c r="AL10" s="16">
        <v>-1.631</v>
      </c>
      <c r="AM10" s="16">
        <v>-1.8360000000000001</v>
      </c>
      <c r="AN10" s="16">
        <v>-1.85</v>
      </c>
      <c r="AO10" s="16">
        <v>-1.85</v>
      </c>
      <c r="AP10" s="16">
        <v>-1.8360000000000001</v>
      </c>
      <c r="AQ10" s="16">
        <v>-1.631</v>
      </c>
      <c r="AR10" s="16">
        <v>-1.3140000000000001</v>
      </c>
      <c r="AS10" s="16">
        <v>-1.04</v>
      </c>
      <c r="AT10" s="16">
        <v>-1.04</v>
      </c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2:56">
      <c r="E11">
        <v>10</v>
      </c>
      <c r="F11" t="s">
        <v>145</v>
      </c>
      <c r="H11" s="14" t="s">
        <v>40</v>
      </c>
      <c r="I11" s="14" t="s">
        <v>40</v>
      </c>
      <c r="J11" s="14">
        <v>2</v>
      </c>
      <c r="K11" s="15">
        <v>0.14000000000000001</v>
      </c>
      <c r="L11" s="15">
        <v>1.375</v>
      </c>
      <c r="M11" s="15">
        <v>1.4850000000000001</v>
      </c>
      <c r="N11" s="15">
        <v>1</v>
      </c>
      <c r="O11" s="15">
        <v>1.75</v>
      </c>
      <c r="P11" s="15">
        <v>0.75</v>
      </c>
      <c r="Q11" s="15">
        <v>0.75</v>
      </c>
      <c r="R11" s="15">
        <v>1.75</v>
      </c>
      <c r="S11" s="15">
        <v>1</v>
      </c>
      <c r="T11" s="15">
        <v>1.4850000000000001</v>
      </c>
      <c r="U11" s="15">
        <v>1.375</v>
      </c>
      <c r="V11" s="15">
        <v>0.14000000000000001</v>
      </c>
      <c r="W11" s="15">
        <v>0</v>
      </c>
      <c r="X11" s="15">
        <v>0</v>
      </c>
      <c r="Y11" s="15">
        <v>-0.15</v>
      </c>
      <c r="Z11" s="15">
        <v>-0.15</v>
      </c>
      <c r="AA11" s="15">
        <v>-0.15</v>
      </c>
      <c r="AB11" s="15">
        <v>-0.15</v>
      </c>
      <c r="AC11" s="15">
        <v>-0.15</v>
      </c>
      <c r="AD11" s="15">
        <v>-0.15</v>
      </c>
      <c r="AE11" s="15">
        <v>-0.15</v>
      </c>
      <c r="AF11" s="15">
        <v>-0.15</v>
      </c>
      <c r="AG11" s="15">
        <v>0</v>
      </c>
      <c r="AH11" s="15">
        <v>0</v>
      </c>
      <c r="AI11" s="15">
        <v>-1.04</v>
      </c>
      <c r="AJ11" s="15">
        <v>-1.04</v>
      </c>
      <c r="AK11" s="15">
        <v>-1.3140000000000001</v>
      </c>
      <c r="AL11" s="16">
        <v>-1.631</v>
      </c>
      <c r="AM11" s="16">
        <v>-1.8360000000000001</v>
      </c>
      <c r="AN11" s="16">
        <v>-1.85</v>
      </c>
      <c r="AO11" s="16">
        <v>-1.85</v>
      </c>
      <c r="AP11" s="16">
        <v>-1.8360000000000001</v>
      </c>
      <c r="AQ11" s="16">
        <v>-1.631</v>
      </c>
      <c r="AR11" s="16">
        <v>-1.3140000000000001</v>
      </c>
      <c r="AS11" s="16">
        <v>-1.04</v>
      </c>
      <c r="AT11" s="16">
        <v>-1.04</v>
      </c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2:56">
      <c r="E12">
        <v>11</v>
      </c>
      <c r="F12" t="s">
        <v>22</v>
      </c>
      <c r="H12" s="14" t="s">
        <v>53</v>
      </c>
      <c r="I12" s="14" t="s">
        <v>40</v>
      </c>
      <c r="J12" s="14">
        <v>3</v>
      </c>
      <c r="K12" s="15">
        <v>0.14000000000000001</v>
      </c>
      <c r="L12" s="15">
        <v>1.375</v>
      </c>
      <c r="M12" s="15">
        <v>1.4850000000000001</v>
      </c>
      <c r="N12" s="15">
        <v>1</v>
      </c>
      <c r="O12" s="15">
        <v>1.75</v>
      </c>
      <c r="P12" s="15">
        <v>0.75</v>
      </c>
      <c r="Q12" s="15">
        <v>0.75</v>
      </c>
      <c r="R12" s="15">
        <v>1.75</v>
      </c>
      <c r="S12" s="15">
        <v>1</v>
      </c>
      <c r="T12" s="15">
        <v>1.4850000000000001</v>
      </c>
      <c r="U12" s="15">
        <v>1.375</v>
      </c>
      <c r="V12" s="15">
        <v>0.14000000000000001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-0.5</v>
      </c>
      <c r="AJ12" s="15">
        <v>-0.5</v>
      </c>
      <c r="AK12" s="15">
        <v>-0.439</v>
      </c>
      <c r="AL12" s="15">
        <v>-0.33300000000000002</v>
      </c>
      <c r="AM12" s="16">
        <v>-0.15</v>
      </c>
      <c r="AN12" s="16">
        <v>-0.15</v>
      </c>
      <c r="AO12" s="16">
        <v>-0.15</v>
      </c>
      <c r="AP12" s="16">
        <v>-0.15</v>
      </c>
      <c r="AQ12" s="16">
        <v>-0.33300000000000002</v>
      </c>
      <c r="AR12" s="16">
        <v>-0.439</v>
      </c>
      <c r="AS12" s="16">
        <v>-0.5</v>
      </c>
      <c r="AT12" s="16">
        <v>-0.5</v>
      </c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2:56">
      <c r="E13">
        <v>12</v>
      </c>
      <c r="F13" t="s">
        <v>24</v>
      </c>
      <c r="H13" s="14" t="s">
        <v>40</v>
      </c>
      <c r="I13" s="14" t="s">
        <v>53</v>
      </c>
      <c r="J13" s="14">
        <v>3</v>
      </c>
      <c r="K13" s="15">
        <v>0.14000000000000001</v>
      </c>
      <c r="L13" s="15">
        <v>1.375</v>
      </c>
      <c r="M13" s="15">
        <v>1.4850000000000001</v>
      </c>
      <c r="N13" s="15">
        <v>1</v>
      </c>
      <c r="O13" s="15">
        <v>1.75</v>
      </c>
      <c r="P13" s="15">
        <v>0.75</v>
      </c>
      <c r="Q13" s="15">
        <v>0.75</v>
      </c>
      <c r="R13" s="15">
        <v>1.75</v>
      </c>
      <c r="S13" s="15">
        <v>1</v>
      </c>
      <c r="T13" s="15">
        <v>1.4850000000000001</v>
      </c>
      <c r="U13" s="15">
        <v>1.375</v>
      </c>
      <c r="V13" s="15">
        <v>0.14000000000000001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-0.5</v>
      </c>
      <c r="AJ13" s="15">
        <v>-0.5</v>
      </c>
      <c r="AK13" s="15">
        <v>-0.439</v>
      </c>
      <c r="AL13" s="15">
        <v>-0.33300000000000002</v>
      </c>
      <c r="AM13" s="16">
        <v>-0.15</v>
      </c>
      <c r="AN13" s="16">
        <v>-0.15</v>
      </c>
      <c r="AO13" s="16">
        <v>-0.15</v>
      </c>
      <c r="AP13" s="16">
        <v>-0.15</v>
      </c>
      <c r="AQ13" s="16">
        <v>-0.33300000000000002</v>
      </c>
      <c r="AR13" s="16">
        <v>-0.439</v>
      </c>
      <c r="AS13" s="16">
        <v>-0.5</v>
      </c>
      <c r="AT13" s="16">
        <v>-0.5</v>
      </c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2:56">
      <c r="E14">
        <v>13</v>
      </c>
      <c r="F14" t="s">
        <v>23</v>
      </c>
      <c r="H14" s="14" t="s">
        <v>40</v>
      </c>
      <c r="I14" s="14" t="s">
        <v>40</v>
      </c>
      <c r="J14" s="14">
        <v>3</v>
      </c>
      <c r="K14" s="15">
        <v>0.14000000000000001</v>
      </c>
      <c r="L14" s="15">
        <v>1.375</v>
      </c>
      <c r="M14" s="15">
        <v>1.4850000000000001</v>
      </c>
      <c r="N14" s="15">
        <v>1</v>
      </c>
      <c r="O14" s="15">
        <v>1.75</v>
      </c>
      <c r="P14" s="15">
        <v>0.75</v>
      </c>
      <c r="Q14" s="15">
        <v>0.75</v>
      </c>
      <c r="R14" s="15">
        <v>1.75</v>
      </c>
      <c r="S14" s="15">
        <v>1</v>
      </c>
      <c r="T14" s="15">
        <v>1.4850000000000001</v>
      </c>
      <c r="U14" s="15">
        <v>1.375</v>
      </c>
      <c r="V14" s="15">
        <v>0.14000000000000001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-0.5</v>
      </c>
      <c r="AJ14" s="15">
        <v>-0.5</v>
      </c>
      <c r="AK14" s="15">
        <v>-0.439</v>
      </c>
      <c r="AL14" s="15">
        <v>-0.33300000000000002</v>
      </c>
      <c r="AM14" s="16">
        <v>-0.15</v>
      </c>
      <c r="AN14" s="16">
        <v>-0.15</v>
      </c>
      <c r="AO14" s="16">
        <v>-0.15</v>
      </c>
      <c r="AP14" s="16">
        <v>-0.15</v>
      </c>
      <c r="AQ14" s="16">
        <v>-0.33300000000000002</v>
      </c>
      <c r="AR14" s="16">
        <v>-0.439</v>
      </c>
      <c r="AS14" s="16">
        <v>-0.5</v>
      </c>
      <c r="AT14" s="16">
        <v>-0.5</v>
      </c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2:56">
      <c r="E15">
        <v>21</v>
      </c>
      <c r="F15" t="s">
        <v>25</v>
      </c>
      <c r="H15" s="14" t="s">
        <v>132</v>
      </c>
      <c r="I15" s="14"/>
      <c r="J15" s="14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2:56">
      <c r="E16">
        <v>22</v>
      </c>
      <c r="F16" t="s">
        <v>26</v>
      </c>
      <c r="H16" s="12" t="s">
        <v>110</v>
      </c>
      <c r="I16" s="12" t="s">
        <v>111</v>
      </c>
      <c r="J16" s="12" t="s">
        <v>126</v>
      </c>
      <c r="K16" s="12" t="s">
        <v>100</v>
      </c>
      <c r="L16" s="12" t="s">
        <v>101</v>
      </c>
      <c r="M16" s="12" t="s">
        <v>102</v>
      </c>
      <c r="N16" s="12" t="s">
        <v>103</v>
      </c>
      <c r="O16" s="12" t="s">
        <v>104</v>
      </c>
      <c r="P16" s="12" t="s">
        <v>105</v>
      </c>
      <c r="Q16" s="12" t="s">
        <v>106</v>
      </c>
      <c r="R16" s="12" t="s">
        <v>107</v>
      </c>
      <c r="S16" s="12" t="s">
        <v>108</v>
      </c>
      <c r="T16" s="12" t="s">
        <v>109</v>
      </c>
      <c r="U16" s="12" t="s">
        <v>118</v>
      </c>
      <c r="V16" s="12" t="s">
        <v>119</v>
      </c>
      <c r="W16" s="12" t="s">
        <v>96</v>
      </c>
      <c r="X16" s="12" t="s">
        <v>97</v>
      </c>
      <c r="Y16" s="12" t="s">
        <v>98</v>
      </c>
      <c r="Z16" s="12" t="s">
        <v>99</v>
      </c>
      <c r="AA16" s="12" t="s">
        <v>112</v>
      </c>
      <c r="AB16" s="12" t="s">
        <v>113</v>
      </c>
      <c r="AC16" s="12" t="s">
        <v>114</v>
      </c>
      <c r="AD16" s="12" t="s">
        <v>115</v>
      </c>
      <c r="AE16" s="12" t="s">
        <v>116</v>
      </c>
      <c r="AF16" s="12" t="s">
        <v>117</v>
      </c>
      <c r="AG16" s="12" t="s">
        <v>120</v>
      </c>
      <c r="AH16" s="12" t="s">
        <v>121</v>
      </c>
      <c r="AI16" s="12" t="s">
        <v>86</v>
      </c>
      <c r="AJ16" s="12" t="s">
        <v>87</v>
      </c>
      <c r="AK16" s="12" t="s">
        <v>88</v>
      </c>
      <c r="AL16" s="12" t="s">
        <v>89</v>
      </c>
      <c r="AM16" s="12" t="s">
        <v>90</v>
      </c>
      <c r="AN16" s="12" t="s">
        <v>91</v>
      </c>
      <c r="AO16" s="12" t="s">
        <v>92</v>
      </c>
      <c r="AP16" s="12" t="s">
        <v>93</v>
      </c>
      <c r="AQ16" s="12" t="s">
        <v>94</v>
      </c>
      <c r="AR16" s="12" t="s">
        <v>95</v>
      </c>
      <c r="AS16" s="12" t="s">
        <v>122</v>
      </c>
      <c r="AT16" s="12" t="s">
        <v>123</v>
      </c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5:56">
      <c r="E17">
        <v>23</v>
      </c>
      <c r="F17" t="s">
        <v>27</v>
      </c>
      <c r="H17" s="14" t="s">
        <v>40</v>
      </c>
      <c r="I17" s="14" t="s">
        <v>41</v>
      </c>
      <c r="J17" s="14" t="s">
        <v>52</v>
      </c>
      <c r="K17" s="13">
        <v>0.214</v>
      </c>
      <c r="L17" s="13">
        <v>1.46</v>
      </c>
      <c r="M17" s="13">
        <v>0.32500000000000001</v>
      </c>
      <c r="N17" s="13">
        <v>3.0630000000000002</v>
      </c>
      <c r="O17" s="13">
        <v>1.53</v>
      </c>
      <c r="P17" s="13">
        <v>1</v>
      </c>
      <c r="Q17" s="13">
        <v>0.5</v>
      </c>
      <c r="R17" s="13">
        <v>0.5</v>
      </c>
      <c r="S17" s="13">
        <v>0.5</v>
      </c>
      <c r="T17" s="15">
        <v>5.0460000000000003</v>
      </c>
      <c r="U17" s="15">
        <v>3.532</v>
      </c>
      <c r="V17" s="15">
        <v>0</v>
      </c>
      <c r="W17" s="15">
        <v>-0.16750000000000001</v>
      </c>
      <c r="X17" s="15">
        <v>-0.16750000000000001</v>
      </c>
      <c r="Y17" s="15">
        <v>-0.16750000000000001</v>
      </c>
      <c r="Z17" s="15">
        <v>-0.23</v>
      </c>
      <c r="AA17" s="15">
        <v>-0.23</v>
      </c>
      <c r="AB17" s="15">
        <v>-0.23</v>
      </c>
      <c r="AC17" s="15">
        <v>-0.23</v>
      </c>
      <c r="AD17" s="15">
        <v>-0.23</v>
      </c>
      <c r="AE17" s="15">
        <v>-0.23</v>
      </c>
      <c r="AF17" s="15">
        <v>-0.23</v>
      </c>
      <c r="AG17" s="15">
        <v>-0.23</v>
      </c>
      <c r="AH17" s="15">
        <v>-0.23</v>
      </c>
      <c r="AI17" s="15">
        <v>-0.81100000000000005</v>
      </c>
      <c r="AJ17" s="15">
        <v>-1.2030000000000001</v>
      </c>
      <c r="AK17" s="15">
        <v>-1.2869999999999999</v>
      </c>
      <c r="AL17" s="15">
        <v>-1.788</v>
      </c>
      <c r="AM17" s="15">
        <v>-1.85</v>
      </c>
      <c r="AN17" s="15">
        <v>-1.85</v>
      </c>
      <c r="AO17" s="15">
        <v>-1.85</v>
      </c>
      <c r="AP17" s="15">
        <v>-1.85</v>
      </c>
      <c r="AQ17" s="15">
        <v>-1.85</v>
      </c>
      <c r="AR17" s="15">
        <v>-1.85</v>
      </c>
      <c r="AS17" s="15">
        <v>-1.2030000000000001</v>
      </c>
      <c r="AT17" s="15">
        <v>-0.75</v>
      </c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5:56">
      <c r="E18">
        <v>24</v>
      </c>
      <c r="F18" t="s">
        <v>28</v>
      </c>
      <c r="H18" s="14" t="s">
        <v>40</v>
      </c>
      <c r="I18" s="14" t="s">
        <v>41</v>
      </c>
      <c r="J18" s="14" t="s">
        <v>40</v>
      </c>
      <c r="K18" s="13">
        <v>0.214</v>
      </c>
      <c r="L18" s="13">
        <v>1.46</v>
      </c>
      <c r="M18" s="13">
        <v>0.32500000000000001</v>
      </c>
      <c r="N18" s="13">
        <v>3.0630000000000002</v>
      </c>
      <c r="O18" s="13">
        <v>1.53</v>
      </c>
      <c r="P18" s="13">
        <v>1</v>
      </c>
      <c r="Q18" s="13">
        <v>0.5</v>
      </c>
      <c r="R18" s="13">
        <v>0.5</v>
      </c>
      <c r="S18" s="13">
        <v>0.5</v>
      </c>
      <c r="T18" s="15">
        <v>5.0460000000000003</v>
      </c>
      <c r="U18" s="15">
        <v>3.532</v>
      </c>
      <c r="V18" s="15">
        <v>0</v>
      </c>
      <c r="W18" s="15">
        <v>0.16750000000000001</v>
      </c>
      <c r="X18" s="15">
        <v>0.16750000000000001</v>
      </c>
      <c r="Y18" s="15">
        <v>0.16750000000000001</v>
      </c>
      <c r="Z18" s="15">
        <v>0.23</v>
      </c>
      <c r="AA18" s="15">
        <v>0.23</v>
      </c>
      <c r="AB18" s="15">
        <v>0.23</v>
      </c>
      <c r="AC18" s="15">
        <v>0.23</v>
      </c>
      <c r="AD18" s="15">
        <v>0.23</v>
      </c>
      <c r="AE18" s="15">
        <v>0.23</v>
      </c>
      <c r="AF18" s="15">
        <v>0.23</v>
      </c>
      <c r="AG18" s="15">
        <v>0.23</v>
      </c>
      <c r="AH18" s="15">
        <v>0.23</v>
      </c>
      <c r="AI18" s="15">
        <v>-0.81100000000000005</v>
      </c>
      <c r="AJ18" s="15">
        <v>-1.2030000000000001</v>
      </c>
      <c r="AK18" s="15">
        <v>-1.2869999999999999</v>
      </c>
      <c r="AL18" s="15">
        <v>-1.788</v>
      </c>
      <c r="AM18" s="15">
        <v>-1.85</v>
      </c>
      <c r="AN18" s="15">
        <v>-1.85</v>
      </c>
      <c r="AO18" s="15">
        <v>-1.85</v>
      </c>
      <c r="AP18" s="15">
        <v>-1.85</v>
      </c>
      <c r="AQ18" s="15">
        <v>-1.85</v>
      </c>
      <c r="AR18" s="15">
        <v>-1.85</v>
      </c>
      <c r="AS18" s="15">
        <v>-1.2030000000000001</v>
      </c>
      <c r="AT18" s="15">
        <v>-0.75</v>
      </c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5:56">
      <c r="E19">
        <v>31</v>
      </c>
      <c r="F19" t="s">
        <v>29</v>
      </c>
      <c r="H19" s="14" t="s">
        <v>41</v>
      </c>
      <c r="I19" s="14" t="s">
        <v>40</v>
      </c>
      <c r="J19" s="14" t="s">
        <v>52</v>
      </c>
      <c r="K19" s="15">
        <v>0</v>
      </c>
      <c r="L19" s="15">
        <v>3.532</v>
      </c>
      <c r="M19" s="15">
        <v>5.0460000000000003</v>
      </c>
      <c r="N19" s="15">
        <v>0.5</v>
      </c>
      <c r="O19" s="15">
        <v>0.5</v>
      </c>
      <c r="P19" s="15">
        <v>0.5</v>
      </c>
      <c r="Q19" s="15">
        <v>1</v>
      </c>
      <c r="R19" s="15">
        <v>1.53</v>
      </c>
      <c r="S19" s="15">
        <v>3.0630000000000002</v>
      </c>
      <c r="T19" s="15">
        <v>0.32500000000000001</v>
      </c>
      <c r="U19" s="15">
        <v>1.46</v>
      </c>
      <c r="V19" s="15">
        <v>0.214</v>
      </c>
      <c r="W19" s="15">
        <v>-0.23</v>
      </c>
      <c r="X19" s="15">
        <v>-0.23</v>
      </c>
      <c r="Y19" s="15">
        <v>-0.23</v>
      </c>
      <c r="Z19" s="15">
        <v>-0.23</v>
      </c>
      <c r="AA19" s="15">
        <v>-0.23</v>
      </c>
      <c r="AB19" s="15">
        <v>-0.23</v>
      </c>
      <c r="AC19" s="15">
        <v>-0.23</v>
      </c>
      <c r="AD19" s="15">
        <v>-0.23</v>
      </c>
      <c r="AE19" s="15">
        <v>-0.23</v>
      </c>
      <c r="AF19" s="15">
        <v>-0.16750000000000001</v>
      </c>
      <c r="AG19" s="15">
        <v>-0.16750000000000001</v>
      </c>
      <c r="AH19" s="15">
        <v>-0.16750000000000001</v>
      </c>
      <c r="AI19" s="15">
        <v>-0.75</v>
      </c>
      <c r="AJ19" s="15">
        <v>-1.2030000000000001</v>
      </c>
      <c r="AK19" s="15">
        <v>-1.85</v>
      </c>
      <c r="AL19" s="15">
        <v>-1.85</v>
      </c>
      <c r="AM19" s="15">
        <v>-1.85</v>
      </c>
      <c r="AN19" s="15">
        <v>-1.85</v>
      </c>
      <c r="AO19" s="15">
        <v>-1.85</v>
      </c>
      <c r="AP19" s="15">
        <v>-1.85</v>
      </c>
      <c r="AQ19" s="15">
        <v>-1.788</v>
      </c>
      <c r="AR19" s="15">
        <v>-1.2869999999999999</v>
      </c>
      <c r="AS19" s="15">
        <v>-1.2030000000000001</v>
      </c>
      <c r="AT19" s="15">
        <v>-0.81100000000000005</v>
      </c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5:56">
      <c r="E20">
        <v>32</v>
      </c>
      <c r="F20" t="s">
        <v>30</v>
      </c>
      <c r="H20" s="14" t="s">
        <v>41</v>
      </c>
      <c r="I20" s="14" t="s">
        <v>40</v>
      </c>
      <c r="J20" s="14" t="s">
        <v>40</v>
      </c>
      <c r="K20" s="15">
        <v>0</v>
      </c>
      <c r="L20" s="15">
        <v>3.532</v>
      </c>
      <c r="M20" s="15">
        <v>5.0460000000000003</v>
      </c>
      <c r="N20" s="15">
        <v>0.5</v>
      </c>
      <c r="O20" s="15">
        <v>0.5</v>
      </c>
      <c r="P20" s="15">
        <v>0.5</v>
      </c>
      <c r="Q20" s="15">
        <v>1</v>
      </c>
      <c r="R20" s="15">
        <v>1.53</v>
      </c>
      <c r="S20" s="15">
        <v>3.0630000000000002</v>
      </c>
      <c r="T20" s="15">
        <v>0.32500000000000001</v>
      </c>
      <c r="U20" s="15">
        <v>1.46</v>
      </c>
      <c r="V20" s="15">
        <v>0.214</v>
      </c>
      <c r="W20" s="15">
        <v>0.23</v>
      </c>
      <c r="X20" s="15">
        <v>0.23</v>
      </c>
      <c r="Y20" s="15">
        <v>0.23</v>
      </c>
      <c r="Z20" s="15">
        <v>0.23</v>
      </c>
      <c r="AA20" s="15">
        <v>0.23</v>
      </c>
      <c r="AB20" s="15">
        <v>0.23</v>
      </c>
      <c r="AC20" s="15">
        <v>0.23</v>
      </c>
      <c r="AD20" s="15">
        <v>0.23</v>
      </c>
      <c r="AE20" s="15">
        <v>0.23</v>
      </c>
      <c r="AF20" s="15">
        <v>0.16750000000000001</v>
      </c>
      <c r="AG20" s="15">
        <v>0.16750000000000001</v>
      </c>
      <c r="AH20" s="15">
        <v>0.16750000000000001</v>
      </c>
      <c r="AI20" s="15">
        <v>-0.75</v>
      </c>
      <c r="AJ20" s="15">
        <v>-1.2030000000000001</v>
      </c>
      <c r="AK20" s="15">
        <v>-1.85</v>
      </c>
      <c r="AL20" s="15">
        <v>-1.85</v>
      </c>
      <c r="AM20" s="15">
        <v>-1.85</v>
      </c>
      <c r="AN20" s="15">
        <v>-1.85</v>
      </c>
      <c r="AO20" s="15">
        <v>-1.85</v>
      </c>
      <c r="AP20" s="15">
        <v>-1.85</v>
      </c>
      <c r="AQ20" s="15">
        <v>-1.788</v>
      </c>
      <c r="AR20" s="15">
        <v>-1.2869999999999999</v>
      </c>
      <c r="AS20" s="15">
        <v>-1.2030000000000001</v>
      </c>
      <c r="AT20" s="15">
        <v>-0.81100000000000005</v>
      </c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5:56">
      <c r="E21">
        <v>33</v>
      </c>
      <c r="F21" t="s">
        <v>31</v>
      </c>
      <c r="H21" s="14" t="s">
        <v>41</v>
      </c>
      <c r="I21" s="14" t="s">
        <v>41</v>
      </c>
      <c r="J21" s="14" t="s">
        <v>52</v>
      </c>
      <c r="K21" s="15">
        <v>0</v>
      </c>
      <c r="L21" s="15">
        <v>3.532</v>
      </c>
      <c r="M21" s="15">
        <v>5.0460000000000003</v>
      </c>
      <c r="N21" s="15">
        <v>0.5</v>
      </c>
      <c r="O21" s="15">
        <v>0.5</v>
      </c>
      <c r="P21" s="15">
        <v>0.5</v>
      </c>
      <c r="Q21" s="15">
        <v>0.5</v>
      </c>
      <c r="R21" s="15">
        <v>0.5</v>
      </c>
      <c r="S21" s="15">
        <v>0.5</v>
      </c>
      <c r="T21" s="15">
        <v>5.0460000000000003</v>
      </c>
      <c r="U21" s="15">
        <v>3.532</v>
      </c>
      <c r="V21" s="15">
        <v>0</v>
      </c>
      <c r="W21" s="15">
        <v>-0.23</v>
      </c>
      <c r="X21" s="15">
        <v>-0.23</v>
      </c>
      <c r="Y21" s="15">
        <v>-0.23</v>
      </c>
      <c r="Z21" s="15">
        <v>-0.23</v>
      </c>
      <c r="AA21" s="15">
        <v>-0.23</v>
      </c>
      <c r="AB21" s="15">
        <v>-0.23</v>
      </c>
      <c r="AC21" s="15">
        <v>-0.23</v>
      </c>
      <c r="AD21" s="15">
        <v>-0.23</v>
      </c>
      <c r="AE21" s="15">
        <v>-0.23</v>
      </c>
      <c r="AF21" s="15">
        <v>-0.23</v>
      </c>
      <c r="AG21" s="15">
        <v>-0.23</v>
      </c>
      <c r="AH21" s="15">
        <v>-0.23</v>
      </c>
      <c r="AI21" s="15">
        <v>-0.75</v>
      </c>
      <c r="AJ21" s="15">
        <v>-1.2030000000000001</v>
      </c>
      <c r="AK21" s="15">
        <v>-1.85</v>
      </c>
      <c r="AL21" s="15">
        <v>-1.85</v>
      </c>
      <c r="AM21" s="15">
        <v>-1.85</v>
      </c>
      <c r="AN21" s="15">
        <v>-1.85</v>
      </c>
      <c r="AO21" s="15">
        <v>-1.85</v>
      </c>
      <c r="AP21" s="15">
        <v>-1.85</v>
      </c>
      <c r="AQ21" s="15">
        <v>-1.85</v>
      </c>
      <c r="AR21" s="15">
        <v>-1.85</v>
      </c>
      <c r="AS21" s="15">
        <v>-1.2030000000000001</v>
      </c>
      <c r="AT21" s="15">
        <v>-0.75</v>
      </c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5:56">
      <c r="E22">
        <v>50</v>
      </c>
      <c r="F22" t="s">
        <v>146</v>
      </c>
      <c r="H22" s="14" t="s">
        <v>41</v>
      </c>
      <c r="I22" s="14" t="s">
        <v>41</v>
      </c>
      <c r="J22" s="14" t="s">
        <v>40</v>
      </c>
      <c r="K22" s="15">
        <v>0</v>
      </c>
      <c r="L22" s="15">
        <v>3.532</v>
      </c>
      <c r="M22" s="15">
        <v>5.0460000000000003</v>
      </c>
      <c r="N22" s="15">
        <v>0.5</v>
      </c>
      <c r="O22" s="15">
        <v>0.5</v>
      </c>
      <c r="P22" s="15">
        <v>0.5</v>
      </c>
      <c r="Q22" s="15">
        <v>0.5</v>
      </c>
      <c r="R22" s="15">
        <v>0.5</v>
      </c>
      <c r="S22" s="15">
        <v>0.5</v>
      </c>
      <c r="T22" s="15">
        <v>5.0460000000000003</v>
      </c>
      <c r="U22" s="15">
        <v>3.532</v>
      </c>
      <c r="V22" s="15">
        <v>0</v>
      </c>
      <c r="W22" s="15">
        <v>0.23</v>
      </c>
      <c r="X22" s="15">
        <v>0.23</v>
      </c>
      <c r="Y22" s="15">
        <v>0.23</v>
      </c>
      <c r="Z22" s="15">
        <v>0.23</v>
      </c>
      <c r="AA22" s="15">
        <v>0.23</v>
      </c>
      <c r="AB22" s="15">
        <v>0.23</v>
      </c>
      <c r="AC22" s="15">
        <v>0.23</v>
      </c>
      <c r="AD22" s="15">
        <v>0.23</v>
      </c>
      <c r="AE22" s="15">
        <v>0.23</v>
      </c>
      <c r="AF22" s="15">
        <v>0.23</v>
      </c>
      <c r="AG22" s="15">
        <v>0.23</v>
      </c>
      <c r="AH22" s="15">
        <v>0.23</v>
      </c>
      <c r="AI22" s="15">
        <v>-0.75</v>
      </c>
      <c r="AJ22" s="15">
        <v>-1.2030000000000001</v>
      </c>
      <c r="AK22" s="15">
        <v>-1.85</v>
      </c>
      <c r="AL22" s="15">
        <v>-1.85</v>
      </c>
      <c r="AM22" s="15">
        <v>-1.85</v>
      </c>
      <c r="AN22" s="15">
        <v>-1.85</v>
      </c>
      <c r="AO22" s="15">
        <v>-1.85</v>
      </c>
      <c r="AP22" s="15">
        <v>-1.85</v>
      </c>
      <c r="AQ22" s="15">
        <v>-1.85</v>
      </c>
      <c r="AR22" s="15">
        <v>-1.85</v>
      </c>
      <c r="AS22" s="15">
        <v>-1.2030000000000001</v>
      </c>
      <c r="AT22" s="15">
        <v>-0.75</v>
      </c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5:56">
      <c r="E23">
        <v>51</v>
      </c>
      <c r="F23" t="s">
        <v>32</v>
      </c>
      <c r="H23" s="14"/>
      <c r="I23" s="14"/>
      <c r="J23" s="14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1"/>
      <c r="AN23" s="11"/>
      <c r="AO23" s="11"/>
      <c r="AP23" s="11"/>
      <c r="AQ23" s="11"/>
      <c r="AR23" s="11"/>
      <c r="AS23" s="11"/>
      <c r="AT23" s="11"/>
    </row>
    <row r="24" spans="5:56">
      <c r="E24">
        <v>52</v>
      </c>
      <c r="F24" t="s">
        <v>33</v>
      </c>
      <c r="H24" s="14" t="s">
        <v>133</v>
      </c>
      <c r="I24" s="14"/>
      <c r="J24" s="1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1"/>
      <c r="AN24" s="11"/>
      <c r="AO24" s="11"/>
      <c r="AP24" s="11"/>
      <c r="AQ24" s="11"/>
      <c r="AR24" s="11"/>
      <c r="AS24" s="11"/>
      <c r="AT24" s="11"/>
    </row>
    <row r="25" spans="5:56">
      <c r="E25">
        <v>26</v>
      </c>
      <c r="F25" t="s">
        <v>147</v>
      </c>
      <c r="H25" s="12" t="s">
        <v>110</v>
      </c>
      <c r="I25" s="12" t="s">
        <v>111</v>
      </c>
      <c r="J25" s="12" t="s">
        <v>126</v>
      </c>
      <c r="K25" s="12" t="s">
        <v>100</v>
      </c>
      <c r="L25" s="12" t="s">
        <v>101</v>
      </c>
      <c r="M25" s="12" t="s">
        <v>102</v>
      </c>
      <c r="N25" s="12" t="s">
        <v>103</v>
      </c>
      <c r="O25" s="12" t="s">
        <v>104</v>
      </c>
      <c r="P25" s="12" t="s">
        <v>105</v>
      </c>
      <c r="Q25" s="12" t="s">
        <v>106</v>
      </c>
      <c r="R25" s="12" t="s">
        <v>107</v>
      </c>
      <c r="S25" s="12" t="s">
        <v>108</v>
      </c>
      <c r="T25" s="12" t="s">
        <v>109</v>
      </c>
      <c r="U25" s="12" t="s">
        <v>118</v>
      </c>
      <c r="V25" s="12" t="s">
        <v>119</v>
      </c>
      <c r="W25" s="12" t="s">
        <v>96</v>
      </c>
      <c r="X25" s="12" t="s">
        <v>97</v>
      </c>
      <c r="Y25" s="12" t="s">
        <v>98</v>
      </c>
      <c r="Z25" s="12" t="s">
        <v>99</v>
      </c>
      <c r="AA25" s="12" t="s">
        <v>112</v>
      </c>
      <c r="AB25" s="12" t="s">
        <v>113</v>
      </c>
      <c r="AC25" s="12" t="s">
        <v>114</v>
      </c>
      <c r="AD25" s="12" t="s">
        <v>115</v>
      </c>
      <c r="AE25" s="12" t="s">
        <v>116</v>
      </c>
      <c r="AF25" s="12" t="s">
        <v>117</v>
      </c>
      <c r="AG25" s="12" t="s">
        <v>120</v>
      </c>
      <c r="AH25" s="12" t="s">
        <v>121</v>
      </c>
      <c r="AI25" s="12" t="s">
        <v>86</v>
      </c>
      <c r="AJ25" s="12" t="s">
        <v>87</v>
      </c>
      <c r="AK25" s="12" t="s">
        <v>88</v>
      </c>
      <c r="AL25" s="12" t="s">
        <v>89</v>
      </c>
      <c r="AM25" s="12" t="s">
        <v>90</v>
      </c>
      <c r="AN25" s="12" t="s">
        <v>91</v>
      </c>
      <c r="AO25" s="12" t="s">
        <v>92</v>
      </c>
      <c r="AP25" s="12" t="s">
        <v>93</v>
      </c>
      <c r="AQ25" s="12" t="s">
        <v>94</v>
      </c>
      <c r="AR25" s="12" t="s">
        <v>95</v>
      </c>
      <c r="AS25" s="12" t="s">
        <v>122</v>
      </c>
      <c r="AT25" s="12" t="s">
        <v>123</v>
      </c>
    </row>
    <row r="26" spans="5:56">
      <c r="E26">
        <v>27</v>
      </c>
      <c r="F26" t="s">
        <v>149</v>
      </c>
      <c r="H26" s="14" t="s">
        <v>40</v>
      </c>
      <c r="I26" s="14" t="s">
        <v>41</v>
      </c>
      <c r="J26" s="14" t="s">
        <v>52</v>
      </c>
      <c r="K26" s="13">
        <v>0.35399999999999998</v>
      </c>
      <c r="L26" s="13">
        <v>1.645</v>
      </c>
      <c r="M26" s="13">
        <v>3.0710000000000002</v>
      </c>
      <c r="N26" s="13">
        <v>3.2959999999999998</v>
      </c>
      <c r="O26" s="13">
        <v>1</v>
      </c>
      <c r="P26" s="13">
        <v>1</v>
      </c>
      <c r="Q26" s="13">
        <v>1</v>
      </c>
      <c r="R26" s="13">
        <v>1</v>
      </c>
      <c r="S26" s="13">
        <v>1</v>
      </c>
      <c r="T26" s="13">
        <v>1</v>
      </c>
      <c r="U26" s="13">
        <v>1</v>
      </c>
      <c r="V26" s="13">
        <v>0</v>
      </c>
      <c r="W26" s="15">
        <v>-0.16750000000000001</v>
      </c>
      <c r="X26" s="15">
        <v>-0.16750000000000001</v>
      </c>
      <c r="Y26" s="15">
        <v>-0.16750000000000001</v>
      </c>
      <c r="Z26" s="15">
        <v>-0.105</v>
      </c>
      <c r="AA26" s="15">
        <v>-0.105</v>
      </c>
      <c r="AB26" s="15">
        <v>-0.105</v>
      </c>
      <c r="AC26" s="15">
        <v>-0.105</v>
      </c>
      <c r="AD26" s="15">
        <v>-0.105</v>
      </c>
      <c r="AE26" s="15">
        <v>-0.105</v>
      </c>
      <c r="AF26" s="15">
        <v>-0.105</v>
      </c>
      <c r="AG26" s="15">
        <v>-0.105</v>
      </c>
      <c r="AH26" s="15">
        <v>-0.105</v>
      </c>
      <c r="AI26" s="15">
        <v>-0.28999999999999998</v>
      </c>
      <c r="AJ26" s="15">
        <v>-0.73099999999999998</v>
      </c>
      <c r="AK26" s="15">
        <v>-0.66500000000000004</v>
      </c>
      <c r="AL26" s="15">
        <v>-0.16</v>
      </c>
      <c r="AM26" s="15">
        <v>-0.16</v>
      </c>
      <c r="AN26" s="15">
        <v>-0.16</v>
      </c>
      <c r="AO26" s="15">
        <v>-0.16</v>
      </c>
      <c r="AP26" s="15">
        <v>-0.16</v>
      </c>
      <c r="AQ26" s="15">
        <v>-0.16</v>
      </c>
      <c r="AR26" s="15">
        <v>-0.16</v>
      </c>
      <c r="AS26" s="15">
        <v>-0.16</v>
      </c>
      <c r="AT26" s="15">
        <v>-0.16</v>
      </c>
    </row>
    <row r="27" spans="5:56">
      <c r="E27">
        <v>28</v>
      </c>
      <c r="F27" t="s">
        <v>148</v>
      </c>
      <c r="H27" s="14" t="s">
        <v>40</v>
      </c>
      <c r="I27" s="14" t="s">
        <v>41</v>
      </c>
      <c r="J27" s="14" t="s">
        <v>40</v>
      </c>
      <c r="K27" s="13">
        <v>0.35399999999999998</v>
      </c>
      <c r="L27" s="13">
        <v>1.645</v>
      </c>
      <c r="M27" s="13">
        <v>3.0710000000000002</v>
      </c>
      <c r="N27" s="13">
        <v>3.2959999999999998</v>
      </c>
      <c r="O27" s="13">
        <v>1</v>
      </c>
      <c r="P27" s="13">
        <v>1</v>
      </c>
      <c r="Q27" s="13">
        <v>1</v>
      </c>
      <c r="R27" s="13">
        <v>1</v>
      </c>
      <c r="S27" s="13">
        <v>1</v>
      </c>
      <c r="T27" s="13">
        <v>1</v>
      </c>
      <c r="U27" s="13">
        <v>1</v>
      </c>
      <c r="V27" s="13">
        <v>0</v>
      </c>
      <c r="W27" s="15">
        <v>0.16750000000000001</v>
      </c>
      <c r="X27" s="15">
        <v>0.16750000000000001</v>
      </c>
      <c r="Y27" s="15">
        <v>0.16750000000000001</v>
      </c>
      <c r="Z27" s="15">
        <v>0.105</v>
      </c>
      <c r="AA27" s="15">
        <v>0.105</v>
      </c>
      <c r="AB27" s="15">
        <v>0.105</v>
      </c>
      <c r="AC27" s="15">
        <v>0.105</v>
      </c>
      <c r="AD27" s="15">
        <v>0.105</v>
      </c>
      <c r="AE27" s="15">
        <v>0.105</v>
      </c>
      <c r="AF27" s="15">
        <v>0.105</v>
      </c>
      <c r="AG27" s="15">
        <v>0.105</v>
      </c>
      <c r="AH27" s="15">
        <v>0.105</v>
      </c>
      <c r="AI27" s="15">
        <v>-0.28999999999999998</v>
      </c>
      <c r="AJ27" s="15">
        <v>-0.73099999999999998</v>
      </c>
      <c r="AK27" s="15">
        <v>-0.66500000000000004</v>
      </c>
      <c r="AL27" s="15">
        <v>-0.16</v>
      </c>
      <c r="AM27" s="15">
        <v>-0.16</v>
      </c>
      <c r="AN27" s="15">
        <v>-0.16</v>
      </c>
      <c r="AO27" s="15">
        <v>-0.16</v>
      </c>
      <c r="AP27" s="15">
        <v>-0.16</v>
      </c>
      <c r="AQ27" s="15">
        <v>-0.16</v>
      </c>
      <c r="AR27" s="15">
        <v>-0.16</v>
      </c>
      <c r="AS27" s="15">
        <v>-0.16</v>
      </c>
      <c r="AT27" s="15">
        <v>-0.16</v>
      </c>
    </row>
    <row r="28" spans="5:56">
      <c r="H28" s="14" t="s">
        <v>41</v>
      </c>
      <c r="I28" s="14" t="s">
        <v>40</v>
      </c>
      <c r="J28" s="14" t="s">
        <v>52</v>
      </c>
      <c r="K28" s="15">
        <v>0</v>
      </c>
      <c r="L28" s="15">
        <v>1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1</v>
      </c>
      <c r="S28" s="15">
        <v>3.2959999999999998</v>
      </c>
      <c r="T28" s="15">
        <v>3.0710000000000002</v>
      </c>
      <c r="U28" s="15">
        <v>1.645</v>
      </c>
      <c r="V28" s="15">
        <v>0.35399999999999998</v>
      </c>
      <c r="W28" s="15">
        <v>-0.105</v>
      </c>
      <c r="X28" s="15">
        <v>-0.105</v>
      </c>
      <c r="Y28" s="15">
        <v>-0.105</v>
      </c>
      <c r="Z28" s="15">
        <v>-0.105</v>
      </c>
      <c r="AA28" s="15">
        <v>-0.105</v>
      </c>
      <c r="AB28" s="15">
        <v>-0.105</v>
      </c>
      <c r="AC28" s="15">
        <v>-0.105</v>
      </c>
      <c r="AD28" s="15">
        <v>-0.105</v>
      </c>
      <c r="AE28" s="15">
        <v>-0.105</v>
      </c>
      <c r="AF28" s="15">
        <v>-0.16750000000000001</v>
      </c>
      <c r="AG28" s="15">
        <v>-0.16750000000000001</v>
      </c>
      <c r="AH28" s="15">
        <v>-0.16750000000000001</v>
      </c>
      <c r="AI28" s="15">
        <v>-0.16</v>
      </c>
      <c r="AJ28" s="15">
        <v>-0.16</v>
      </c>
      <c r="AK28" s="15">
        <v>-0.16</v>
      </c>
      <c r="AL28" s="15">
        <v>-0.16</v>
      </c>
      <c r="AM28" s="15">
        <v>-0.16</v>
      </c>
      <c r="AN28" s="15">
        <v>-0.16</v>
      </c>
      <c r="AO28" s="15">
        <v>-0.16</v>
      </c>
      <c r="AP28" s="15">
        <v>-0.16</v>
      </c>
      <c r="AQ28" s="15">
        <v>-0.16</v>
      </c>
      <c r="AR28" s="15">
        <v>-0.66500000000000004</v>
      </c>
      <c r="AS28" s="15">
        <v>-0.73099999999999998</v>
      </c>
      <c r="AT28" s="15">
        <v>-0.28999999999999998</v>
      </c>
    </row>
    <row r="29" spans="5:56">
      <c r="H29" s="14" t="s">
        <v>41</v>
      </c>
      <c r="I29" s="14" t="s">
        <v>40</v>
      </c>
      <c r="J29" s="14" t="s">
        <v>40</v>
      </c>
      <c r="K29" s="15">
        <v>0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15">
        <v>3.2959999999999998</v>
      </c>
      <c r="T29" s="15">
        <v>3.0710000000000002</v>
      </c>
      <c r="U29" s="15">
        <v>1.645</v>
      </c>
      <c r="V29" s="15">
        <v>0.35399999999999998</v>
      </c>
      <c r="W29" s="15">
        <v>0.105</v>
      </c>
      <c r="X29" s="15">
        <v>0.105</v>
      </c>
      <c r="Y29" s="15">
        <v>0.105</v>
      </c>
      <c r="Z29" s="15">
        <v>0.105</v>
      </c>
      <c r="AA29" s="15">
        <v>0.105</v>
      </c>
      <c r="AB29" s="15">
        <v>0.105</v>
      </c>
      <c r="AC29" s="15">
        <v>0.105</v>
      </c>
      <c r="AD29" s="15">
        <v>0.105</v>
      </c>
      <c r="AE29" s="15">
        <v>0.105</v>
      </c>
      <c r="AF29" s="15">
        <v>0.16750000000000001</v>
      </c>
      <c r="AG29" s="15">
        <v>0.16750000000000001</v>
      </c>
      <c r="AH29" s="15">
        <v>0.16750000000000001</v>
      </c>
      <c r="AI29" s="15">
        <v>-0.16</v>
      </c>
      <c r="AJ29" s="15">
        <v>-0.16</v>
      </c>
      <c r="AK29" s="15">
        <v>-0.16</v>
      </c>
      <c r="AL29" s="15">
        <v>-0.16</v>
      </c>
      <c r="AM29" s="15">
        <v>-0.16</v>
      </c>
      <c r="AN29" s="15">
        <v>-0.16</v>
      </c>
      <c r="AO29" s="15">
        <v>-0.16</v>
      </c>
      <c r="AP29" s="15">
        <v>-0.16</v>
      </c>
      <c r="AQ29" s="15">
        <v>-0.16</v>
      </c>
      <c r="AR29" s="15">
        <v>-0.66500000000000004</v>
      </c>
      <c r="AS29" s="15">
        <v>-0.73099999999999998</v>
      </c>
      <c r="AT29" s="15">
        <v>-0.28999999999999998</v>
      </c>
    </row>
    <row r="30" spans="5:56">
      <c r="H30" s="14" t="s">
        <v>41</v>
      </c>
      <c r="I30" s="14" t="s">
        <v>41</v>
      </c>
      <c r="J30" s="14" t="s">
        <v>52</v>
      </c>
      <c r="K30" s="15">
        <v>0</v>
      </c>
      <c r="L30" s="15">
        <v>1</v>
      </c>
      <c r="M30" s="15">
        <v>1</v>
      </c>
      <c r="N30" s="15">
        <v>1</v>
      </c>
      <c r="O30" s="15">
        <v>1</v>
      </c>
      <c r="P30" s="15">
        <v>1</v>
      </c>
      <c r="Q30" s="15">
        <v>1</v>
      </c>
      <c r="R30" s="15">
        <v>1</v>
      </c>
      <c r="S30" s="15">
        <v>1</v>
      </c>
      <c r="T30" s="15">
        <v>1</v>
      </c>
      <c r="U30" s="15">
        <v>1</v>
      </c>
      <c r="V30" s="15">
        <v>0</v>
      </c>
      <c r="W30" s="15">
        <v>-0.105</v>
      </c>
      <c r="X30" s="15">
        <v>-0.105</v>
      </c>
      <c r="Y30" s="15">
        <v>-0.105</v>
      </c>
      <c r="Z30" s="15">
        <v>-0.105</v>
      </c>
      <c r="AA30" s="15">
        <v>-0.105</v>
      </c>
      <c r="AB30" s="15">
        <v>-0.105</v>
      </c>
      <c r="AC30" s="15">
        <v>-0.105</v>
      </c>
      <c r="AD30" s="15">
        <v>-0.105</v>
      </c>
      <c r="AE30" s="15">
        <v>-0.105</v>
      </c>
      <c r="AF30" s="15">
        <v>-0.105</v>
      </c>
      <c r="AG30" s="15">
        <v>-0.105</v>
      </c>
      <c r="AH30" s="15">
        <v>-0.105</v>
      </c>
      <c r="AI30" s="15">
        <v>-0.16</v>
      </c>
      <c r="AJ30" s="15">
        <v>-0.16</v>
      </c>
      <c r="AK30" s="15">
        <v>-0.16</v>
      </c>
      <c r="AL30" s="15">
        <v>-0.16</v>
      </c>
      <c r="AM30" s="15">
        <v>-0.16</v>
      </c>
      <c r="AN30" s="15">
        <v>-0.16</v>
      </c>
      <c r="AO30" s="15">
        <v>-0.16</v>
      </c>
      <c r="AP30" s="15">
        <v>-0.16</v>
      </c>
      <c r="AQ30" s="15">
        <v>-0.16</v>
      </c>
      <c r="AR30" s="15">
        <v>-0.16</v>
      </c>
      <c r="AS30" s="15">
        <v>-0.16</v>
      </c>
      <c r="AT30" s="15">
        <v>-0.16</v>
      </c>
    </row>
    <row r="31" spans="5:56">
      <c r="H31" s="14" t="s">
        <v>41</v>
      </c>
      <c r="I31" s="14" t="s">
        <v>41</v>
      </c>
      <c r="J31" s="14" t="s">
        <v>40</v>
      </c>
      <c r="K31" s="15">
        <v>0</v>
      </c>
      <c r="L31" s="15">
        <v>1</v>
      </c>
      <c r="M31" s="15">
        <v>1</v>
      </c>
      <c r="N31" s="15">
        <v>1</v>
      </c>
      <c r="O31" s="15">
        <v>1</v>
      </c>
      <c r="P31" s="15">
        <v>1</v>
      </c>
      <c r="Q31" s="15">
        <v>1</v>
      </c>
      <c r="R31" s="15">
        <v>1</v>
      </c>
      <c r="S31" s="15">
        <v>1</v>
      </c>
      <c r="T31" s="15">
        <v>1</v>
      </c>
      <c r="U31" s="15">
        <v>1</v>
      </c>
      <c r="V31" s="15">
        <v>0</v>
      </c>
      <c r="W31" s="15">
        <v>0.105</v>
      </c>
      <c r="X31" s="15">
        <v>0.105</v>
      </c>
      <c r="Y31" s="15">
        <v>0.105</v>
      </c>
      <c r="Z31" s="15">
        <v>0.105</v>
      </c>
      <c r="AA31" s="15">
        <v>0.105</v>
      </c>
      <c r="AB31" s="15">
        <v>0.105</v>
      </c>
      <c r="AC31" s="15">
        <v>0.105</v>
      </c>
      <c r="AD31" s="15">
        <v>0.105</v>
      </c>
      <c r="AE31" s="15">
        <v>0.105</v>
      </c>
      <c r="AF31" s="15">
        <v>0.105</v>
      </c>
      <c r="AG31" s="15">
        <v>0.105</v>
      </c>
      <c r="AH31" s="15">
        <v>0.105</v>
      </c>
      <c r="AI31" s="15">
        <v>-0.16</v>
      </c>
      <c r="AJ31" s="15">
        <v>-0.16</v>
      </c>
      <c r="AK31" s="15">
        <v>-0.16</v>
      </c>
      <c r="AL31" s="15">
        <v>-0.16</v>
      </c>
      <c r="AM31" s="15">
        <v>-0.16</v>
      </c>
      <c r="AN31" s="15">
        <v>-0.16</v>
      </c>
      <c r="AO31" s="15">
        <v>-0.16</v>
      </c>
      <c r="AP31" s="15">
        <v>-0.16</v>
      </c>
      <c r="AQ31" s="15">
        <v>-0.16</v>
      </c>
      <c r="AR31" s="15">
        <v>-0.16</v>
      </c>
      <c r="AS31" s="15">
        <v>-0.16</v>
      </c>
      <c r="AT31" s="15">
        <v>-0.16</v>
      </c>
    </row>
  </sheetData>
  <phoneticPr fontId="1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1EDF-A1A3-42EB-8383-1CF6EA646321}">
  <dimension ref="B3:M177"/>
  <sheetViews>
    <sheetView topLeftCell="A136" workbookViewId="0">
      <selection activeCell="G144" sqref="G144:G177"/>
    </sheetView>
  </sheetViews>
  <sheetFormatPr defaultRowHeight="11.25"/>
  <sheetData>
    <row r="3" spans="2:13">
      <c r="B3" t="s">
        <v>186</v>
      </c>
      <c r="C3" t="s">
        <v>187</v>
      </c>
      <c r="D3" t="s">
        <v>188</v>
      </c>
    </row>
    <row r="4" spans="2:13">
      <c r="B4">
        <v>-0.70850000000000002</v>
      </c>
      <c r="C4">
        <v>-4.3E-3</v>
      </c>
      <c r="D4">
        <f>SQRT(B4^2+C4^2)</f>
        <v>0.70851304857426589</v>
      </c>
      <c r="E4">
        <v>-0.75</v>
      </c>
      <c r="F4">
        <v>0</v>
      </c>
      <c r="G4">
        <v>-2.7199999999999998E-2</v>
      </c>
      <c r="H4">
        <f>SQRT(E4^2+F4^2)</f>
        <v>0.75</v>
      </c>
      <c r="J4" s="41" t="s">
        <v>189</v>
      </c>
      <c r="K4">
        <f t="shared" ref="K4:M5" si="0">E4*$D4/ABS($H4)</f>
        <v>-0.70851304857426589</v>
      </c>
      <c r="L4">
        <f t="shared" si="0"/>
        <v>0</v>
      </c>
      <c r="M4">
        <f t="shared" si="0"/>
        <v>-2.5695406561626707E-2</v>
      </c>
    </row>
    <row r="5" spans="2:13">
      <c r="B5">
        <v>-0.74965000000000004</v>
      </c>
      <c r="C5">
        <v>2.0250000000000001E-2</v>
      </c>
      <c r="D5">
        <f>SQRT(B5^2+C5^2)</f>
        <v>0.74992345276034678</v>
      </c>
      <c r="E5">
        <v>-0.39860000000000001</v>
      </c>
      <c r="F5">
        <v>-1.3899999999999999E-2</v>
      </c>
      <c r="G5">
        <v>-1.4500000000000001E-2</v>
      </c>
      <c r="H5">
        <f>SQRT(E5^2+F5^2)</f>
        <v>0.39884228712612713</v>
      </c>
      <c r="J5" s="41" t="s">
        <v>189</v>
      </c>
      <c r="K5">
        <f t="shared" si="0"/>
        <v>-0.7494678922441993</v>
      </c>
      <c r="L5">
        <f t="shared" si="0"/>
        <v>-2.6135483447552357E-2</v>
      </c>
      <c r="M5">
        <f t="shared" si="0"/>
        <v>-2.7263633812194907E-2</v>
      </c>
    </row>
    <row r="9" spans="2:13">
      <c r="C9">
        <v>7.2999999999999995E-2</v>
      </c>
      <c r="D9">
        <v>0</v>
      </c>
      <c r="E9">
        <v>-1.4</v>
      </c>
    </row>
    <row r="10" spans="2:13">
      <c r="C10">
        <v>1.591</v>
      </c>
      <c r="D10">
        <v>0</v>
      </c>
      <c r="E10">
        <v>-1.6679999999999999</v>
      </c>
    </row>
    <row r="11" spans="2:13">
      <c r="C11">
        <v>3.6749999999999998</v>
      </c>
      <c r="D11">
        <v>0</v>
      </c>
      <c r="E11">
        <v>-1.85</v>
      </c>
    </row>
    <row r="12" spans="2:13">
      <c r="C12">
        <v>6.5910000000000002</v>
      </c>
      <c r="D12">
        <v>0</v>
      </c>
      <c r="E12">
        <v>-1.85</v>
      </c>
    </row>
    <row r="13" spans="2:13">
      <c r="C13">
        <v>7.5910000000000002</v>
      </c>
      <c r="D13">
        <v>0</v>
      </c>
      <c r="E13">
        <v>-1.85</v>
      </c>
    </row>
    <row r="14" spans="2:13">
      <c r="C14">
        <v>8.0909999999999993</v>
      </c>
      <c r="D14">
        <v>0</v>
      </c>
      <c r="E14">
        <v>-1.85</v>
      </c>
    </row>
    <row r="15" spans="2:13">
      <c r="C15">
        <v>15.218999999999999</v>
      </c>
      <c r="D15">
        <v>0</v>
      </c>
      <c r="E15">
        <v>-1.85</v>
      </c>
      <c r="G15">
        <f>C15-$D$4</f>
        <v>14.510486951425733</v>
      </c>
      <c r="H15">
        <f>C15+$D$4</f>
        <v>15.927513048574266</v>
      </c>
    </row>
    <row r="16" spans="2:13">
      <c r="C16">
        <v>15.718999999999999</v>
      </c>
      <c r="D16">
        <v>0</v>
      </c>
      <c r="E16">
        <v>-1.85</v>
      </c>
      <c r="G16">
        <f t="shared" ref="G16:G20" si="1">C16-$D$4</f>
        <v>15.010486951425733</v>
      </c>
      <c r="H16">
        <f t="shared" ref="H16:H20" si="2">C16+$D$4</f>
        <v>16.427513048574266</v>
      </c>
    </row>
    <row r="17" spans="3:8">
      <c r="C17">
        <v>16.719000000000001</v>
      </c>
      <c r="D17">
        <v>0</v>
      </c>
      <c r="E17">
        <v>-1.85</v>
      </c>
      <c r="G17">
        <f t="shared" si="1"/>
        <v>16.010486951425737</v>
      </c>
      <c r="H17">
        <f t="shared" si="2"/>
        <v>17.427513048574266</v>
      </c>
    </row>
    <row r="18" spans="3:8">
      <c r="C18">
        <v>20.734999999999999</v>
      </c>
      <c r="D18">
        <v>0</v>
      </c>
      <c r="E18">
        <v>-1.85</v>
      </c>
      <c r="G18">
        <f t="shared" si="1"/>
        <v>20.026486951425735</v>
      </c>
      <c r="H18">
        <f t="shared" si="2"/>
        <v>21.443513048574264</v>
      </c>
    </row>
    <row r="19" spans="3:8">
      <c r="C19">
        <v>22.789000000000001</v>
      </c>
      <c r="D19">
        <v>0</v>
      </c>
      <c r="E19">
        <v>-1.6679999999999999</v>
      </c>
      <c r="G19">
        <f t="shared" si="1"/>
        <v>22.080486951425737</v>
      </c>
      <c r="H19">
        <f t="shared" si="2"/>
        <v>23.497513048574266</v>
      </c>
    </row>
    <row r="20" spans="3:8">
      <c r="C20">
        <v>24.431999999999999</v>
      </c>
      <c r="D20">
        <v>0</v>
      </c>
      <c r="E20">
        <v>-1.3779999999999999</v>
      </c>
      <c r="G20">
        <f t="shared" si="1"/>
        <v>23.723486951425734</v>
      </c>
      <c r="H20">
        <f t="shared" si="2"/>
        <v>25.140513048574263</v>
      </c>
    </row>
    <row r="22" spans="3:8">
      <c r="C22">
        <v>8.5000000000000006E-2</v>
      </c>
      <c r="D22">
        <v>0</v>
      </c>
      <c r="E22">
        <v>-1.3779999999999999</v>
      </c>
    </row>
    <row r="23" spans="3:8">
      <c r="C23">
        <v>1.728</v>
      </c>
      <c r="D23">
        <v>0</v>
      </c>
      <c r="E23">
        <v>-1.6679999999999999</v>
      </c>
    </row>
    <row r="24" spans="3:8">
      <c r="C24">
        <v>3.782</v>
      </c>
      <c r="D24">
        <v>0</v>
      </c>
      <c r="E24">
        <v>-1.85</v>
      </c>
    </row>
    <row r="25" spans="3:8">
      <c r="C25">
        <v>7.798</v>
      </c>
      <c r="D25">
        <v>0</v>
      </c>
      <c r="E25">
        <v>-1.85</v>
      </c>
    </row>
    <row r="26" spans="3:8">
      <c r="C26">
        <v>8.798</v>
      </c>
      <c r="D26">
        <v>0</v>
      </c>
      <c r="E26">
        <v>-1.85</v>
      </c>
    </row>
    <row r="27" spans="3:8">
      <c r="C27">
        <v>9.298</v>
      </c>
      <c r="D27">
        <v>0</v>
      </c>
      <c r="E27">
        <v>-1.85</v>
      </c>
    </row>
    <row r="28" spans="3:8">
      <c r="C28">
        <v>15.373900000000001</v>
      </c>
      <c r="D28">
        <v>0</v>
      </c>
      <c r="E28">
        <v>-1.85</v>
      </c>
      <c r="G28">
        <f>C28-$D$5</f>
        <v>14.623976547239653</v>
      </c>
      <c r="H28">
        <f>C28+$D$5</f>
        <v>16.123823452760348</v>
      </c>
    </row>
    <row r="29" spans="3:8">
      <c r="C29">
        <v>15.873900000000001</v>
      </c>
      <c r="D29">
        <v>0</v>
      </c>
      <c r="E29">
        <v>-1.85</v>
      </c>
      <c r="G29">
        <f t="shared" ref="G29:G33" si="3">C29-$D$5</f>
        <v>15.123976547239653</v>
      </c>
      <c r="H29">
        <f t="shared" ref="H29:H33" si="4">C29+$D$5</f>
        <v>16.623823452760348</v>
      </c>
    </row>
    <row r="30" spans="3:8">
      <c r="C30">
        <v>16.873899999999999</v>
      </c>
      <c r="D30">
        <v>0</v>
      </c>
      <c r="E30">
        <v>-1.85</v>
      </c>
      <c r="G30">
        <f t="shared" si="3"/>
        <v>16.123976547239653</v>
      </c>
      <c r="H30">
        <f t="shared" si="4"/>
        <v>17.623823452760345</v>
      </c>
    </row>
    <row r="31" spans="3:8">
      <c r="C31">
        <v>19.789899999999999</v>
      </c>
      <c r="D31">
        <v>0</v>
      </c>
      <c r="E31">
        <v>-1.85</v>
      </c>
      <c r="G31">
        <f t="shared" si="3"/>
        <v>19.039976547239654</v>
      </c>
      <c r="H31">
        <f t="shared" si="4"/>
        <v>20.539823452760345</v>
      </c>
    </row>
    <row r="32" spans="3:8">
      <c r="C32">
        <v>21.873899999999999</v>
      </c>
      <c r="D32">
        <v>0</v>
      </c>
      <c r="E32">
        <v>-1.6679999999999999</v>
      </c>
      <c r="G32">
        <f t="shared" si="3"/>
        <v>21.123976547239653</v>
      </c>
      <c r="H32">
        <f t="shared" si="4"/>
        <v>22.623823452760345</v>
      </c>
    </row>
    <row r="33" spans="3:8">
      <c r="C33">
        <v>23.3919</v>
      </c>
      <c r="D33">
        <v>0</v>
      </c>
      <c r="E33">
        <v>-1.4</v>
      </c>
      <c r="G33">
        <f t="shared" si="3"/>
        <v>22.641976547239654</v>
      </c>
      <c r="H33">
        <f t="shared" si="4"/>
        <v>24.141823452760345</v>
      </c>
    </row>
    <row r="36" spans="3:8">
      <c r="C36">
        <v>0.214</v>
      </c>
      <c r="D36">
        <v>0.16750000000000001</v>
      </c>
      <c r="E36">
        <v>-0.81100000000000005</v>
      </c>
      <c r="G36">
        <f>C36</f>
        <v>0.214</v>
      </c>
      <c r="H36">
        <f>G36</f>
        <v>0.214</v>
      </c>
    </row>
    <row r="37" spans="3:8">
      <c r="C37">
        <v>1.6739999999999999</v>
      </c>
      <c r="D37">
        <v>0.16750000000000001</v>
      </c>
      <c r="E37">
        <v>-1.2030000000000001</v>
      </c>
      <c r="G37">
        <f t="shared" ref="G37:G42" si="5">C37</f>
        <v>1.6739999999999999</v>
      </c>
      <c r="H37">
        <f t="shared" ref="H37:H42" si="6">G37</f>
        <v>1.6739999999999999</v>
      </c>
    </row>
    <row r="38" spans="3:8">
      <c r="C38">
        <v>1.9990000000000001</v>
      </c>
      <c r="D38">
        <v>0.16750000000000001</v>
      </c>
      <c r="E38">
        <v>-1.2869999999999999</v>
      </c>
      <c r="G38">
        <f t="shared" si="5"/>
        <v>1.9990000000000001</v>
      </c>
      <c r="H38">
        <f t="shared" si="6"/>
        <v>1.9990000000000001</v>
      </c>
    </row>
    <row r="39" spans="3:8">
      <c r="C39">
        <v>5.0620000000000003</v>
      </c>
      <c r="D39">
        <v>0.23</v>
      </c>
      <c r="E39">
        <v>-1.788</v>
      </c>
      <c r="G39">
        <f t="shared" si="5"/>
        <v>5.0620000000000003</v>
      </c>
      <c r="H39">
        <f t="shared" si="6"/>
        <v>5.0620000000000003</v>
      </c>
    </row>
    <row r="40" spans="3:8">
      <c r="C40">
        <v>6.5919999999999996</v>
      </c>
      <c r="D40">
        <v>0.23</v>
      </c>
      <c r="E40">
        <v>-1.85</v>
      </c>
      <c r="G40">
        <f t="shared" si="5"/>
        <v>6.5919999999999996</v>
      </c>
      <c r="H40">
        <f t="shared" si="6"/>
        <v>6.5919999999999996</v>
      </c>
    </row>
    <row r="41" spans="3:8">
      <c r="C41">
        <v>7.5919999999999996</v>
      </c>
      <c r="D41">
        <v>0.23</v>
      </c>
      <c r="E41">
        <v>-1.85</v>
      </c>
      <c r="G41">
        <f t="shared" si="5"/>
        <v>7.5919999999999996</v>
      </c>
      <c r="H41">
        <f t="shared" si="6"/>
        <v>7.5919999999999996</v>
      </c>
    </row>
    <row r="42" spans="3:8">
      <c r="C42">
        <v>15.189</v>
      </c>
      <c r="D42">
        <v>0.23</v>
      </c>
      <c r="E42">
        <v>-1.85</v>
      </c>
      <c r="G42">
        <f t="shared" si="5"/>
        <v>15.189</v>
      </c>
      <c r="H42">
        <f t="shared" si="6"/>
        <v>15.189</v>
      </c>
    </row>
    <row r="43" spans="3:8">
      <c r="C43">
        <v>15.689</v>
      </c>
      <c r="D43">
        <v>0.23</v>
      </c>
      <c r="E43">
        <v>-1.85</v>
      </c>
      <c r="G43">
        <f>C43-$D$4</f>
        <v>14.980486951425734</v>
      </c>
      <c r="H43">
        <f t="shared" ref="H43:H52" si="7">C43+$D$4</f>
        <v>16.397513048574265</v>
      </c>
    </row>
    <row r="44" spans="3:8">
      <c r="C44">
        <v>16.189</v>
      </c>
      <c r="D44">
        <v>0.23</v>
      </c>
      <c r="E44">
        <v>-1.85</v>
      </c>
      <c r="G44">
        <f t="shared" ref="G44:G52" si="8">C44-$D$4</f>
        <v>15.480486951425734</v>
      </c>
      <c r="H44">
        <f t="shared" si="7"/>
        <v>16.897513048574265</v>
      </c>
    </row>
    <row r="45" spans="3:8">
      <c r="C45">
        <v>16.689</v>
      </c>
      <c r="D45">
        <v>0.23</v>
      </c>
      <c r="E45">
        <v>-1.85</v>
      </c>
      <c r="G45">
        <f t="shared" si="8"/>
        <v>15.980486951425734</v>
      </c>
      <c r="H45">
        <f t="shared" si="7"/>
        <v>17.397513048574265</v>
      </c>
    </row>
    <row r="46" spans="3:8">
      <c r="C46">
        <v>21.734999999999999</v>
      </c>
      <c r="D46">
        <v>0.23</v>
      </c>
      <c r="E46">
        <v>-1.2030000000000001</v>
      </c>
      <c r="G46">
        <f t="shared" si="8"/>
        <v>21.026486951425735</v>
      </c>
      <c r="H46">
        <f t="shared" si="7"/>
        <v>22.443513048574264</v>
      </c>
    </row>
    <row r="47" spans="3:8">
      <c r="C47">
        <v>25.266999999999999</v>
      </c>
      <c r="D47">
        <v>0.23</v>
      </c>
      <c r="E47">
        <v>-0.75</v>
      </c>
      <c r="G47">
        <f t="shared" si="8"/>
        <v>24.558486951425735</v>
      </c>
      <c r="H47">
        <f t="shared" si="7"/>
        <v>25.975513048574264</v>
      </c>
    </row>
    <row r="48" spans="3:8">
      <c r="C48">
        <v>28.798999999999999</v>
      </c>
      <c r="D48">
        <v>0.23</v>
      </c>
      <c r="E48">
        <v>-1.2030000000000001</v>
      </c>
      <c r="G48">
        <f t="shared" si="8"/>
        <v>28.090486951425735</v>
      </c>
      <c r="H48">
        <f t="shared" si="7"/>
        <v>29.507513048574264</v>
      </c>
    </row>
    <row r="49" spans="3:8">
      <c r="C49">
        <v>33.844999999999999</v>
      </c>
      <c r="D49">
        <v>0.23</v>
      </c>
      <c r="E49">
        <v>-1.85</v>
      </c>
      <c r="G49">
        <f t="shared" si="8"/>
        <v>33.136486951425731</v>
      </c>
      <c r="H49">
        <f t="shared" si="7"/>
        <v>34.553513048574267</v>
      </c>
    </row>
    <row r="50" spans="3:8">
      <c r="C50">
        <v>34.344999999999999</v>
      </c>
      <c r="D50">
        <v>0.23</v>
      </c>
      <c r="E50">
        <v>-1.85</v>
      </c>
      <c r="G50">
        <f t="shared" si="8"/>
        <v>33.636486951425731</v>
      </c>
      <c r="H50">
        <f t="shared" si="7"/>
        <v>35.053513048574267</v>
      </c>
    </row>
    <row r="51" spans="3:8">
      <c r="C51">
        <v>34.844999999999999</v>
      </c>
      <c r="D51">
        <v>0.23</v>
      </c>
      <c r="E51">
        <v>-1.85</v>
      </c>
      <c r="G51">
        <f t="shared" si="8"/>
        <v>34.136486951425731</v>
      </c>
      <c r="H51">
        <f t="shared" si="7"/>
        <v>35.553513048574267</v>
      </c>
    </row>
    <row r="52" spans="3:8">
      <c r="C52">
        <v>35.344999999999999</v>
      </c>
      <c r="D52">
        <v>0.23</v>
      </c>
      <c r="E52">
        <v>-1.85</v>
      </c>
      <c r="G52">
        <f t="shared" si="8"/>
        <v>34.636486951425731</v>
      </c>
      <c r="H52">
        <f t="shared" si="7"/>
        <v>36.053513048574267</v>
      </c>
    </row>
    <row r="53" spans="3:8">
      <c r="C53">
        <v>41.1922</v>
      </c>
      <c r="D53">
        <v>0.23</v>
      </c>
      <c r="E53">
        <v>-1.85</v>
      </c>
      <c r="G53">
        <f t="shared" ref="G53:G63" si="9">C53</f>
        <v>41.1922</v>
      </c>
      <c r="H53">
        <f t="shared" ref="H53:H63" si="10">G53</f>
        <v>41.1922</v>
      </c>
    </row>
    <row r="54" spans="3:8">
      <c r="C54">
        <v>41.6922</v>
      </c>
      <c r="D54">
        <v>0.23</v>
      </c>
      <c r="E54">
        <v>-1.85</v>
      </c>
      <c r="G54">
        <f t="shared" si="9"/>
        <v>41.6922</v>
      </c>
      <c r="H54">
        <f t="shared" si="10"/>
        <v>41.6922</v>
      </c>
    </row>
    <row r="55" spans="3:8">
      <c r="C55">
        <v>42.1922</v>
      </c>
      <c r="D55">
        <v>0.23</v>
      </c>
      <c r="E55">
        <v>-1.85</v>
      </c>
      <c r="G55">
        <f t="shared" si="9"/>
        <v>42.1922</v>
      </c>
      <c r="H55">
        <f t="shared" si="10"/>
        <v>42.1922</v>
      </c>
    </row>
    <row r="56" spans="3:8">
      <c r="C56">
        <v>42.6922</v>
      </c>
      <c r="D56">
        <v>0.23</v>
      </c>
      <c r="E56">
        <v>-1.85</v>
      </c>
      <c r="G56">
        <f t="shared" si="9"/>
        <v>42.6922</v>
      </c>
      <c r="H56">
        <f t="shared" si="10"/>
        <v>42.6922</v>
      </c>
    </row>
    <row r="57" spans="3:8">
      <c r="C57">
        <v>47.738199999999999</v>
      </c>
      <c r="D57">
        <v>0.23</v>
      </c>
      <c r="E57">
        <v>-1.2030000000000001</v>
      </c>
      <c r="G57">
        <f t="shared" si="9"/>
        <v>47.738199999999999</v>
      </c>
      <c r="H57">
        <f t="shared" si="10"/>
        <v>47.738199999999999</v>
      </c>
    </row>
    <row r="58" spans="3:8">
      <c r="C58">
        <v>51.270200000000003</v>
      </c>
      <c r="D58">
        <v>0.23</v>
      </c>
      <c r="E58">
        <v>-0.75</v>
      </c>
      <c r="G58">
        <f t="shared" si="9"/>
        <v>51.270200000000003</v>
      </c>
      <c r="H58">
        <f t="shared" si="10"/>
        <v>51.270200000000003</v>
      </c>
    </row>
    <row r="59" spans="3:8">
      <c r="C59">
        <v>54.802199999999999</v>
      </c>
      <c r="D59">
        <v>0.23</v>
      </c>
      <c r="E59">
        <v>-1.2030000000000001</v>
      </c>
      <c r="G59">
        <f t="shared" si="9"/>
        <v>54.802199999999999</v>
      </c>
      <c r="H59">
        <f t="shared" si="10"/>
        <v>54.802199999999999</v>
      </c>
    </row>
    <row r="60" spans="3:8">
      <c r="C60">
        <v>59.848199999999999</v>
      </c>
      <c r="D60">
        <v>0.23</v>
      </c>
      <c r="E60">
        <v>-1.85</v>
      </c>
      <c r="G60">
        <f t="shared" si="9"/>
        <v>59.848199999999999</v>
      </c>
      <c r="H60">
        <f t="shared" si="10"/>
        <v>59.848199999999999</v>
      </c>
    </row>
    <row r="61" spans="3:8">
      <c r="C61">
        <v>60.348199999999999</v>
      </c>
      <c r="D61">
        <v>0.23</v>
      </c>
      <c r="E61">
        <v>-1.85</v>
      </c>
      <c r="G61">
        <f t="shared" si="9"/>
        <v>60.348199999999999</v>
      </c>
      <c r="H61">
        <f t="shared" si="10"/>
        <v>60.348199999999999</v>
      </c>
    </row>
    <row r="62" spans="3:8">
      <c r="C62">
        <v>60.848199999999999</v>
      </c>
      <c r="D62">
        <v>0.23</v>
      </c>
      <c r="E62">
        <v>-1.85</v>
      </c>
      <c r="G62">
        <f t="shared" si="9"/>
        <v>60.848199999999999</v>
      </c>
      <c r="H62">
        <f t="shared" si="10"/>
        <v>60.848199999999999</v>
      </c>
    </row>
    <row r="63" spans="3:8">
      <c r="C63">
        <v>61.348199999999999</v>
      </c>
      <c r="D63">
        <v>0.23</v>
      </c>
      <c r="E63">
        <v>-1.85</v>
      </c>
      <c r="G63">
        <f t="shared" si="9"/>
        <v>61.348199999999999</v>
      </c>
      <c r="H63">
        <f t="shared" si="10"/>
        <v>61.348199999999999</v>
      </c>
    </row>
    <row r="64" spans="3:8">
      <c r="C64">
        <v>67.893100000000004</v>
      </c>
      <c r="D64">
        <v>0.23</v>
      </c>
      <c r="E64">
        <v>-1.85</v>
      </c>
      <c r="G64">
        <f>C64-$D$5</f>
        <v>67.143176547239662</v>
      </c>
      <c r="H64">
        <f>C64+$D$5</f>
        <v>68.643023452760346</v>
      </c>
    </row>
    <row r="65" spans="3:8">
      <c r="C65">
        <v>68.893100000000004</v>
      </c>
      <c r="D65">
        <v>0.23</v>
      </c>
      <c r="E65">
        <v>-1.85</v>
      </c>
      <c r="G65">
        <f t="shared" ref="G65:G69" si="11">C65-$D$5</f>
        <v>68.143176547239662</v>
      </c>
      <c r="H65">
        <f t="shared" ref="H65:H69" si="12">C65+$D$5</f>
        <v>69.643023452760346</v>
      </c>
    </row>
    <row r="66" spans="3:8">
      <c r="C66">
        <v>70.423100000000005</v>
      </c>
      <c r="D66">
        <v>0.23</v>
      </c>
      <c r="E66">
        <v>-1.788</v>
      </c>
      <c r="G66">
        <f t="shared" si="11"/>
        <v>69.673176547239663</v>
      </c>
      <c r="H66">
        <f t="shared" si="12"/>
        <v>71.173023452760347</v>
      </c>
    </row>
    <row r="67" spans="3:8">
      <c r="C67">
        <v>73.486099999999993</v>
      </c>
      <c r="D67">
        <v>0.16750000000000001</v>
      </c>
      <c r="E67">
        <v>-1.2869999999999999</v>
      </c>
      <c r="G67">
        <f t="shared" si="11"/>
        <v>72.736176547239651</v>
      </c>
      <c r="H67">
        <f t="shared" si="12"/>
        <v>74.236023452760335</v>
      </c>
    </row>
    <row r="68" spans="3:8">
      <c r="C68">
        <v>73.811099999999996</v>
      </c>
      <c r="D68">
        <v>0.16750000000000001</v>
      </c>
      <c r="E68">
        <v>-1.2030000000000001</v>
      </c>
      <c r="G68">
        <f t="shared" si="11"/>
        <v>73.061176547239654</v>
      </c>
      <c r="H68">
        <f t="shared" si="12"/>
        <v>74.561023452760338</v>
      </c>
    </row>
    <row r="69" spans="3:8">
      <c r="C69">
        <v>75.271100000000004</v>
      </c>
      <c r="D69">
        <v>0.16750000000000001</v>
      </c>
      <c r="E69">
        <v>-0.81100000000000005</v>
      </c>
      <c r="G69">
        <f t="shared" si="11"/>
        <v>74.521176547239662</v>
      </c>
      <c r="H69">
        <f t="shared" si="12"/>
        <v>76.021023452760346</v>
      </c>
    </row>
    <row r="72" spans="3:8">
      <c r="C72">
        <v>0.214</v>
      </c>
      <c r="D72">
        <v>0.16750000000000001</v>
      </c>
      <c r="E72">
        <v>-0.81100000000000005</v>
      </c>
      <c r="G72">
        <f>C72</f>
        <v>0.214</v>
      </c>
      <c r="H72">
        <f>G72</f>
        <v>0.214</v>
      </c>
    </row>
    <row r="73" spans="3:8">
      <c r="C73">
        <v>1.6739999999999999</v>
      </c>
      <c r="D73">
        <v>0.16750000000000001</v>
      </c>
      <c r="E73">
        <v>-1.2030000000000001</v>
      </c>
      <c r="G73">
        <f t="shared" ref="G73:G77" si="13">C73</f>
        <v>1.6739999999999999</v>
      </c>
      <c r="H73">
        <f t="shared" ref="H73:H77" si="14">G73</f>
        <v>1.6739999999999999</v>
      </c>
    </row>
    <row r="74" spans="3:8">
      <c r="C74">
        <v>1.9990000000000001</v>
      </c>
      <c r="D74">
        <v>0.16750000000000001</v>
      </c>
      <c r="E74">
        <v>-1.2869999999999999</v>
      </c>
      <c r="G74">
        <f t="shared" si="13"/>
        <v>1.9990000000000001</v>
      </c>
      <c r="H74">
        <f t="shared" si="14"/>
        <v>1.9990000000000001</v>
      </c>
    </row>
    <row r="75" spans="3:8">
      <c r="C75">
        <v>5.0620000000000003</v>
      </c>
      <c r="D75">
        <v>0.23</v>
      </c>
      <c r="E75">
        <v>-1.788</v>
      </c>
      <c r="G75">
        <f t="shared" si="13"/>
        <v>5.0620000000000003</v>
      </c>
      <c r="H75">
        <f t="shared" si="14"/>
        <v>5.0620000000000003</v>
      </c>
    </row>
    <row r="76" spans="3:8">
      <c r="C76">
        <v>6.5919999999999996</v>
      </c>
      <c r="D76">
        <v>0.23</v>
      </c>
      <c r="E76">
        <v>-1.85</v>
      </c>
      <c r="G76">
        <f t="shared" si="13"/>
        <v>6.5919999999999996</v>
      </c>
      <c r="H76">
        <f t="shared" si="14"/>
        <v>6.5919999999999996</v>
      </c>
    </row>
    <row r="77" spans="3:8">
      <c r="C77">
        <v>7.5919999999999996</v>
      </c>
      <c r="D77">
        <v>0.23</v>
      </c>
      <c r="E77">
        <v>-1.85</v>
      </c>
      <c r="G77">
        <f t="shared" si="13"/>
        <v>7.5919999999999996</v>
      </c>
      <c r="H77">
        <f t="shared" si="14"/>
        <v>7.5919999999999996</v>
      </c>
    </row>
    <row r="78" spans="3:8">
      <c r="C78">
        <v>14.115600000000001</v>
      </c>
      <c r="D78">
        <v>0.23</v>
      </c>
      <c r="E78">
        <v>-1.85</v>
      </c>
      <c r="G78">
        <f>C78+$D$5</f>
        <v>14.865523452760348</v>
      </c>
      <c r="H78">
        <f>C78-$D$5</f>
        <v>13.365676547239653</v>
      </c>
    </row>
    <row r="79" spans="3:8">
      <c r="C79">
        <v>14.615600000000001</v>
      </c>
      <c r="D79">
        <v>0.23</v>
      </c>
      <c r="E79">
        <v>-1.85</v>
      </c>
      <c r="G79">
        <f t="shared" ref="G79:G105" si="15">C79+$D$5</f>
        <v>15.365523452760348</v>
      </c>
      <c r="H79">
        <f t="shared" ref="H79:H105" si="16">C79-$D$5</f>
        <v>13.865676547239653</v>
      </c>
    </row>
    <row r="80" spans="3:8">
      <c r="C80">
        <v>15.115600000000001</v>
      </c>
      <c r="D80">
        <v>0.23</v>
      </c>
      <c r="E80">
        <v>-1.85</v>
      </c>
      <c r="G80">
        <f t="shared" si="15"/>
        <v>15.865523452760348</v>
      </c>
      <c r="H80">
        <f t="shared" si="16"/>
        <v>14.365676547239653</v>
      </c>
    </row>
    <row r="81" spans="3:8">
      <c r="C81">
        <v>15.615600000000001</v>
      </c>
      <c r="D81">
        <v>0.23</v>
      </c>
      <c r="E81">
        <v>-1.85</v>
      </c>
      <c r="G81">
        <f t="shared" si="15"/>
        <v>16.365523452760346</v>
      </c>
      <c r="H81">
        <f t="shared" si="16"/>
        <v>14.865676547239653</v>
      </c>
    </row>
    <row r="82" spans="3:8">
      <c r="C82">
        <v>20.6616</v>
      </c>
      <c r="D82">
        <v>0.23</v>
      </c>
      <c r="E82">
        <v>-1.2030000000000001</v>
      </c>
      <c r="G82">
        <f t="shared" si="15"/>
        <v>21.411523452760346</v>
      </c>
      <c r="H82">
        <f t="shared" si="16"/>
        <v>19.911676547239654</v>
      </c>
    </row>
    <row r="83" spans="3:8">
      <c r="C83">
        <v>24.1936</v>
      </c>
      <c r="D83">
        <v>0.23</v>
      </c>
      <c r="E83">
        <v>-0.75</v>
      </c>
      <c r="G83">
        <f t="shared" si="15"/>
        <v>24.943523452760346</v>
      </c>
      <c r="H83">
        <f t="shared" si="16"/>
        <v>23.443676547239654</v>
      </c>
    </row>
    <row r="84" spans="3:8">
      <c r="C84">
        <v>27.7256</v>
      </c>
      <c r="D84">
        <v>0.23</v>
      </c>
      <c r="E84">
        <v>-1.2030000000000001</v>
      </c>
      <c r="G84">
        <f t="shared" si="15"/>
        <v>28.475523452760346</v>
      </c>
      <c r="H84">
        <f t="shared" si="16"/>
        <v>26.975676547239654</v>
      </c>
    </row>
    <row r="85" spans="3:8">
      <c r="C85">
        <v>32.771599999999999</v>
      </c>
      <c r="D85">
        <v>0.23</v>
      </c>
      <c r="E85">
        <v>-1.85</v>
      </c>
      <c r="G85">
        <f t="shared" si="15"/>
        <v>33.521523452760349</v>
      </c>
      <c r="H85">
        <f t="shared" si="16"/>
        <v>32.02167654723965</v>
      </c>
    </row>
    <row r="86" spans="3:8">
      <c r="C86">
        <v>33.271599999999999</v>
      </c>
      <c r="D86">
        <v>0.23</v>
      </c>
      <c r="E86">
        <v>-1.85</v>
      </c>
      <c r="G86">
        <f t="shared" si="15"/>
        <v>34.021523452760349</v>
      </c>
      <c r="H86">
        <f t="shared" si="16"/>
        <v>32.52167654723965</v>
      </c>
    </row>
    <row r="87" spans="3:8">
      <c r="C87">
        <v>33.771599999999999</v>
      </c>
      <c r="D87">
        <v>0.23</v>
      </c>
      <c r="E87">
        <v>-1.85</v>
      </c>
      <c r="G87">
        <f t="shared" si="15"/>
        <v>34.521523452760349</v>
      </c>
      <c r="H87">
        <f t="shared" si="16"/>
        <v>33.02167654723965</v>
      </c>
    </row>
    <row r="88" spans="3:8">
      <c r="C88">
        <v>34.271599999999999</v>
      </c>
      <c r="D88">
        <v>0.23</v>
      </c>
      <c r="E88">
        <v>-1.85</v>
      </c>
      <c r="G88">
        <f t="shared" si="15"/>
        <v>35.021523452760349</v>
      </c>
      <c r="H88">
        <f t="shared" si="16"/>
        <v>33.52167654723965</v>
      </c>
    </row>
    <row r="89" spans="3:8">
      <c r="C89">
        <v>39.078099999999999</v>
      </c>
      <c r="D89">
        <v>0.23</v>
      </c>
      <c r="E89">
        <v>-1.85</v>
      </c>
      <c r="G89">
        <f t="shared" si="15"/>
        <v>39.828023452760348</v>
      </c>
      <c r="H89">
        <f t="shared" si="16"/>
        <v>38.32817654723965</v>
      </c>
    </row>
    <row r="90" spans="3:8">
      <c r="C90">
        <v>39.578099999999999</v>
      </c>
      <c r="D90">
        <v>0.23</v>
      </c>
      <c r="E90">
        <v>-1.85</v>
      </c>
      <c r="G90">
        <f t="shared" si="15"/>
        <v>40.328023452760348</v>
      </c>
      <c r="H90">
        <f t="shared" si="16"/>
        <v>38.82817654723965</v>
      </c>
    </row>
    <row r="91" spans="3:8">
      <c r="C91">
        <v>40.078099999999999</v>
      </c>
      <c r="D91">
        <v>0.23</v>
      </c>
      <c r="E91">
        <v>-1.85</v>
      </c>
      <c r="G91">
        <f t="shared" si="15"/>
        <v>40.828023452760348</v>
      </c>
      <c r="H91">
        <f t="shared" si="16"/>
        <v>39.32817654723965</v>
      </c>
    </row>
    <row r="92" spans="3:8">
      <c r="C92">
        <v>40.578099999999999</v>
      </c>
      <c r="D92">
        <v>0.23</v>
      </c>
      <c r="E92">
        <v>-1.85</v>
      </c>
      <c r="G92">
        <f t="shared" si="15"/>
        <v>41.328023452760348</v>
      </c>
      <c r="H92">
        <f t="shared" si="16"/>
        <v>39.82817654723965</v>
      </c>
    </row>
    <row r="93" spans="3:8">
      <c r="C93">
        <v>45.624099999999999</v>
      </c>
      <c r="D93">
        <v>0.23</v>
      </c>
      <c r="E93">
        <v>-1.2030000000000001</v>
      </c>
      <c r="G93">
        <f t="shared" si="15"/>
        <v>46.374023452760348</v>
      </c>
      <c r="H93">
        <f t="shared" si="16"/>
        <v>44.874176547239649</v>
      </c>
    </row>
    <row r="94" spans="3:8">
      <c r="C94">
        <v>49.156100000000002</v>
      </c>
      <c r="D94">
        <v>0.23</v>
      </c>
      <c r="E94">
        <v>-0.75</v>
      </c>
      <c r="G94">
        <f t="shared" si="15"/>
        <v>49.906023452760351</v>
      </c>
      <c r="H94">
        <f t="shared" si="16"/>
        <v>48.406176547239653</v>
      </c>
    </row>
    <row r="95" spans="3:8">
      <c r="C95">
        <v>52.688099999999999</v>
      </c>
      <c r="D95">
        <v>0.23</v>
      </c>
      <c r="E95">
        <v>-1.2030000000000001</v>
      </c>
      <c r="G95">
        <f t="shared" si="15"/>
        <v>53.438023452760348</v>
      </c>
      <c r="H95">
        <f t="shared" si="16"/>
        <v>51.938176547239649</v>
      </c>
    </row>
    <row r="96" spans="3:8">
      <c r="C96">
        <v>57.734099999999998</v>
      </c>
      <c r="D96">
        <v>0.23</v>
      </c>
      <c r="E96">
        <v>-1.85</v>
      </c>
      <c r="G96">
        <f t="shared" si="15"/>
        <v>58.484023452760347</v>
      </c>
      <c r="H96">
        <f t="shared" si="16"/>
        <v>56.984176547239649</v>
      </c>
    </row>
    <row r="97" spans="3:8">
      <c r="C97">
        <v>58.234099999999998</v>
      </c>
      <c r="D97">
        <v>0.23</v>
      </c>
      <c r="E97">
        <v>-1.85</v>
      </c>
      <c r="G97">
        <f t="shared" si="15"/>
        <v>58.984023452760347</v>
      </c>
      <c r="H97">
        <f t="shared" si="16"/>
        <v>57.484176547239649</v>
      </c>
    </row>
    <row r="98" spans="3:8">
      <c r="C98">
        <v>58.734099999999998</v>
      </c>
      <c r="D98">
        <v>0.23</v>
      </c>
      <c r="E98">
        <v>-1.85</v>
      </c>
      <c r="G98">
        <f t="shared" si="15"/>
        <v>59.484023452760347</v>
      </c>
      <c r="H98">
        <f t="shared" si="16"/>
        <v>57.984176547239649</v>
      </c>
    </row>
    <row r="99" spans="3:8">
      <c r="C99">
        <v>59.234099999999998</v>
      </c>
      <c r="D99">
        <v>0.23</v>
      </c>
      <c r="E99">
        <v>-1.85</v>
      </c>
      <c r="G99">
        <f t="shared" si="15"/>
        <v>59.984023452760347</v>
      </c>
      <c r="H99">
        <f t="shared" si="16"/>
        <v>58.484176547239649</v>
      </c>
    </row>
    <row r="100" spans="3:8">
      <c r="C100">
        <v>65.803399999999996</v>
      </c>
      <c r="D100">
        <v>0.23</v>
      </c>
      <c r="E100">
        <v>-1.85</v>
      </c>
      <c r="G100">
        <f t="shared" si="15"/>
        <v>66.553323452760338</v>
      </c>
      <c r="H100">
        <f t="shared" si="16"/>
        <v>65.053476547239654</v>
      </c>
    </row>
    <row r="101" spans="3:8">
      <c r="C101">
        <v>66.803399999999996</v>
      </c>
      <c r="D101">
        <v>0.23</v>
      </c>
      <c r="E101">
        <v>-1.85</v>
      </c>
      <c r="G101">
        <f t="shared" si="15"/>
        <v>67.553323452760338</v>
      </c>
      <c r="H101">
        <f t="shared" si="16"/>
        <v>66.053476547239654</v>
      </c>
    </row>
    <row r="102" spans="3:8">
      <c r="C102">
        <v>68.333399999999997</v>
      </c>
      <c r="D102">
        <v>0.23</v>
      </c>
      <c r="E102">
        <v>-1.788</v>
      </c>
      <c r="G102">
        <f t="shared" si="15"/>
        <v>69.083323452760339</v>
      </c>
      <c r="H102">
        <f t="shared" si="16"/>
        <v>67.583476547239655</v>
      </c>
    </row>
    <row r="103" spans="3:8">
      <c r="C103">
        <v>71.3964</v>
      </c>
      <c r="D103">
        <v>0.16750000000000001</v>
      </c>
      <c r="E103">
        <v>-1.2869999999999999</v>
      </c>
      <c r="G103">
        <f t="shared" si="15"/>
        <v>72.146323452760342</v>
      </c>
      <c r="H103">
        <f t="shared" si="16"/>
        <v>70.646476547239658</v>
      </c>
    </row>
    <row r="104" spans="3:8">
      <c r="C104">
        <v>71.721400000000003</v>
      </c>
      <c r="D104">
        <v>0.16750000000000001</v>
      </c>
      <c r="E104">
        <v>-1.2030000000000001</v>
      </c>
      <c r="G104">
        <f t="shared" si="15"/>
        <v>72.471323452760345</v>
      </c>
      <c r="H104">
        <f t="shared" si="16"/>
        <v>70.971476547239661</v>
      </c>
    </row>
    <row r="105" spans="3:8">
      <c r="C105">
        <v>73.181399999999996</v>
      </c>
      <c r="D105">
        <v>0.16750000000000001</v>
      </c>
      <c r="E105">
        <v>-0.81100000000000005</v>
      </c>
      <c r="G105">
        <f t="shared" si="15"/>
        <v>73.931323452760338</v>
      </c>
      <c r="H105">
        <f t="shared" si="16"/>
        <v>72.431476547239654</v>
      </c>
    </row>
    <row r="108" spans="3:8">
      <c r="C108">
        <v>0.35399999999999998</v>
      </c>
      <c r="D108">
        <v>0.16750000000000001</v>
      </c>
      <c r="E108">
        <v>-0.28999999999999998</v>
      </c>
      <c r="G108">
        <f t="shared" ref="G108:G132" si="17">C108</f>
        <v>0.35399999999999998</v>
      </c>
      <c r="H108">
        <f t="shared" ref="H108:H132" si="18">G108</f>
        <v>0.35399999999999998</v>
      </c>
    </row>
    <row r="109" spans="3:8">
      <c r="C109">
        <v>1.9990000000000001</v>
      </c>
      <c r="D109">
        <v>0.16750000000000001</v>
      </c>
      <c r="E109">
        <v>-0.73099999999999998</v>
      </c>
      <c r="G109">
        <f t="shared" si="17"/>
        <v>1.9990000000000001</v>
      </c>
      <c r="H109">
        <f t="shared" si="18"/>
        <v>1.9990000000000001</v>
      </c>
    </row>
    <row r="110" spans="3:8">
      <c r="C110">
        <v>5.07</v>
      </c>
      <c r="D110">
        <v>0.16750000000000001</v>
      </c>
      <c r="E110">
        <v>-0.66500000000000004</v>
      </c>
      <c r="G110">
        <f t="shared" si="17"/>
        <v>5.07</v>
      </c>
      <c r="H110">
        <f t="shared" si="18"/>
        <v>5.07</v>
      </c>
    </row>
    <row r="111" spans="3:8">
      <c r="C111">
        <v>8.3659999999999997</v>
      </c>
      <c r="D111">
        <v>0.105</v>
      </c>
      <c r="E111">
        <v>-0.16</v>
      </c>
      <c r="G111">
        <f t="shared" si="17"/>
        <v>8.3659999999999997</v>
      </c>
      <c r="H111">
        <f t="shared" si="18"/>
        <v>8.3659999999999997</v>
      </c>
    </row>
    <row r="112" spans="3:8">
      <c r="C112">
        <v>9.3659999999999997</v>
      </c>
      <c r="D112">
        <v>0.105</v>
      </c>
      <c r="E112">
        <v>-0.16</v>
      </c>
      <c r="G112">
        <f t="shared" si="17"/>
        <v>9.3659999999999997</v>
      </c>
      <c r="H112">
        <f t="shared" si="18"/>
        <v>9.3659999999999997</v>
      </c>
    </row>
    <row r="113" spans="3:8">
      <c r="C113">
        <v>10.366</v>
      </c>
      <c r="D113">
        <v>0.105</v>
      </c>
      <c r="E113">
        <v>-0.16</v>
      </c>
      <c r="G113">
        <f t="shared" si="17"/>
        <v>10.366</v>
      </c>
      <c r="H113">
        <f t="shared" si="18"/>
        <v>10.366</v>
      </c>
    </row>
    <row r="114" spans="3:8">
      <c r="C114">
        <v>20.266999999999999</v>
      </c>
      <c r="D114">
        <v>0.105</v>
      </c>
      <c r="E114">
        <v>-0.16</v>
      </c>
      <c r="G114">
        <f t="shared" si="17"/>
        <v>20.266999999999999</v>
      </c>
      <c r="H114">
        <f t="shared" si="18"/>
        <v>20.266999999999999</v>
      </c>
    </row>
    <row r="115" spans="3:8">
      <c r="C115">
        <v>21.266999999999999</v>
      </c>
      <c r="D115">
        <v>0.105</v>
      </c>
      <c r="E115">
        <v>-0.16</v>
      </c>
      <c r="G115">
        <f t="shared" si="17"/>
        <v>21.266999999999999</v>
      </c>
      <c r="H115">
        <f t="shared" si="18"/>
        <v>21.266999999999999</v>
      </c>
    </row>
    <row r="116" spans="3:8">
      <c r="C116">
        <v>22.266999999999999</v>
      </c>
      <c r="D116">
        <v>0.105</v>
      </c>
      <c r="E116">
        <v>-0.16</v>
      </c>
      <c r="G116">
        <f t="shared" si="17"/>
        <v>22.266999999999999</v>
      </c>
      <c r="H116">
        <f t="shared" si="18"/>
        <v>22.266999999999999</v>
      </c>
    </row>
    <row r="117" spans="3:8">
      <c r="C117">
        <v>23.266999999999999</v>
      </c>
      <c r="D117">
        <v>0.105</v>
      </c>
      <c r="E117">
        <v>-0.16</v>
      </c>
      <c r="G117">
        <f t="shared" si="17"/>
        <v>23.266999999999999</v>
      </c>
      <c r="H117">
        <f t="shared" si="18"/>
        <v>23.266999999999999</v>
      </c>
    </row>
    <row r="118" spans="3:8">
      <c r="C118">
        <v>24.266999999999999</v>
      </c>
      <c r="D118">
        <v>0.105</v>
      </c>
      <c r="E118">
        <v>-0.16</v>
      </c>
      <c r="G118">
        <f t="shared" si="17"/>
        <v>24.266999999999999</v>
      </c>
      <c r="H118">
        <f t="shared" si="18"/>
        <v>24.266999999999999</v>
      </c>
    </row>
    <row r="119" spans="3:8">
      <c r="C119">
        <v>25.266999999999999</v>
      </c>
      <c r="D119">
        <v>0.105</v>
      </c>
      <c r="E119">
        <v>-0.16</v>
      </c>
      <c r="G119">
        <f t="shared" si="17"/>
        <v>25.266999999999999</v>
      </c>
      <c r="H119">
        <f t="shared" si="18"/>
        <v>25.266999999999999</v>
      </c>
    </row>
    <row r="120" spans="3:8">
      <c r="C120">
        <v>26.266999999999999</v>
      </c>
      <c r="D120">
        <v>0.105</v>
      </c>
      <c r="E120">
        <v>-0.16</v>
      </c>
      <c r="G120">
        <f t="shared" si="17"/>
        <v>26.266999999999999</v>
      </c>
      <c r="H120">
        <f t="shared" si="18"/>
        <v>26.266999999999999</v>
      </c>
    </row>
    <row r="121" spans="3:8">
      <c r="C121">
        <v>27.266999999999999</v>
      </c>
      <c r="D121">
        <v>0.105</v>
      </c>
      <c r="E121">
        <v>-0.16</v>
      </c>
      <c r="G121">
        <f t="shared" si="17"/>
        <v>27.266999999999999</v>
      </c>
      <c r="H121">
        <f t="shared" si="18"/>
        <v>27.266999999999999</v>
      </c>
    </row>
    <row r="122" spans="3:8">
      <c r="C122">
        <v>28.266999999999999</v>
      </c>
      <c r="D122">
        <v>0.105</v>
      </c>
      <c r="E122">
        <v>-0.16</v>
      </c>
      <c r="G122">
        <f t="shared" si="17"/>
        <v>28.266999999999999</v>
      </c>
      <c r="H122">
        <f t="shared" si="18"/>
        <v>28.266999999999999</v>
      </c>
    </row>
    <row r="123" spans="3:8">
      <c r="C123">
        <v>29.266999999999999</v>
      </c>
      <c r="D123">
        <v>0.105</v>
      </c>
      <c r="E123">
        <v>-0.16</v>
      </c>
      <c r="G123">
        <f t="shared" si="17"/>
        <v>29.266999999999999</v>
      </c>
      <c r="H123">
        <f t="shared" si="18"/>
        <v>29.266999999999999</v>
      </c>
    </row>
    <row r="124" spans="3:8">
      <c r="C124">
        <v>30.266999999999999</v>
      </c>
      <c r="D124">
        <v>0.105</v>
      </c>
      <c r="E124">
        <v>-0.16</v>
      </c>
      <c r="G124">
        <f t="shared" si="17"/>
        <v>30.266999999999999</v>
      </c>
      <c r="H124">
        <f t="shared" si="18"/>
        <v>30.266999999999999</v>
      </c>
    </row>
    <row r="125" spans="3:8">
      <c r="C125">
        <v>46.270200000000003</v>
      </c>
      <c r="D125">
        <v>0.105</v>
      </c>
      <c r="E125">
        <v>-0.16</v>
      </c>
      <c r="G125">
        <f t="shared" si="17"/>
        <v>46.270200000000003</v>
      </c>
      <c r="H125">
        <f t="shared" si="18"/>
        <v>46.270200000000003</v>
      </c>
    </row>
    <row r="126" spans="3:8">
      <c r="C126">
        <v>47.270200000000003</v>
      </c>
      <c r="D126">
        <v>0.105</v>
      </c>
      <c r="E126">
        <v>-0.16</v>
      </c>
      <c r="G126">
        <f t="shared" si="17"/>
        <v>47.270200000000003</v>
      </c>
      <c r="H126">
        <f t="shared" si="18"/>
        <v>47.270200000000003</v>
      </c>
    </row>
    <row r="127" spans="3:8">
      <c r="C127">
        <v>48.270200000000003</v>
      </c>
      <c r="D127">
        <v>0.105</v>
      </c>
      <c r="E127">
        <v>-0.16</v>
      </c>
      <c r="G127">
        <f t="shared" si="17"/>
        <v>48.270200000000003</v>
      </c>
      <c r="H127">
        <f t="shared" si="18"/>
        <v>48.270200000000003</v>
      </c>
    </row>
    <row r="128" spans="3:8">
      <c r="C128">
        <v>49.270200000000003</v>
      </c>
      <c r="D128">
        <v>0.105</v>
      </c>
      <c r="E128">
        <v>-0.16</v>
      </c>
      <c r="G128">
        <f t="shared" si="17"/>
        <v>49.270200000000003</v>
      </c>
      <c r="H128">
        <f t="shared" si="18"/>
        <v>49.270200000000003</v>
      </c>
    </row>
    <row r="129" spans="3:8">
      <c r="C129">
        <v>50.270200000000003</v>
      </c>
      <c r="D129">
        <v>0.105</v>
      </c>
      <c r="E129">
        <v>-0.16</v>
      </c>
      <c r="G129">
        <f t="shared" si="17"/>
        <v>50.270200000000003</v>
      </c>
      <c r="H129">
        <f t="shared" si="18"/>
        <v>50.270200000000003</v>
      </c>
    </row>
    <row r="130" spans="3:8">
      <c r="C130">
        <v>51.270200000000003</v>
      </c>
      <c r="D130">
        <v>0.105</v>
      </c>
      <c r="E130">
        <v>-0.16</v>
      </c>
      <c r="G130">
        <f t="shared" si="17"/>
        <v>51.270200000000003</v>
      </c>
      <c r="H130">
        <f t="shared" si="18"/>
        <v>51.270200000000003</v>
      </c>
    </row>
    <row r="131" spans="3:8">
      <c r="C131">
        <v>52.270200000000003</v>
      </c>
      <c r="D131">
        <v>0.105</v>
      </c>
      <c r="E131">
        <v>-0.16</v>
      </c>
      <c r="G131">
        <f t="shared" si="17"/>
        <v>52.270200000000003</v>
      </c>
      <c r="H131">
        <f t="shared" si="18"/>
        <v>52.270200000000003</v>
      </c>
    </row>
    <row r="132" spans="3:8">
      <c r="C132">
        <v>53.270200000000003</v>
      </c>
      <c r="D132">
        <v>0.105</v>
      </c>
      <c r="E132">
        <v>-0.16</v>
      </c>
      <c r="G132">
        <f t="shared" si="17"/>
        <v>53.270200000000003</v>
      </c>
      <c r="H132">
        <f t="shared" si="18"/>
        <v>53.270200000000003</v>
      </c>
    </row>
    <row r="133" spans="3:8">
      <c r="C133">
        <v>54.270200000000003</v>
      </c>
      <c r="D133">
        <v>0.105</v>
      </c>
      <c r="E133">
        <v>-0.16</v>
      </c>
      <c r="G133">
        <f>C133</f>
        <v>54.270200000000003</v>
      </c>
      <c r="H133">
        <f>G133</f>
        <v>54.270200000000003</v>
      </c>
    </row>
    <row r="134" spans="3:8">
      <c r="C134">
        <v>55.270200000000003</v>
      </c>
      <c r="D134">
        <v>0.105</v>
      </c>
      <c r="E134">
        <v>-0.16</v>
      </c>
      <c r="G134">
        <f>C134-$D$5</f>
        <v>54.520276547239654</v>
      </c>
      <c r="H134">
        <f>C134+$D$5</f>
        <v>56.020123452760352</v>
      </c>
    </row>
    <row r="135" spans="3:8">
      <c r="C135">
        <v>56.270200000000003</v>
      </c>
      <c r="D135">
        <v>0.105</v>
      </c>
      <c r="E135">
        <v>-0.16</v>
      </c>
      <c r="G135">
        <f t="shared" ref="G135:G141" si="19">C135-$D$5</f>
        <v>55.520276547239654</v>
      </c>
      <c r="H135">
        <f t="shared" ref="H135:H141" si="20">C135+$D$5</f>
        <v>57.020123452760352</v>
      </c>
    </row>
    <row r="136" spans="3:8">
      <c r="C136">
        <v>65.119100000000003</v>
      </c>
      <c r="D136">
        <v>0.105</v>
      </c>
      <c r="E136">
        <v>-0.16</v>
      </c>
      <c r="G136">
        <f t="shared" si="19"/>
        <v>64.369176547239661</v>
      </c>
      <c r="H136">
        <f t="shared" si="20"/>
        <v>65.869023452760345</v>
      </c>
    </row>
    <row r="137" spans="3:8">
      <c r="C137">
        <v>66.119100000000003</v>
      </c>
      <c r="D137">
        <v>0.105</v>
      </c>
      <c r="E137">
        <v>-0.16</v>
      </c>
      <c r="G137">
        <f t="shared" si="19"/>
        <v>65.369176547239661</v>
      </c>
      <c r="H137">
        <f t="shared" si="20"/>
        <v>66.869023452760345</v>
      </c>
    </row>
    <row r="138" spans="3:8">
      <c r="C138">
        <v>67.119100000000003</v>
      </c>
      <c r="D138">
        <v>0.105</v>
      </c>
      <c r="E138">
        <v>-0.16</v>
      </c>
      <c r="G138">
        <f t="shared" si="19"/>
        <v>66.369176547239661</v>
      </c>
      <c r="H138">
        <f t="shared" si="20"/>
        <v>67.869023452760345</v>
      </c>
    </row>
    <row r="139" spans="3:8">
      <c r="C139">
        <v>70.415099999999995</v>
      </c>
      <c r="D139">
        <v>0.16750000000000001</v>
      </c>
      <c r="E139">
        <v>-0.66500000000000004</v>
      </c>
      <c r="G139">
        <f t="shared" si="19"/>
        <v>69.665176547239653</v>
      </c>
      <c r="H139">
        <f t="shared" si="20"/>
        <v>71.165023452760337</v>
      </c>
    </row>
    <row r="140" spans="3:8">
      <c r="C140">
        <v>73.486099999999993</v>
      </c>
      <c r="D140">
        <v>0.16750000000000001</v>
      </c>
      <c r="E140">
        <v>-0.73099999999999998</v>
      </c>
      <c r="G140">
        <f t="shared" si="19"/>
        <v>72.736176547239651</v>
      </c>
      <c r="H140">
        <f t="shared" si="20"/>
        <v>74.236023452760335</v>
      </c>
    </row>
    <row r="141" spans="3:8">
      <c r="C141">
        <v>75.131100000000004</v>
      </c>
      <c r="D141">
        <v>0.16750000000000001</v>
      </c>
      <c r="E141">
        <v>-0.28999999999999998</v>
      </c>
      <c r="G141">
        <f t="shared" si="19"/>
        <v>74.381176547239662</v>
      </c>
      <c r="H141">
        <f t="shared" si="20"/>
        <v>75.881023452760346</v>
      </c>
    </row>
    <row r="144" spans="3:8">
      <c r="C144">
        <v>0.35399999999999998</v>
      </c>
      <c r="D144">
        <v>0.16750000000000001</v>
      </c>
      <c r="E144">
        <v>-0.28999999999999998</v>
      </c>
      <c r="G144">
        <f t="shared" ref="G144" si="21">C144</f>
        <v>0.35399999999999998</v>
      </c>
      <c r="H144">
        <f t="shared" ref="H144:H170" si="22">G144</f>
        <v>0.35399999999999998</v>
      </c>
    </row>
    <row r="145" spans="3:8">
      <c r="C145">
        <v>1.9990000000000001</v>
      </c>
      <c r="D145">
        <v>0.16750000000000001</v>
      </c>
      <c r="E145">
        <v>-0.73099999999999998</v>
      </c>
      <c r="G145">
        <f t="shared" ref="G145:G170" si="23">C145</f>
        <v>1.9990000000000001</v>
      </c>
      <c r="H145">
        <f t="shared" si="22"/>
        <v>1.9990000000000001</v>
      </c>
    </row>
    <row r="146" spans="3:8">
      <c r="C146">
        <v>5.07</v>
      </c>
      <c r="D146">
        <v>0.16750000000000001</v>
      </c>
      <c r="E146">
        <v>-0.66500000000000004</v>
      </c>
      <c r="G146">
        <f t="shared" si="23"/>
        <v>5.07</v>
      </c>
      <c r="H146">
        <f t="shared" si="22"/>
        <v>5.07</v>
      </c>
    </row>
    <row r="147" spans="3:8">
      <c r="C147">
        <v>8.3659999999999997</v>
      </c>
      <c r="D147">
        <v>0.105</v>
      </c>
      <c r="E147">
        <v>-0.16</v>
      </c>
      <c r="G147">
        <f t="shared" si="23"/>
        <v>8.3659999999999997</v>
      </c>
      <c r="H147">
        <f t="shared" si="22"/>
        <v>8.3659999999999997</v>
      </c>
    </row>
    <row r="148" spans="3:8">
      <c r="C148">
        <v>9.3659999999999997</v>
      </c>
      <c r="D148">
        <v>0.105</v>
      </c>
      <c r="E148">
        <v>-0.16</v>
      </c>
      <c r="G148">
        <f t="shared" si="23"/>
        <v>9.3659999999999997</v>
      </c>
      <c r="H148">
        <f t="shared" si="22"/>
        <v>9.3659999999999997</v>
      </c>
    </row>
    <row r="149" spans="3:8">
      <c r="C149">
        <v>10.366</v>
      </c>
      <c r="D149">
        <v>0.105</v>
      </c>
      <c r="E149">
        <v>-0.16</v>
      </c>
      <c r="G149">
        <f t="shared" si="23"/>
        <v>10.366</v>
      </c>
      <c r="H149">
        <f t="shared" si="22"/>
        <v>10.366</v>
      </c>
    </row>
    <row r="150" spans="3:8">
      <c r="C150">
        <v>19.1936</v>
      </c>
      <c r="D150">
        <v>0.105</v>
      </c>
      <c r="E150">
        <v>-0.16</v>
      </c>
      <c r="G150">
        <f t="shared" si="23"/>
        <v>19.1936</v>
      </c>
      <c r="H150">
        <f t="shared" si="22"/>
        <v>19.1936</v>
      </c>
    </row>
    <row r="151" spans="3:8">
      <c r="C151">
        <v>20.1936</v>
      </c>
      <c r="D151">
        <v>0.105</v>
      </c>
      <c r="E151">
        <v>-0.16</v>
      </c>
      <c r="G151">
        <f t="shared" si="23"/>
        <v>20.1936</v>
      </c>
      <c r="H151">
        <f t="shared" si="22"/>
        <v>20.1936</v>
      </c>
    </row>
    <row r="152" spans="3:8">
      <c r="C152">
        <v>21.1936</v>
      </c>
      <c r="D152">
        <v>0.105</v>
      </c>
      <c r="E152">
        <v>-0.16</v>
      </c>
      <c r="G152">
        <f t="shared" si="23"/>
        <v>21.1936</v>
      </c>
      <c r="H152">
        <f t="shared" si="22"/>
        <v>21.1936</v>
      </c>
    </row>
    <row r="153" spans="3:8">
      <c r="C153">
        <v>22.1936</v>
      </c>
      <c r="D153">
        <v>0.105</v>
      </c>
      <c r="E153">
        <v>-0.16</v>
      </c>
      <c r="G153">
        <f t="shared" si="23"/>
        <v>22.1936</v>
      </c>
      <c r="H153">
        <f t="shared" si="22"/>
        <v>22.1936</v>
      </c>
    </row>
    <row r="154" spans="3:8">
      <c r="C154">
        <v>23.1936</v>
      </c>
      <c r="D154">
        <v>0.105</v>
      </c>
      <c r="E154">
        <v>-0.16</v>
      </c>
      <c r="G154">
        <f t="shared" si="23"/>
        <v>23.1936</v>
      </c>
      <c r="H154">
        <f t="shared" si="22"/>
        <v>23.1936</v>
      </c>
    </row>
    <row r="155" spans="3:8">
      <c r="C155">
        <v>24.1936</v>
      </c>
      <c r="D155">
        <v>0.105</v>
      </c>
      <c r="E155">
        <v>-0.16</v>
      </c>
      <c r="G155">
        <f t="shared" si="23"/>
        <v>24.1936</v>
      </c>
      <c r="H155">
        <f t="shared" si="22"/>
        <v>24.1936</v>
      </c>
    </row>
    <row r="156" spans="3:8">
      <c r="C156">
        <v>25.1936</v>
      </c>
      <c r="D156">
        <v>0.105</v>
      </c>
      <c r="E156">
        <v>-0.16</v>
      </c>
      <c r="G156">
        <f t="shared" si="23"/>
        <v>25.1936</v>
      </c>
      <c r="H156">
        <f t="shared" si="22"/>
        <v>25.1936</v>
      </c>
    </row>
    <row r="157" spans="3:8">
      <c r="C157">
        <v>26.1936</v>
      </c>
      <c r="D157">
        <v>0.105</v>
      </c>
      <c r="E157">
        <v>-0.16</v>
      </c>
      <c r="G157">
        <f t="shared" si="23"/>
        <v>26.1936</v>
      </c>
      <c r="H157">
        <f t="shared" si="22"/>
        <v>26.1936</v>
      </c>
    </row>
    <row r="158" spans="3:8">
      <c r="C158">
        <v>27.1936</v>
      </c>
      <c r="D158">
        <v>0.105</v>
      </c>
      <c r="E158">
        <v>-0.16</v>
      </c>
      <c r="G158">
        <f t="shared" si="23"/>
        <v>27.1936</v>
      </c>
      <c r="H158">
        <f t="shared" si="22"/>
        <v>27.1936</v>
      </c>
    </row>
    <row r="159" spans="3:8">
      <c r="C159">
        <v>28.1936</v>
      </c>
      <c r="D159">
        <v>0.105</v>
      </c>
      <c r="E159">
        <v>-0.16</v>
      </c>
      <c r="G159">
        <f t="shared" si="23"/>
        <v>28.1936</v>
      </c>
      <c r="H159">
        <f t="shared" si="22"/>
        <v>28.1936</v>
      </c>
    </row>
    <row r="160" spans="3:8">
      <c r="C160">
        <v>29.1936</v>
      </c>
      <c r="D160">
        <v>0.105</v>
      </c>
      <c r="E160">
        <v>-0.16</v>
      </c>
      <c r="G160">
        <f t="shared" si="23"/>
        <v>29.1936</v>
      </c>
      <c r="H160">
        <f t="shared" si="22"/>
        <v>29.1936</v>
      </c>
    </row>
    <row r="161" spans="3:8">
      <c r="C161">
        <v>44.156100000000002</v>
      </c>
      <c r="D161">
        <v>0.105</v>
      </c>
      <c r="E161">
        <v>-0.16</v>
      </c>
      <c r="G161">
        <f t="shared" si="23"/>
        <v>44.156100000000002</v>
      </c>
      <c r="H161">
        <f t="shared" si="22"/>
        <v>44.156100000000002</v>
      </c>
    </row>
    <row r="162" spans="3:8">
      <c r="C162">
        <v>45.156100000000002</v>
      </c>
      <c r="D162">
        <v>0.105</v>
      </c>
      <c r="E162">
        <v>-0.16</v>
      </c>
      <c r="G162">
        <f t="shared" si="23"/>
        <v>45.156100000000002</v>
      </c>
      <c r="H162">
        <f t="shared" si="22"/>
        <v>45.156100000000002</v>
      </c>
    </row>
    <row r="163" spans="3:8">
      <c r="C163">
        <v>46.156100000000002</v>
      </c>
      <c r="D163">
        <v>0.105</v>
      </c>
      <c r="E163">
        <v>-0.16</v>
      </c>
      <c r="G163">
        <f t="shared" si="23"/>
        <v>46.156100000000002</v>
      </c>
      <c r="H163">
        <f t="shared" si="22"/>
        <v>46.156100000000002</v>
      </c>
    </row>
    <row r="164" spans="3:8">
      <c r="C164">
        <v>47.156100000000002</v>
      </c>
      <c r="D164">
        <v>0.105</v>
      </c>
      <c r="E164">
        <v>-0.16</v>
      </c>
      <c r="G164">
        <f t="shared" si="23"/>
        <v>47.156100000000002</v>
      </c>
      <c r="H164">
        <f t="shared" si="22"/>
        <v>47.156100000000002</v>
      </c>
    </row>
    <row r="165" spans="3:8">
      <c r="C165">
        <v>48.156100000000002</v>
      </c>
      <c r="D165">
        <v>0.105</v>
      </c>
      <c r="E165">
        <v>-0.16</v>
      </c>
      <c r="G165">
        <f t="shared" si="23"/>
        <v>48.156100000000002</v>
      </c>
      <c r="H165">
        <f t="shared" si="22"/>
        <v>48.156100000000002</v>
      </c>
    </row>
    <row r="166" spans="3:8">
      <c r="C166">
        <v>49.156100000000002</v>
      </c>
      <c r="D166">
        <v>0.105</v>
      </c>
      <c r="E166">
        <v>-0.16</v>
      </c>
      <c r="G166">
        <f t="shared" si="23"/>
        <v>49.156100000000002</v>
      </c>
      <c r="H166">
        <f t="shared" si="22"/>
        <v>49.156100000000002</v>
      </c>
    </row>
    <row r="167" spans="3:8">
      <c r="C167">
        <v>50.156100000000002</v>
      </c>
      <c r="D167">
        <v>0.105</v>
      </c>
      <c r="E167">
        <v>-0.16</v>
      </c>
      <c r="G167">
        <f t="shared" si="23"/>
        <v>50.156100000000002</v>
      </c>
      <c r="H167">
        <f t="shared" si="22"/>
        <v>50.156100000000002</v>
      </c>
    </row>
    <row r="168" spans="3:8">
      <c r="C168">
        <v>51.156100000000002</v>
      </c>
      <c r="D168">
        <v>0.105</v>
      </c>
      <c r="E168">
        <v>-0.16</v>
      </c>
      <c r="G168">
        <f t="shared" si="23"/>
        <v>51.156100000000002</v>
      </c>
      <c r="H168">
        <f t="shared" si="22"/>
        <v>51.156100000000002</v>
      </c>
    </row>
    <row r="169" spans="3:8">
      <c r="C169">
        <v>52.156100000000002</v>
      </c>
      <c r="D169">
        <v>0.105</v>
      </c>
      <c r="E169">
        <v>-0.16</v>
      </c>
      <c r="G169">
        <f t="shared" si="23"/>
        <v>52.156100000000002</v>
      </c>
      <c r="H169">
        <f t="shared" si="22"/>
        <v>52.156100000000002</v>
      </c>
    </row>
    <row r="170" spans="3:8">
      <c r="C170">
        <v>53.156100000000002</v>
      </c>
      <c r="D170">
        <v>0.105</v>
      </c>
      <c r="E170">
        <v>-0.16</v>
      </c>
      <c r="G170">
        <f t="shared" si="23"/>
        <v>53.156100000000002</v>
      </c>
      <c r="H170">
        <f t="shared" si="22"/>
        <v>53.156100000000002</v>
      </c>
    </row>
    <row r="171" spans="3:8">
      <c r="C171">
        <v>54.156100000000002</v>
      </c>
      <c r="D171">
        <v>0.105</v>
      </c>
      <c r="E171">
        <v>-0.16</v>
      </c>
      <c r="G171">
        <f t="shared" ref="G171" si="24">C171-$D$5</f>
        <v>53.406176547239653</v>
      </c>
      <c r="H171">
        <f t="shared" ref="H171" si="25">C171+$D$5</f>
        <v>54.906023452760351</v>
      </c>
    </row>
    <row r="172" spans="3:8">
      <c r="C172">
        <v>63.029400000000003</v>
      </c>
      <c r="D172">
        <v>0.105</v>
      </c>
      <c r="E172">
        <v>-0.16</v>
      </c>
      <c r="G172">
        <f t="shared" ref="G172:G177" si="26">C172-$D$5</f>
        <v>62.279476547239653</v>
      </c>
      <c r="H172">
        <f t="shared" ref="H172:H177" si="27">C172+$D$5</f>
        <v>63.779323452760352</v>
      </c>
    </row>
    <row r="173" spans="3:8">
      <c r="C173">
        <v>64.029399999999995</v>
      </c>
      <c r="D173">
        <v>0.105</v>
      </c>
      <c r="E173">
        <v>-0.16</v>
      </c>
      <c r="G173">
        <f t="shared" si="26"/>
        <v>63.279476547239646</v>
      </c>
      <c r="H173">
        <f t="shared" si="27"/>
        <v>64.779323452760337</v>
      </c>
    </row>
    <row r="174" spans="3:8">
      <c r="C174">
        <v>65.029399999999995</v>
      </c>
      <c r="D174">
        <v>0.105</v>
      </c>
      <c r="E174">
        <v>-0.16</v>
      </c>
      <c r="G174">
        <f t="shared" si="26"/>
        <v>64.279476547239653</v>
      </c>
      <c r="H174">
        <f t="shared" si="27"/>
        <v>65.779323452760337</v>
      </c>
    </row>
    <row r="175" spans="3:8">
      <c r="C175">
        <v>68.325400000000002</v>
      </c>
      <c r="D175">
        <v>0.16750000000000001</v>
      </c>
      <c r="E175">
        <v>-0.66500000000000004</v>
      </c>
      <c r="G175">
        <f t="shared" si="26"/>
        <v>67.57547654723966</v>
      </c>
      <c r="H175">
        <f t="shared" si="27"/>
        <v>69.075323452760344</v>
      </c>
    </row>
    <row r="176" spans="3:8">
      <c r="C176">
        <v>71.3964</v>
      </c>
      <c r="D176">
        <v>0.16750000000000001</v>
      </c>
      <c r="E176">
        <v>-0.73099999999999998</v>
      </c>
      <c r="G176">
        <f t="shared" si="26"/>
        <v>70.646476547239658</v>
      </c>
      <c r="H176">
        <f t="shared" si="27"/>
        <v>72.146323452760342</v>
      </c>
    </row>
    <row r="177" spans="3:8">
      <c r="C177">
        <v>73.041399999999996</v>
      </c>
      <c r="D177">
        <v>0.16750000000000001</v>
      </c>
      <c r="E177">
        <v>-0.28999999999999998</v>
      </c>
      <c r="G177">
        <f t="shared" si="26"/>
        <v>72.291476547239654</v>
      </c>
      <c r="H177">
        <f t="shared" si="27"/>
        <v>73.791323452760338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C795-2C3D-4D6E-B95F-A17440A65CEC}">
  <dimension ref="B5:N9"/>
  <sheetViews>
    <sheetView workbookViewId="0">
      <selection activeCell="N20" sqref="N20"/>
    </sheetView>
  </sheetViews>
  <sheetFormatPr defaultRowHeight="11.25"/>
  <cols>
    <col min="6" max="6" width="10.875" bestFit="1" customWidth="1"/>
    <col min="8" max="8" width="10.875" bestFit="1" customWidth="1"/>
    <col min="9" max="9" width="10.5" bestFit="1" customWidth="1"/>
    <col min="13" max="13" width="10.875" bestFit="1" customWidth="1"/>
    <col min="14" max="14" width="10.5" bestFit="1" customWidth="1"/>
  </cols>
  <sheetData>
    <row r="5" spans="2:14">
      <c r="B5">
        <v>4.53E-2</v>
      </c>
      <c r="C5">
        <v>-0.42249999999999999</v>
      </c>
      <c r="D5">
        <v>0</v>
      </c>
      <c r="F5">
        <f>SQRT(B5^2+C5^2)</f>
        <v>0.42492156923366459</v>
      </c>
      <c r="H5">
        <f>B5/F5</f>
        <v>0.1066079090353013</v>
      </c>
      <c r="I5">
        <f>C5/F5</f>
        <v>-0.99430113835352762</v>
      </c>
      <c r="K5">
        <v>0.72499999999999998</v>
      </c>
      <c r="M5">
        <f>K5*H5</f>
        <v>7.7290734050593446E-2</v>
      </c>
      <c r="N5">
        <f>K5*I5</f>
        <v>-0.72086832530630751</v>
      </c>
    </row>
    <row r="9" spans="2:14">
      <c r="B9">
        <v>0.3977</v>
      </c>
      <c r="C9">
        <v>4.2599999999999999E-2</v>
      </c>
      <c r="D9">
        <v>0</v>
      </c>
      <c r="F9">
        <f>SQRT(B9^2+C9^2)</f>
        <v>0.39997506172260289</v>
      </c>
      <c r="H9">
        <f>B9/F9</f>
        <v>0.99431199107063151</v>
      </c>
      <c r="I9">
        <f>C9/F9</f>
        <v>0.10650664023034674</v>
      </c>
      <c r="K9">
        <v>0.45</v>
      </c>
      <c r="M9">
        <f>K9*H9</f>
        <v>0.4474403959817842</v>
      </c>
      <c r="N9">
        <f>K9*I9</f>
        <v>4.7927988103656033E-2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alignment</vt:lpstr>
      <vt:lpstr>DBsub</vt:lpstr>
      <vt:lpstr>DBsup</vt:lpstr>
      <vt:lpstr>DBsoil</vt:lpstr>
      <vt:lpstr>DBtendonA</vt:lpstr>
      <vt:lpstr>DBtendonB</vt:lpstr>
      <vt:lpstr>DBtendonC</vt:lpstr>
      <vt:lpstr>tables</vt:lpstr>
      <vt:lpstr>trackbeam node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KilHo Choi</dc:creator>
  <cp:lastModifiedBy>KilHo Choi</cp:lastModifiedBy>
  <dcterms:created xsi:type="dcterms:W3CDTF">2016-04-18T12:29:47Z</dcterms:created>
  <dcterms:modified xsi:type="dcterms:W3CDTF">2022-10-11T06:41:28Z</dcterms:modified>
</cp:coreProperties>
</file>